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vsd" ContentType="application/vnd.visi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embeddings/oleObject38.bin" ContentType="application/vnd.openxmlformats-officedocument.oleObject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embeddings/oleObject43.bin" ContentType="application/vnd.openxmlformats-officedocument.oleObject"/>
  <Override PartName="/xl/embeddings/oleObject44.bin" ContentType="application/vnd.openxmlformats-officedocument.oleObject"/>
  <Override PartName="/xl/embeddings/oleObject45.bin" ContentType="application/vnd.openxmlformats-officedocument.oleObject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embeddings/oleObject49.bin" ContentType="application/vnd.openxmlformats-officedocument.oleObject"/>
  <Override PartName="/xl/embeddings/oleObject50.bin" ContentType="application/vnd.openxmlformats-officedocument.oleObject"/>
  <Override PartName="/xl/embeddings/oleObject51.bin" ContentType="application/vnd.openxmlformats-officedocument.oleObject"/>
  <Override PartName="/xl/embeddings/oleObject52.bin" ContentType="application/vnd.openxmlformats-officedocument.oleObject"/>
  <Override PartName="/xl/embeddings/oleObject53.bin" ContentType="application/vnd.openxmlformats-officedocument.oleObject"/>
  <Override PartName="/xl/embeddings/oleObject54.bin" ContentType="application/vnd.openxmlformats-officedocument.oleObject"/>
  <Override PartName="/xl/embeddings/oleObject55.bin" ContentType="application/vnd.openxmlformats-officedocument.oleObject"/>
  <Override PartName="/xl/embeddings/oleObject56.bin" ContentType="application/vnd.openxmlformats-officedocument.oleObject"/>
  <Override PartName="/xl/embeddings/oleObject57.bin" ContentType="application/vnd.openxmlformats-officedocument.oleObject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embeddings/oleObject58.bin" ContentType="application/vnd.openxmlformats-officedocument.oleObject"/>
  <Override PartName="/xl/embeddings/oleObject59.bin" ContentType="application/vnd.openxmlformats-officedocument.oleObject"/>
  <Override PartName="/xl/embeddings/oleObject60.bin" ContentType="application/vnd.openxmlformats-officedocument.oleObject"/>
  <Override PartName="/xl/embeddings/oleObject61.bin" ContentType="application/vnd.openxmlformats-officedocument.oleObject"/>
  <Override PartName="/xl/embeddings/oleObject62.bin" ContentType="application/vnd.openxmlformats-officedocument.oleObject"/>
  <Override PartName="/xl/embeddings/oleObject63.bin" ContentType="application/vnd.openxmlformats-officedocument.oleObject"/>
  <Override PartName="/xl/embeddings/oleObject64.bin" ContentType="application/vnd.openxmlformats-officedocument.oleObject"/>
  <Override PartName="/xl/embeddings/oleObject65.bin" ContentType="application/vnd.openxmlformats-officedocument.oleObject"/>
  <Override PartName="/xl/embeddings/oleObject66.bin" ContentType="application/vnd.openxmlformats-officedocument.oleObject"/>
  <Override PartName="/xl/embeddings/oleObject67.bin" ContentType="application/vnd.openxmlformats-officedocument.oleObject"/>
  <Override PartName="/xl/embeddings/oleObject68.bin" ContentType="application/vnd.openxmlformats-officedocument.oleObject"/>
  <Override PartName="/xl/embeddings/oleObject69.bin" ContentType="application/vnd.openxmlformats-officedocument.oleObject"/>
  <Override PartName="/xl/embeddings/oleObject70.bin" ContentType="application/vnd.openxmlformats-officedocument.oleObject"/>
  <Override PartName="/xl/embeddings/oleObject71.bin" ContentType="application/vnd.openxmlformats-officedocument.oleObject"/>
  <Override PartName="/xl/embeddings/oleObject72.bin" ContentType="application/vnd.openxmlformats-officedocument.oleObject"/>
  <Override PartName="/xl/embeddings/oleObject73.bin" ContentType="application/vnd.openxmlformats-officedocument.oleObject"/>
  <Override PartName="/xl/embeddings/oleObject74.bin" ContentType="application/vnd.openxmlformats-officedocument.oleObject"/>
  <Override PartName="/xl/embeddings/oleObject75.bin" ContentType="application/vnd.openxmlformats-officedocument.oleObject"/>
  <Override PartName="/xl/embeddings/oleObject76.bin" ContentType="application/vnd.openxmlformats-officedocument.oleObject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ngluongbenvung-my.sharepoint.com/personal/bang_nguyen_seiac_vn/Documents/NCBANG/TEST/"/>
    </mc:Choice>
  </mc:AlternateContent>
  <xr:revisionPtr revIDLastSave="229" documentId="8_{322F5E0D-20C2-44A3-A811-08B260D9DE11}" xr6:coauthVersionLast="47" xr6:coauthVersionMax="47" xr10:uidLastSave="{E3E64D93-5DF4-4C8C-8054-D029ABB62599}"/>
  <bookViews>
    <workbookView xWindow="-110" yWindow="-110" windowWidth="19420" windowHeight="11500" firstSheet="5" activeTab="10" xr2:uid="{00000000-000D-0000-FFFF-FFFF00000000}"/>
  </bookViews>
  <sheets>
    <sheet name="Tra" sheetId="16" state="hidden" r:id="rId1"/>
    <sheet name="ChiTiet" sheetId="91" state="hidden" r:id="rId2"/>
    <sheet name="TongHop" sheetId="90" state="hidden" r:id="rId3"/>
    <sheet name="TRANG BIA" sheetId="93" state="hidden" r:id="rId4"/>
    <sheet name="G1" sheetId="147" state="hidden" r:id="rId5"/>
    <sheet name="HK1" sheetId="143" r:id="rId6"/>
    <sheet name="HK2" sheetId="162" state="hidden" r:id="rId7"/>
    <sheet name="HK3" sheetId="163" state="hidden" r:id="rId8"/>
    <sheet name="D122-42" sheetId="94" state="hidden" r:id="rId9"/>
    <sheet name="Bảng tra" sheetId="127" state="hidden" r:id="rId10"/>
    <sheet name="TONG HOP" sheetId="165" r:id="rId11"/>
    <sheet name="KL thep mong" sheetId="159" state="hidden" r:id="rId12"/>
    <sheet name="TH" sheetId="121" state="hidden" r:id="rId13"/>
    <sheet name="Tong ke KL" sheetId="160" state="hidden" r:id="rId14"/>
    <sheet name="KL be tong" sheetId="161" state="hidden" r:id="rId15"/>
  </sheets>
  <functionGroups builtInGroupCount="19"/>
  <externalReferences>
    <externalReference r:id="rId16"/>
  </externalReferences>
  <definedNames>
    <definedName name="_xlnm.Print_Area" localSheetId="8">'D122-42'!$A$1:$L$249</definedName>
    <definedName name="_xlnm.Print_Area" localSheetId="4">'G1'!$A$1:$L$156</definedName>
    <definedName name="_xlnm.Print_Area" localSheetId="5">'HK1'!$A$1:$L$156</definedName>
    <definedName name="_xlnm.Print_Area" localSheetId="6">'HK2'!$A$1:$L$156</definedName>
    <definedName name="_xlnm.Print_Area" localSheetId="7">'HK3'!$A$1:$L$156</definedName>
    <definedName name="_xlnm.Print_Area" localSheetId="10">'TONG HOP'!$A$1:$L$51</definedName>
    <definedName name="_xlnm.Print_Area" localSheetId="2">TongHop!$B$2:$N$17</definedName>
    <definedName name="_xlnm.Print_Area" localSheetId="3">'TRANG BIA'!$A$1:$L$46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1" i="165" l="1"/>
  <c r="K39" i="165"/>
  <c r="K41" i="165" s="1"/>
  <c r="K34" i="165"/>
  <c r="K35" i="165" s="1"/>
  <c r="J48" i="165"/>
  <c r="I48" i="165"/>
  <c r="J50" i="165"/>
  <c r="I50" i="165"/>
  <c r="D48" i="165"/>
  <c r="C48" i="165"/>
  <c r="D45" i="165"/>
  <c r="D44" i="165"/>
  <c r="J44" i="165" s="1"/>
  <c r="C44" i="165"/>
  <c r="C45" i="165" s="1"/>
  <c r="D51" i="165"/>
  <c r="C51" i="165"/>
  <c r="D50" i="165"/>
  <c r="C50" i="165"/>
  <c r="K20" i="165"/>
  <c r="K18" i="165"/>
  <c r="K17" i="165"/>
  <c r="K16" i="165"/>
  <c r="K14" i="165"/>
  <c r="K13" i="165"/>
  <c r="K30" i="165"/>
  <c r="K28" i="165"/>
  <c r="K11" i="165"/>
  <c r="K10" i="165"/>
  <c r="K8" i="165"/>
  <c r="K7" i="165"/>
  <c r="C4" i="165"/>
  <c r="C3" i="165"/>
  <c r="B3" i="165" s="1"/>
  <c r="C2" i="165"/>
  <c r="C1" i="165"/>
  <c r="K3" i="165"/>
  <c r="K40" i="165" l="1"/>
  <c r="J45" i="165"/>
  <c r="F37" i="165" l="1"/>
  <c r="C37" i="165"/>
  <c r="H31" i="165"/>
  <c r="B31" i="165"/>
  <c r="B28" i="165"/>
  <c r="H20" i="165"/>
  <c r="B20" i="165"/>
  <c r="C18" i="165"/>
  <c r="K32" i="165"/>
  <c r="I12" i="165"/>
  <c r="H12" i="165"/>
  <c r="A12" i="165"/>
  <c r="A9" i="165"/>
  <c r="D6" i="165"/>
  <c r="J148" i="143"/>
  <c r="R44" i="159"/>
  <c r="T44" i="159"/>
  <c r="R47" i="159"/>
  <c r="T47" i="159"/>
  <c r="R61" i="159"/>
  <c r="T61" i="159"/>
  <c r="R63" i="159"/>
  <c r="T63" i="159"/>
  <c r="A10" i="165" l="1"/>
  <c r="K25" i="165"/>
  <c r="D36" i="165" s="1"/>
  <c r="K23" i="165"/>
  <c r="H25" i="165" s="1"/>
  <c r="K24" i="165"/>
  <c r="B6" i="165"/>
  <c r="G6" i="165" s="1"/>
  <c r="K26" i="165"/>
  <c r="G173" i="94"/>
  <c r="E118" i="94"/>
  <c r="D106" i="143"/>
  <c r="D107" i="143" s="1"/>
  <c r="D108" i="143" s="1"/>
  <c r="D109" i="143" s="1"/>
  <c r="D110" i="143" s="1"/>
  <c r="D111" i="143" s="1"/>
  <c r="D112" i="143" s="1"/>
  <c r="D113" i="143" s="1"/>
  <c r="D114" i="143" s="1"/>
  <c r="D115" i="143" s="1"/>
  <c r="D116" i="143" s="1"/>
  <c r="D117" i="143" s="1"/>
  <c r="D118" i="143" s="1"/>
  <c r="D119" i="143" s="1"/>
  <c r="D120" i="143" s="1"/>
  <c r="D121" i="143" s="1"/>
  <c r="D122" i="143" s="1"/>
  <c r="D123" i="143" s="1"/>
  <c r="D124" i="143" s="1"/>
  <c r="D105" i="143"/>
  <c r="B36" i="165" l="1"/>
  <c r="G36" i="165"/>
  <c r="D22" i="165"/>
  <c r="C25" i="165"/>
  <c r="H33" i="165"/>
  <c r="H17" i="165"/>
  <c r="E107" i="94"/>
  <c r="U2" i="159" s="1"/>
  <c r="U6" i="159" s="1"/>
  <c r="B12" i="121"/>
  <c r="K21" i="94"/>
  <c r="K21" i="143" s="1"/>
  <c r="W54" i="143"/>
  <c r="F104" i="143"/>
  <c r="C74" i="143"/>
  <c r="K54" i="143"/>
  <c r="C60" i="143"/>
  <c r="K55" i="143"/>
  <c r="AC13" i="163"/>
  <c r="AC12" i="163"/>
  <c r="AC11" i="163"/>
  <c r="AC10" i="163"/>
  <c r="D105" i="162"/>
  <c r="D106" i="162"/>
  <c r="D107" i="162"/>
  <c r="D108" i="162" s="1"/>
  <c r="AC13" i="162"/>
  <c r="I57" i="162" s="1"/>
  <c r="AC12" i="162"/>
  <c r="I56" i="162" s="1"/>
  <c r="AC11" i="162"/>
  <c r="AC10" i="162"/>
  <c r="L3" i="160"/>
  <c r="K10" i="163"/>
  <c r="C106" i="163" s="1"/>
  <c r="E122" i="94"/>
  <c r="T527" i="163"/>
  <c r="V527" i="163"/>
  <c r="S527" i="163"/>
  <c r="U527" i="163" s="1"/>
  <c r="S525" i="163"/>
  <c r="R525" i="163"/>
  <c r="Q522" i="163"/>
  <c r="R522" i="163"/>
  <c r="T519" i="163"/>
  <c r="S519" i="163" s="1"/>
  <c r="Q519" i="163"/>
  <c r="P519" i="163"/>
  <c r="V519" i="163" s="1"/>
  <c r="S518" i="163"/>
  <c r="R518" i="163"/>
  <c r="Q518" i="163"/>
  <c r="P518" i="163"/>
  <c r="V518" i="163" s="1"/>
  <c r="N525" i="163" s="1"/>
  <c r="W504" i="163"/>
  <c r="Y502" i="163"/>
  <c r="X502" i="163"/>
  <c r="W502" i="163"/>
  <c r="O501" i="163"/>
  <c r="O500" i="163"/>
  <c r="O499" i="163"/>
  <c r="O498" i="163"/>
  <c r="W497" i="163"/>
  <c r="O497" i="163"/>
  <c r="W496" i="163"/>
  <c r="O496" i="163"/>
  <c r="W495" i="163"/>
  <c r="O495" i="163"/>
  <c r="W494" i="163"/>
  <c r="O494" i="163"/>
  <c r="O493" i="163"/>
  <c r="W490" i="163"/>
  <c r="W489" i="163"/>
  <c r="W488" i="163"/>
  <c r="W487" i="163"/>
  <c r="X482" i="163"/>
  <c r="P474" i="163"/>
  <c r="S473" i="163"/>
  <c r="R473" i="163"/>
  <c r="R474" i="163" s="1"/>
  <c r="X483" i="163" s="1"/>
  <c r="AA482" i="163" s="1"/>
  <c r="AC467" i="163"/>
  <c r="AB467" i="163"/>
  <c r="AA467" i="163"/>
  <c r="AA466" i="163"/>
  <c r="AA465" i="163"/>
  <c r="AB465" i="163" s="1"/>
  <c r="AC464" i="163"/>
  <c r="AB464" i="163"/>
  <c r="AA464" i="163"/>
  <c r="AA463" i="163"/>
  <c r="T463" i="163"/>
  <c r="V473" i="163"/>
  <c r="AA462" i="163"/>
  <c r="AA461" i="163"/>
  <c r="AA460" i="163"/>
  <c r="AA459" i="163"/>
  <c r="AC459" i="163"/>
  <c r="AA458" i="163"/>
  <c r="AB458" i="163"/>
  <c r="AB457" i="163"/>
  <c r="AA457" i="163"/>
  <c r="AC457" i="163"/>
  <c r="T457" i="163"/>
  <c r="S457" i="163"/>
  <c r="S463" i="163" s="1"/>
  <c r="S464" i="163" s="1"/>
  <c r="C406" i="163"/>
  <c r="N473" i="163" s="1"/>
  <c r="N474" i="163" s="1"/>
  <c r="D402" i="163"/>
  <c r="D403" i="163" s="1"/>
  <c r="C383" i="163"/>
  <c r="C382" i="163"/>
  <c r="J380" i="163"/>
  <c r="D344" i="163"/>
  <c r="C323" i="163"/>
  <c r="I322" i="163"/>
  <c r="I382" i="163" s="1"/>
  <c r="C322" i="163"/>
  <c r="J320" i="163"/>
  <c r="B318" i="163"/>
  <c r="E311" i="163"/>
  <c r="E314" i="163"/>
  <c r="D302" i="163"/>
  <c r="D359" i="163" s="1"/>
  <c r="D360" i="163" s="1"/>
  <c r="D295" i="163"/>
  <c r="J288" i="163"/>
  <c r="D260" i="163"/>
  <c r="D261" i="163" s="1"/>
  <c r="D253" i="163"/>
  <c r="C236" i="163"/>
  <c r="D233" i="163"/>
  <c r="D232" i="163"/>
  <c r="D252" i="163" s="1"/>
  <c r="E190" i="163"/>
  <c r="K189" i="163"/>
  <c r="E189" i="163"/>
  <c r="C188" i="163"/>
  <c r="J127" i="163"/>
  <c r="B113" i="163"/>
  <c r="B114" i="163" s="1"/>
  <c r="B115" i="163" s="1"/>
  <c r="B116" i="163" s="1"/>
  <c r="B117" i="163" s="1"/>
  <c r="B118" i="163" s="1"/>
  <c r="B119" i="163" s="1"/>
  <c r="B120" i="163" s="1"/>
  <c r="B121" i="163" s="1"/>
  <c r="B122" i="163" s="1"/>
  <c r="B123" i="163" s="1"/>
  <c r="B124" i="163" s="1"/>
  <c r="B125" i="163" s="1"/>
  <c r="B107" i="163"/>
  <c r="B108" i="163" s="1"/>
  <c r="B109" i="163" s="1"/>
  <c r="B110" i="163" s="1"/>
  <c r="B111" i="163" s="1"/>
  <c r="B112" i="163" s="1"/>
  <c r="B106" i="163"/>
  <c r="D105" i="163"/>
  <c r="D106" i="163"/>
  <c r="B105" i="163"/>
  <c r="E104" i="163"/>
  <c r="I62" i="163"/>
  <c r="K57" i="163"/>
  <c r="J57" i="163"/>
  <c r="I57" i="163"/>
  <c r="H57" i="163"/>
  <c r="G57" i="163"/>
  <c r="F57" i="163"/>
  <c r="E57" i="163"/>
  <c r="D57" i="163"/>
  <c r="B57" i="163"/>
  <c r="A57" i="163"/>
  <c r="J56" i="163"/>
  <c r="I56" i="163"/>
  <c r="H56" i="163"/>
  <c r="H143" i="163" s="1"/>
  <c r="G56" i="163"/>
  <c r="F56" i="163"/>
  <c r="E56" i="163"/>
  <c r="D56" i="163"/>
  <c r="B56" i="163"/>
  <c r="A56" i="163"/>
  <c r="J55" i="163"/>
  <c r="I55" i="163"/>
  <c r="H55" i="163"/>
  <c r="G55" i="163"/>
  <c r="F55" i="163"/>
  <c r="K55" i="163" s="1"/>
  <c r="E55" i="163"/>
  <c r="D55" i="163"/>
  <c r="B55" i="163"/>
  <c r="A55" i="163"/>
  <c r="J54" i="163"/>
  <c r="I54" i="163"/>
  <c r="H54" i="163"/>
  <c r="G54" i="163"/>
  <c r="F54" i="163"/>
  <c r="E54" i="163"/>
  <c r="V54" i="163"/>
  <c r="D54" i="163"/>
  <c r="B54" i="163"/>
  <c r="A54" i="163"/>
  <c r="F50" i="163"/>
  <c r="C50" i="163"/>
  <c r="F49" i="163"/>
  <c r="Y146" i="163" s="1"/>
  <c r="C49" i="163"/>
  <c r="X146" i="163" s="1"/>
  <c r="C48" i="163"/>
  <c r="K44" i="163"/>
  <c r="Q41" i="163"/>
  <c r="S41" i="163" s="1"/>
  <c r="Q40" i="163"/>
  <c r="K40" i="163"/>
  <c r="S39" i="163"/>
  <c r="R39" i="163"/>
  <c r="Q39" i="163"/>
  <c r="K38" i="163"/>
  <c r="U146" i="163" s="1"/>
  <c r="G146" i="163" s="1"/>
  <c r="S29" i="163"/>
  <c r="R29" i="163"/>
  <c r="Q29" i="163"/>
  <c r="S28" i="163"/>
  <c r="R28" i="163"/>
  <c r="Q28" i="163"/>
  <c r="Q27" i="163"/>
  <c r="S27" i="163"/>
  <c r="S26" i="163"/>
  <c r="R26" i="163"/>
  <c r="Q26" i="163"/>
  <c r="Q25" i="163"/>
  <c r="S25" i="163" s="1"/>
  <c r="S24" i="163"/>
  <c r="Q24" i="163"/>
  <c r="R24" i="163"/>
  <c r="Q23" i="163"/>
  <c r="K23" i="163"/>
  <c r="O465" i="163" s="1"/>
  <c r="W505" i="163" s="1"/>
  <c r="Q22" i="163"/>
  <c r="S22" i="163" s="1"/>
  <c r="S21" i="163"/>
  <c r="Q21" i="163"/>
  <c r="R21" i="163" s="1"/>
  <c r="K19" i="163"/>
  <c r="F224" i="163" s="1"/>
  <c r="F226" i="163" s="1"/>
  <c r="E238" i="163" s="1"/>
  <c r="K17" i="163"/>
  <c r="O463" i="163" s="1"/>
  <c r="AA501" i="163" s="1"/>
  <c r="W501" i="163" s="1"/>
  <c r="Y501" i="163" s="1"/>
  <c r="K16" i="163"/>
  <c r="F26" i="163" s="1"/>
  <c r="K11" i="163"/>
  <c r="B8" i="163"/>
  <c r="A4" i="163"/>
  <c r="W3" i="163"/>
  <c r="A3" i="163"/>
  <c r="C2" i="163"/>
  <c r="A2" i="163"/>
  <c r="C1" i="163"/>
  <c r="A1" i="163"/>
  <c r="V527" i="162"/>
  <c r="T527" i="162"/>
  <c r="S527" i="162"/>
  <c r="U527" i="162" s="1"/>
  <c r="W527" i="162" s="1"/>
  <c r="W528" i="162" s="1"/>
  <c r="S525" i="162"/>
  <c r="R525" i="162"/>
  <c r="Q522" i="162"/>
  <c r="R522" i="162" s="1"/>
  <c r="T519" i="162"/>
  <c r="R519" i="162"/>
  <c r="Q519" i="162"/>
  <c r="S519" i="162" s="1"/>
  <c r="P519" i="162"/>
  <c r="V519" i="162"/>
  <c r="V518" i="162"/>
  <c r="N525" i="162" s="1"/>
  <c r="R518" i="162"/>
  <c r="Q518" i="162"/>
  <c r="S518" i="162" s="1"/>
  <c r="P518" i="162"/>
  <c r="W504" i="162"/>
  <c r="Y502" i="162"/>
  <c r="X502" i="162"/>
  <c r="W502" i="162"/>
  <c r="O501" i="162"/>
  <c r="O500" i="162"/>
  <c r="O499" i="162"/>
  <c r="O498" i="162"/>
  <c r="W497" i="162"/>
  <c r="O497" i="162"/>
  <c r="W496" i="162"/>
  <c r="O496" i="162"/>
  <c r="W495" i="162"/>
  <c r="O495" i="162"/>
  <c r="W494" i="162"/>
  <c r="O494" i="162"/>
  <c r="O493" i="162"/>
  <c r="W490" i="162"/>
  <c r="W489" i="162"/>
  <c r="W488" i="162"/>
  <c r="W487" i="162"/>
  <c r="R474" i="162"/>
  <c r="X483" i="162" s="1"/>
  <c r="AA482" i="162" s="1"/>
  <c r="P474" i="162"/>
  <c r="X482" i="162"/>
  <c r="S473" i="162"/>
  <c r="R473" i="162"/>
  <c r="AB467" i="162"/>
  <c r="AA467" i="162"/>
  <c r="AC467" i="162"/>
  <c r="AA466" i="162"/>
  <c r="AB466" i="162" s="1"/>
  <c r="AC466" i="162"/>
  <c r="AA465" i="162"/>
  <c r="AA464" i="162"/>
  <c r="AC464" i="162" s="1"/>
  <c r="AA463" i="162"/>
  <c r="AA462" i="162"/>
  <c r="AC462" i="162" s="1"/>
  <c r="AA461" i="162"/>
  <c r="AA460" i="162"/>
  <c r="AB460" i="162" s="1"/>
  <c r="U460" i="162"/>
  <c r="AB459" i="162"/>
  <c r="AA459" i="162"/>
  <c r="AC459" i="162"/>
  <c r="AA458" i="162"/>
  <c r="AB458" i="162"/>
  <c r="AA457" i="162"/>
  <c r="T457" i="162"/>
  <c r="T463" i="162"/>
  <c r="S457" i="162"/>
  <c r="S463" i="162" s="1"/>
  <c r="S464" i="162" s="1"/>
  <c r="V473" i="162" s="1"/>
  <c r="D403" i="162"/>
  <c r="D402" i="162"/>
  <c r="C406" i="162" s="1"/>
  <c r="E406" i="162" s="1"/>
  <c r="C383" i="162"/>
  <c r="C382" i="162"/>
  <c r="D344" i="162"/>
  <c r="C323" i="162"/>
  <c r="C408" i="162" s="1"/>
  <c r="C322" i="162"/>
  <c r="B318" i="162"/>
  <c r="E311" i="162"/>
  <c r="E314" i="162"/>
  <c r="C305" i="162"/>
  <c r="D302" i="162"/>
  <c r="D359" i="162" s="1"/>
  <c r="D360" i="162" s="1"/>
  <c r="D295" i="162"/>
  <c r="J288" i="162"/>
  <c r="C236" i="162"/>
  <c r="D237" i="162" s="1"/>
  <c r="S472" i="162"/>
  <c r="D233" i="162"/>
  <c r="D232" i="162"/>
  <c r="D252" i="162" s="1"/>
  <c r="D253" i="162" s="1"/>
  <c r="E190" i="162"/>
  <c r="K189" i="162"/>
  <c r="E189" i="162"/>
  <c r="C188" i="162"/>
  <c r="J127" i="162"/>
  <c r="B118" i="162"/>
  <c r="B119" i="162" s="1"/>
  <c r="B120" i="162" s="1"/>
  <c r="B121" i="162" s="1"/>
  <c r="B122" i="162" s="1"/>
  <c r="B123" i="162" s="1"/>
  <c r="B124" i="162" s="1"/>
  <c r="B125" i="162" s="1"/>
  <c r="B106" i="162"/>
  <c r="B107" i="162" s="1"/>
  <c r="B108" i="162" s="1"/>
  <c r="B109" i="162" s="1"/>
  <c r="B110" i="162" s="1"/>
  <c r="B111" i="162" s="1"/>
  <c r="B112" i="162" s="1"/>
  <c r="B113" i="162" s="1"/>
  <c r="B114" i="162" s="1"/>
  <c r="B115" i="162" s="1"/>
  <c r="B116" i="162" s="1"/>
  <c r="B117" i="162" s="1"/>
  <c r="B105" i="162"/>
  <c r="E104" i="162"/>
  <c r="I62" i="162"/>
  <c r="J57" i="162"/>
  <c r="H57" i="162"/>
  <c r="G57" i="162"/>
  <c r="F57" i="162"/>
  <c r="K57" i="162" s="1"/>
  <c r="E57" i="162"/>
  <c r="D57" i="162"/>
  <c r="B57" i="162"/>
  <c r="A57" i="162"/>
  <c r="J56" i="162"/>
  <c r="H56" i="162"/>
  <c r="H143" i="162"/>
  <c r="G56" i="162"/>
  <c r="F56" i="162"/>
  <c r="K56" i="162" s="1"/>
  <c r="E56" i="162"/>
  <c r="D56" i="162"/>
  <c r="B56" i="162"/>
  <c r="A56" i="162"/>
  <c r="J55" i="162"/>
  <c r="F104" i="162" s="1"/>
  <c r="I55" i="162"/>
  <c r="H55" i="162"/>
  <c r="C60" i="162" s="1"/>
  <c r="G55" i="162"/>
  <c r="F55" i="162"/>
  <c r="E55" i="162"/>
  <c r="D55" i="162"/>
  <c r="V74" i="162"/>
  <c r="B55" i="162"/>
  <c r="A55" i="162"/>
  <c r="J54" i="162"/>
  <c r="I54" i="162"/>
  <c r="H54" i="162"/>
  <c r="G54" i="162"/>
  <c r="F54" i="162"/>
  <c r="E54" i="162"/>
  <c r="V54" i="162"/>
  <c r="D54" i="162"/>
  <c r="B54" i="162"/>
  <c r="A54" i="162"/>
  <c r="F50" i="162"/>
  <c r="C50" i="162"/>
  <c r="F49" i="162"/>
  <c r="Y146" i="162" s="1"/>
  <c r="C49" i="162"/>
  <c r="X146" i="162" s="1"/>
  <c r="C48" i="162"/>
  <c r="K44" i="162"/>
  <c r="Q41" i="162"/>
  <c r="Q40" i="162"/>
  <c r="S40" i="162" s="1"/>
  <c r="K40" i="162"/>
  <c r="R39" i="162"/>
  <c r="Q39" i="162"/>
  <c r="S39" i="162"/>
  <c r="K38" i="162"/>
  <c r="F76" i="162" s="1"/>
  <c r="S29" i="162"/>
  <c r="Q29" i="162"/>
  <c r="R29" i="162" s="1"/>
  <c r="Q28" i="162"/>
  <c r="Q27" i="162"/>
  <c r="Q26" i="162"/>
  <c r="Q25" i="162"/>
  <c r="S25" i="162"/>
  <c r="S24" i="162"/>
  <c r="R24" i="162"/>
  <c r="Q24" i="162"/>
  <c r="Q23" i="162"/>
  <c r="K23" i="162"/>
  <c r="O465" i="162" s="1"/>
  <c r="Z503" i="162" s="1"/>
  <c r="Q22" i="162"/>
  <c r="S22" i="162"/>
  <c r="S21" i="162"/>
  <c r="R21" i="162"/>
  <c r="Q21" i="162"/>
  <c r="K19" i="162"/>
  <c r="F224" i="162" s="1"/>
  <c r="F226" i="162" s="1"/>
  <c r="E238" i="162" s="1"/>
  <c r="K17" i="162"/>
  <c r="O463" i="162" s="1"/>
  <c r="K16" i="162"/>
  <c r="F26" i="162" s="1"/>
  <c r="K11" i="162"/>
  <c r="Q460" i="162" s="1"/>
  <c r="O476" i="162" s="1"/>
  <c r="K10" i="162"/>
  <c r="O460" i="162" s="1"/>
  <c r="Q476" i="162" s="1"/>
  <c r="A4" i="162"/>
  <c r="W3" i="162"/>
  <c r="A3" i="162"/>
  <c r="C2" i="162"/>
  <c r="A2" i="162"/>
  <c r="C1" i="162"/>
  <c r="A1" i="162"/>
  <c r="J57" i="143"/>
  <c r="I57" i="143"/>
  <c r="H57" i="143"/>
  <c r="C75" i="143" s="1"/>
  <c r="G57" i="143"/>
  <c r="F57" i="143"/>
  <c r="E57" i="143"/>
  <c r="B57" i="143"/>
  <c r="D57" i="143"/>
  <c r="A57" i="143"/>
  <c r="J56" i="143"/>
  <c r="I56" i="143"/>
  <c r="H56" i="143"/>
  <c r="G56" i="143"/>
  <c r="F56" i="143"/>
  <c r="K56" i="143" s="1"/>
  <c r="E56" i="143"/>
  <c r="D56" i="143"/>
  <c r="B56" i="143"/>
  <c r="A56" i="143"/>
  <c r="K56" i="163"/>
  <c r="F104" i="163"/>
  <c r="C60" i="163"/>
  <c r="G61" i="163" s="1"/>
  <c r="C61" i="163"/>
  <c r="D365" i="163"/>
  <c r="R25" i="163"/>
  <c r="N144" i="163"/>
  <c r="C74" i="163"/>
  <c r="H145" i="163"/>
  <c r="AC466" i="163"/>
  <c r="AB466" i="163"/>
  <c r="AC461" i="163"/>
  <c r="S40" i="163"/>
  <c r="R40" i="163"/>
  <c r="K54" i="163"/>
  <c r="E406" i="163"/>
  <c r="W527" i="163"/>
  <c r="W528" i="163" s="1"/>
  <c r="C326" i="163"/>
  <c r="C408" i="163"/>
  <c r="AC458" i="163"/>
  <c r="AC465" i="163"/>
  <c r="S522" i="163"/>
  <c r="V522" i="163" s="1"/>
  <c r="D303" i="163"/>
  <c r="AB459" i="163"/>
  <c r="C264" i="163"/>
  <c r="R27" i="163"/>
  <c r="C305" i="163"/>
  <c r="R519" i="163"/>
  <c r="R41" i="163"/>
  <c r="V74" i="163"/>
  <c r="X480" i="163"/>
  <c r="K54" i="162"/>
  <c r="K55" i="162"/>
  <c r="S23" i="162"/>
  <c r="R23" i="162"/>
  <c r="T464" i="162"/>
  <c r="W473" i="162"/>
  <c r="X473" i="162"/>
  <c r="T473" i="162"/>
  <c r="U473" i="162" s="1"/>
  <c r="N144" i="162"/>
  <c r="C74" i="162"/>
  <c r="H145" i="162"/>
  <c r="C326" i="162"/>
  <c r="AC458" i="162"/>
  <c r="S522" i="162"/>
  <c r="D260" i="162"/>
  <c r="D261" i="162" s="1"/>
  <c r="J380" i="162"/>
  <c r="J320" i="162"/>
  <c r="D365" i="162"/>
  <c r="R22" i="162"/>
  <c r="R25" i="162"/>
  <c r="R40" i="162"/>
  <c r="C264" i="162"/>
  <c r="E305" i="162"/>
  <c r="AB462" i="162"/>
  <c r="AB464" i="162"/>
  <c r="E61" i="162"/>
  <c r="E61" i="163"/>
  <c r="O472" i="163"/>
  <c r="T472" i="163"/>
  <c r="D265" i="163"/>
  <c r="C75" i="163"/>
  <c r="D366" i="163"/>
  <c r="D393" i="163"/>
  <c r="D394" i="163" s="1"/>
  <c r="C77" i="162"/>
  <c r="R472" i="163"/>
  <c r="V483" i="163"/>
  <c r="Q472" i="163"/>
  <c r="V484" i="163"/>
  <c r="P472" i="163"/>
  <c r="V482" i="163"/>
  <c r="V481" i="163"/>
  <c r="U472" i="163"/>
  <c r="V491" i="163" s="1"/>
  <c r="C3" i="94"/>
  <c r="C3" i="163" s="1"/>
  <c r="C18" i="94"/>
  <c r="B20" i="94"/>
  <c r="A12" i="94"/>
  <c r="A9" i="94"/>
  <c r="H12" i="94"/>
  <c r="I12" i="94"/>
  <c r="G136" i="94"/>
  <c r="Q6" i="159"/>
  <c r="N56" i="159"/>
  <c r="N52" i="159"/>
  <c r="B56" i="159"/>
  <c r="B52" i="159"/>
  <c r="N3" i="161"/>
  <c r="K3" i="161"/>
  <c r="J3" i="161"/>
  <c r="H3" i="161"/>
  <c r="G3" i="161"/>
  <c r="F3" i="161"/>
  <c r="Z3" i="161" s="1"/>
  <c r="Q3" i="160" s="1"/>
  <c r="E3" i="161"/>
  <c r="Y3" i="161" s="1"/>
  <c r="B3" i="161"/>
  <c r="N6" i="159"/>
  <c r="S60" i="159" s="1"/>
  <c r="N5" i="159"/>
  <c r="U4" i="159"/>
  <c r="F94" i="159" s="1"/>
  <c r="T4" i="159"/>
  <c r="K80" i="159" s="1"/>
  <c r="N4" i="159"/>
  <c r="N77" i="159" s="1"/>
  <c r="U3" i="159"/>
  <c r="T3" i="159"/>
  <c r="K46" i="159" s="1"/>
  <c r="Q3" i="159"/>
  <c r="D3" i="160" s="1"/>
  <c r="N3" i="159"/>
  <c r="N2" i="159"/>
  <c r="Q1" i="159"/>
  <c r="N1" i="159"/>
  <c r="M104" i="159"/>
  <c r="O104" i="159"/>
  <c r="P104" i="159" s="1"/>
  <c r="M101" i="159"/>
  <c r="O101" i="159" s="1"/>
  <c r="P101" i="159"/>
  <c r="J99" i="159"/>
  <c r="M98" i="159"/>
  <c r="K56" i="159"/>
  <c r="D56" i="159"/>
  <c r="M56" i="159" s="1"/>
  <c r="W54" i="159"/>
  <c r="E54" i="159"/>
  <c r="D54" i="159"/>
  <c r="K52" i="159"/>
  <c r="R50" i="159"/>
  <c r="P37" i="159"/>
  <c r="N37" i="159"/>
  <c r="M37" i="159"/>
  <c r="K37" i="159"/>
  <c r="D37" i="159"/>
  <c r="B37" i="159"/>
  <c r="P35" i="159"/>
  <c r="N35" i="159"/>
  <c r="K35" i="159"/>
  <c r="D35" i="159"/>
  <c r="M35" i="159" s="1"/>
  <c r="B35" i="159"/>
  <c r="P33" i="159"/>
  <c r="N33" i="159"/>
  <c r="K33" i="159"/>
  <c r="D33" i="159"/>
  <c r="M33" i="159" s="1"/>
  <c r="B33" i="159"/>
  <c r="P31" i="159"/>
  <c r="N31" i="159"/>
  <c r="K31" i="159"/>
  <c r="D31" i="159"/>
  <c r="M31" i="159" s="1"/>
  <c r="B31" i="159"/>
  <c r="U29" i="159"/>
  <c r="P29" i="159"/>
  <c r="K29" i="159"/>
  <c r="D29" i="159"/>
  <c r="M29" i="159" s="1"/>
  <c r="O29" i="159" s="1"/>
  <c r="B29" i="159"/>
  <c r="X27" i="159"/>
  <c r="N26" i="159"/>
  <c r="V21" i="159"/>
  <c r="B15" i="159"/>
  <c r="AE12" i="159"/>
  <c r="AD12" i="159"/>
  <c r="AC12" i="159"/>
  <c r="AB12" i="159"/>
  <c r="AA12" i="159"/>
  <c r="Z12" i="159"/>
  <c r="Y12" i="159"/>
  <c r="X12" i="159"/>
  <c r="W12" i="159"/>
  <c r="V12" i="159"/>
  <c r="B12" i="159"/>
  <c r="D195" i="94"/>
  <c r="D194" i="94"/>
  <c r="B9" i="121"/>
  <c r="K55" i="147"/>
  <c r="O17" i="94"/>
  <c r="K7" i="94" s="1"/>
  <c r="K20" i="94" s="1"/>
  <c r="C1" i="143"/>
  <c r="T527" i="147"/>
  <c r="V527" i="147" s="1"/>
  <c r="S527" i="147"/>
  <c r="U527" i="147" s="1"/>
  <c r="S525" i="147"/>
  <c r="R525" i="147"/>
  <c r="Q522" i="147"/>
  <c r="T519" i="147"/>
  <c r="R519" i="147" s="1"/>
  <c r="Q519" i="147"/>
  <c r="P519" i="147"/>
  <c r="Q518" i="147"/>
  <c r="S518" i="147"/>
  <c r="P518" i="147"/>
  <c r="W504" i="147"/>
  <c r="X502" i="147"/>
  <c r="W502" i="147"/>
  <c r="Y502" i="147" s="1"/>
  <c r="O501" i="147"/>
  <c r="O500" i="147"/>
  <c r="O499" i="147"/>
  <c r="O498" i="147"/>
  <c r="W497" i="147"/>
  <c r="O497" i="147"/>
  <c r="W496" i="147"/>
  <c r="O496" i="147"/>
  <c r="W495" i="147"/>
  <c r="O495" i="147"/>
  <c r="W494" i="147"/>
  <c r="O494" i="147"/>
  <c r="O493" i="147"/>
  <c r="W490" i="147"/>
  <c r="W489" i="147"/>
  <c r="W488" i="147"/>
  <c r="W487" i="147"/>
  <c r="P474" i="147"/>
  <c r="X482" i="147" s="1"/>
  <c r="R473" i="147"/>
  <c r="R474" i="147" s="1"/>
  <c r="X483" i="147" s="1"/>
  <c r="AA482" i="147" s="1"/>
  <c r="AA467" i="147"/>
  <c r="AC467" i="147"/>
  <c r="AA466" i="147"/>
  <c r="AB466" i="147" s="1"/>
  <c r="AC466" i="147"/>
  <c r="AA465" i="147"/>
  <c r="AB465" i="147"/>
  <c r="AA464" i="147"/>
  <c r="AC464" i="147"/>
  <c r="AA463" i="147"/>
  <c r="AC463" i="147"/>
  <c r="AA462" i="147"/>
  <c r="AC462" i="147" s="1"/>
  <c r="AB462" i="147"/>
  <c r="AA461" i="147"/>
  <c r="AC461" i="147"/>
  <c r="AA460" i="147"/>
  <c r="AC460" i="147"/>
  <c r="AA459" i="147"/>
  <c r="AC459" i="147"/>
  <c r="AA458" i="147"/>
  <c r="AB458" i="147" s="1"/>
  <c r="AC458" i="147"/>
  <c r="AA457" i="147"/>
  <c r="AC457" i="147"/>
  <c r="T457" i="147"/>
  <c r="T463" i="147"/>
  <c r="S457" i="147"/>
  <c r="S463" i="147"/>
  <c r="S473" i="147" s="1"/>
  <c r="D402" i="147"/>
  <c r="D403" i="147" s="1"/>
  <c r="C383" i="147"/>
  <c r="C382" i="147"/>
  <c r="J380" i="147" s="1"/>
  <c r="D344" i="147"/>
  <c r="C323" i="147"/>
  <c r="C408" i="147"/>
  <c r="C322" i="147"/>
  <c r="C326" i="147" s="1"/>
  <c r="B318" i="147"/>
  <c r="E311" i="147"/>
  <c r="E314" i="147" s="1"/>
  <c r="D302" i="147"/>
  <c r="D295" i="147"/>
  <c r="J288" i="147"/>
  <c r="D232" i="147"/>
  <c r="D252" i="147"/>
  <c r="D253" i="147"/>
  <c r="E190" i="147"/>
  <c r="K189" i="147"/>
  <c r="E189" i="147"/>
  <c r="C188" i="147"/>
  <c r="J127" i="147"/>
  <c r="D105" i="147"/>
  <c r="B105" i="147"/>
  <c r="B106" i="147"/>
  <c r="B107" i="147" s="1"/>
  <c r="B108" i="147" s="1"/>
  <c r="B109" i="147" s="1"/>
  <c r="B110" i="147" s="1"/>
  <c r="B111" i="147" s="1"/>
  <c r="B112" i="147" s="1"/>
  <c r="B113" i="147"/>
  <c r="B114" i="147" s="1"/>
  <c r="B115" i="147" s="1"/>
  <c r="B116" i="147" s="1"/>
  <c r="B117" i="147" s="1"/>
  <c r="B118" i="147" s="1"/>
  <c r="B119" i="147" s="1"/>
  <c r="B120" i="147" s="1"/>
  <c r="B121" i="147" s="1"/>
  <c r="B122" i="147" s="1"/>
  <c r="B123" i="147" s="1"/>
  <c r="B124" i="147" s="1"/>
  <c r="B125" i="147" s="1"/>
  <c r="F104" i="147"/>
  <c r="E104" i="147"/>
  <c r="V74" i="147"/>
  <c r="I62" i="147"/>
  <c r="C60" i="147"/>
  <c r="C61" i="147" s="1"/>
  <c r="E61" i="147"/>
  <c r="J57" i="147"/>
  <c r="I57" i="147"/>
  <c r="H57" i="147"/>
  <c r="G57" i="147"/>
  <c r="K57" i="147" s="1"/>
  <c r="F57" i="147"/>
  <c r="E57" i="147"/>
  <c r="D57" i="147"/>
  <c r="B57" i="147"/>
  <c r="A57" i="147"/>
  <c r="J56" i="147"/>
  <c r="I56" i="147"/>
  <c r="H56" i="147"/>
  <c r="H143" i="147" s="1"/>
  <c r="G56" i="147"/>
  <c r="F56" i="147"/>
  <c r="E56" i="147"/>
  <c r="D56" i="147"/>
  <c r="B56" i="147"/>
  <c r="A56" i="147"/>
  <c r="J54" i="147"/>
  <c r="I54" i="147"/>
  <c r="H54" i="147"/>
  <c r="G54" i="147"/>
  <c r="F54" i="147"/>
  <c r="K54" i="147" s="1"/>
  <c r="E54" i="147"/>
  <c r="D54" i="147"/>
  <c r="B54" i="147"/>
  <c r="A54" i="147"/>
  <c r="E51" i="147"/>
  <c r="F50" i="147"/>
  <c r="C50" i="147"/>
  <c r="F49" i="147"/>
  <c r="Y146" i="147" s="1"/>
  <c r="C49" i="147"/>
  <c r="X146" i="147" s="1"/>
  <c r="C48" i="147"/>
  <c r="K44" i="147"/>
  <c r="Q41" i="147"/>
  <c r="R41" i="147" s="1"/>
  <c r="Q40" i="147"/>
  <c r="S40" i="147"/>
  <c r="K40" i="147"/>
  <c r="Q39" i="147"/>
  <c r="R39" i="147" s="1"/>
  <c r="K38" i="147"/>
  <c r="F76" i="147" s="1"/>
  <c r="Q29" i="147"/>
  <c r="R29" i="147"/>
  <c r="Q28" i="147"/>
  <c r="S28" i="147"/>
  <c r="Q27" i="147"/>
  <c r="S27" i="147" s="1"/>
  <c r="Q26" i="147"/>
  <c r="Q25" i="147"/>
  <c r="S25" i="147"/>
  <c r="Q24" i="147"/>
  <c r="S24" i="147"/>
  <c r="Q23" i="147"/>
  <c r="R23" i="147" s="1"/>
  <c r="S23" i="147"/>
  <c r="K23" i="147"/>
  <c r="Q22" i="147"/>
  <c r="R22" i="147"/>
  <c r="Q21" i="147"/>
  <c r="S21" i="147"/>
  <c r="K19" i="147"/>
  <c r="O462" i="147" s="1"/>
  <c r="K17" i="147"/>
  <c r="E289" i="147" s="1"/>
  <c r="J289" i="147" s="1"/>
  <c r="K16" i="147"/>
  <c r="E288" i="147" s="1"/>
  <c r="AB13" i="147"/>
  <c r="K11" i="147"/>
  <c r="K10" i="147"/>
  <c r="C110" i="147" s="1"/>
  <c r="F110" i="147" s="1"/>
  <c r="A4" i="147"/>
  <c r="W3" i="147"/>
  <c r="A3" i="147"/>
  <c r="C2" i="147"/>
  <c r="A2" i="147"/>
  <c r="C1" i="147"/>
  <c r="A1" i="147"/>
  <c r="C406" i="147"/>
  <c r="AB467" i="147"/>
  <c r="AB459" i="147"/>
  <c r="R40" i="147"/>
  <c r="C305" i="147"/>
  <c r="O473" i="147" s="1"/>
  <c r="R24" i="147"/>
  <c r="I322" i="147"/>
  <c r="I382" i="147" s="1"/>
  <c r="AB457" i="147"/>
  <c r="AC465" i="147"/>
  <c r="R25" i="147"/>
  <c r="V518" i="147"/>
  <c r="N525" i="147"/>
  <c r="U460" i="147"/>
  <c r="R28" i="147"/>
  <c r="AB460" i="147"/>
  <c r="W527" i="147"/>
  <c r="W528" i="147" s="1"/>
  <c r="S464" i="147"/>
  <c r="V473" i="147" s="1"/>
  <c r="S22" i="147"/>
  <c r="S29" i="147"/>
  <c r="D233" i="147"/>
  <c r="R21" i="147"/>
  <c r="C236" i="147"/>
  <c r="C264" i="147" s="1"/>
  <c r="K56" i="147"/>
  <c r="G61" i="147"/>
  <c r="N144" i="147"/>
  <c r="H145" i="147"/>
  <c r="C74" i="147"/>
  <c r="C76" i="147" s="1"/>
  <c r="T473" i="147"/>
  <c r="U473" i="147"/>
  <c r="T464" i="147"/>
  <c r="W473" i="147" s="1"/>
  <c r="X473" i="147" s="1"/>
  <c r="S41" i="147"/>
  <c r="D260" i="147"/>
  <c r="D261" i="147"/>
  <c r="AB461" i="147"/>
  <c r="AB464" i="147"/>
  <c r="D106" i="147"/>
  <c r="R518" i="147"/>
  <c r="AB463" i="147"/>
  <c r="M70" i="94"/>
  <c r="O69" i="94" s="1"/>
  <c r="E64" i="94" s="1"/>
  <c r="E305" i="147"/>
  <c r="C77" i="147"/>
  <c r="C75" i="147"/>
  <c r="Q473" i="147"/>
  <c r="Q474" i="147" s="1"/>
  <c r="X484" i="147" s="1"/>
  <c r="O474" i="147"/>
  <c r="X481" i="147" s="1"/>
  <c r="D107" i="147"/>
  <c r="D108" i="147" s="1"/>
  <c r="D109" i="147" s="1"/>
  <c r="D110" i="147" s="1"/>
  <c r="K12" i="94"/>
  <c r="C132" i="94"/>
  <c r="C122" i="94" s="1"/>
  <c r="C118" i="94" s="1"/>
  <c r="M2" i="121"/>
  <c r="Y61" i="94"/>
  <c r="K10" i="143"/>
  <c r="K11" i="143"/>
  <c r="Q460" i="143" s="1"/>
  <c r="D111" i="147"/>
  <c r="D112" i="147" s="1"/>
  <c r="B19" i="121"/>
  <c r="B24" i="121"/>
  <c r="J3" i="121" s="1"/>
  <c r="F25" i="121"/>
  <c r="W3" i="143"/>
  <c r="T527" i="143"/>
  <c r="V527" i="143" s="1"/>
  <c r="S527" i="143"/>
  <c r="U527" i="143" s="1"/>
  <c r="S525" i="143"/>
  <c r="R525" i="143"/>
  <c r="Q522" i="143"/>
  <c r="R522" i="143" s="1"/>
  <c r="T519" i="143"/>
  <c r="Q519" i="143"/>
  <c r="P519" i="143"/>
  <c r="Q518" i="143"/>
  <c r="P518" i="143"/>
  <c r="R518" i="143" s="1"/>
  <c r="W504" i="143"/>
  <c r="X502" i="143"/>
  <c r="W502" i="143"/>
  <c r="O501" i="143"/>
  <c r="O500" i="143"/>
  <c r="O499" i="143"/>
  <c r="O498" i="143"/>
  <c r="W497" i="143"/>
  <c r="O497" i="143"/>
  <c r="W496" i="143"/>
  <c r="O496" i="143"/>
  <c r="W495" i="143"/>
  <c r="O495" i="143"/>
  <c r="W494" i="143"/>
  <c r="O494" i="143"/>
  <c r="O493" i="143"/>
  <c r="W490" i="143"/>
  <c r="W489" i="143"/>
  <c r="W488" i="143"/>
  <c r="W487" i="143"/>
  <c r="P474" i="143"/>
  <c r="X482" i="143" s="1"/>
  <c r="R473" i="143"/>
  <c r="R474" i="143"/>
  <c r="X483" i="143" s="1"/>
  <c r="AA467" i="143"/>
  <c r="AB467" i="143" s="1"/>
  <c r="AA466" i="143"/>
  <c r="AC466" i="143" s="1"/>
  <c r="AA465" i="143"/>
  <c r="AA464" i="143"/>
  <c r="AA463" i="143"/>
  <c r="AB463" i="143" s="1"/>
  <c r="AA462" i="143"/>
  <c r="AB462" i="143" s="1"/>
  <c r="AA461" i="143"/>
  <c r="AB461" i="143" s="1"/>
  <c r="AA460" i="143"/>
  <c r="AC460" i="143"/>
  <c r="AA459" i="143"/>
  <c r="AC459" i="143" s="1"/>
  <c r="AA458" i="143"/>
  <c r="AA457" i="143"/>
  <c r="AC457" i="143" s="1"/>
  <c r="T457" i="143"/>
  <c r="T463" i="143" s="1"/>
  <c r="S457" i="143"/>
  <c r="S463" i="143" s="1"/>
  <c r="S464" i="143" s="1"/>
  <c r="V473" i="143" s="1"/>
  <c r="D402" i="143"/>
  <c r="C406" i="143" s="1"/>
  <c r="C383" i="143"/>
  <c r="C382" i="143"/>
  <c r="D344" i="143"/>
  <c r="C323" i="143"/>
  <c r="C322" i="143"/>
  <c r="J320" i="143" s="1"/>
  <c r="B318" i="143"/>
  <c r="E311" i="143"/>
  <c r="E314" i="143" s="1"/>
  <c r="D302" i="143"/>
  <c r="C305" i="143" s="1"/>
  <c r="D295" i="143"/>
  <c r="J288" i="143"/>
  <c r="D232" i="143"/>
  <c r="E190" i="143"/>
  <c r="K189" i="143"/>
  <c r="E189" i="143"/>
  <c r="C188" i="143"/>
  <c r="J127" i="143"/>
  <c r="B105" i="143"/>
  <c r="B106" i="143" s="1"/>
  <c r="B107" i="143" s="1"/>
  <c r="B108" i="143" s="1"/>
  <c r="B109" i="143" s="1"/>
  <c r="B110" i="143" s="1"/>
  <c r="B111" i="143" s="1"/>
  <c r="B112" i="143" s="1"/>
  <c r="B113" i="143" s="1"/>
  <c r="B114" i="143" s="1"/>
  <c r="B115" i="143" s="1"/>
  <c r="B116" i="143" s="1"/>
  <c r="B117" i="143" s="1"/>
  <c r="B118" i="143" s="1"/>
  <c r="B119" i="143" s="1"/>
  <c r="B120" i="143" s="1"/>
  <c r="B121" i="143" s="1"/>
  <c r="B122" i="143" s="1"/>
  <c r="B123" i="143" s="1"/>
  <c r="B124" i="143" s="1"/>
  <c r="B125" i="143" s="1"/>
  <c r="E104" i="143"/>
  <c r="I62" i="143"/>
  <c r="J54" i="143"/>
  <c r="H64" i="94" s="1"/>
  <c r="I54" i="143"/>
  <c r="H54" i="143"/>
  <c r="G54" i="143"/>
  <c r="F54" i="143"/>
  <c r="E54" i="143"/>
  <c r="V54" i="143" s="1"/>
  <c r="D54" i="143"/>
  <c r="B54" i="143"/>
  <c r="A54" i="143"/>
  <c r="F50" i="143"/>
  <c r="C50" i="143"/>
  <c r="F49" i="143"/>
  <c r="Y146" i="143" s="1"/>
  <c r="C49" i="143"/>
  <c r="X146" i="143" s="1"/>
  <c r="C48" i="143"/>
  <c r="K44" i="143"/>
  <c r="Q41" i="143"/>
  <c r="S41" i="143" s="1"/>
  <c r="Q40" i="143"/>
  <c r="S40" i="143" s="1"/>
  <c r="K40" i="143"/>
  <c r="Q39" i="143"/>
  <c r="S39" i="143" s="1"/>
  <c r="K38" i="143"/>
  <c r="Q29" i="143"/>
  <c r="R29" i="143" s="1"/>
  <c r="Q28" i="143"/>
  <c r="Q27" i="143"/>
  <c r="R27" i="143" s="1"/>
  <c r="Q26" i="143"/>
  <c r="R26" i="143" s="1"/>
  <c r="Q25" i="143"/>
  <c r="Q24" i="143"/>
  <c r="S24" i="143" s="1"/>
  <c r="Q23" i="143"/>
  <c r="R23" i="143" s="1"/>
  <c r="K23" i="143"/>
  <c r="F322" i="143" s="1"/>
  <c r="Q22" i="143"/>
  <c r="S22" i="143" s="1"/>
  <c r="Q21" i="143"/>
  <c r="R21" i="143" s="1"/>
  <c r="K19" i="143"/>
  <c r="F224" i="143" s="1"/>
  <c r="F226" i="143" s="1"/>
  <c r="E238" i="143" s="1"/>
  <c r="K17" i="143"/>
  <c r="O463" i="143" s="1"/>
  <c r="K16" i="143"/>
  <c r="O466" i="143" s="1"/>
  <c r="A4" i="143"/>
  <c r="A3" i="143"/>
  <c r="C2" i="143"/>
  <c r="A2" i="143"/>
  <c r="A1" i="143"/>
  <c r="AB460" i="143"/>
  <c r="AC462" i="143"/>
  <c r="R41" i="143"/>
  <c r="AB457" i="143"/>
  <c r="S25" i="143"/>
  <c r="R25" i="143"/>
  <c r="C326" i="143"/>
  <c r="J380" i="143"/>
  <c r="R22" i="143"/>
  <c r="G241" i="94"/>
  <c r="K52" i="94"/>
  <c r="K48" i="143" s="1"/>
  <c r="K68" i="94"/>
  <c r="D67" i="94"/>
  <c r="A2" i="160" s="1"/>
  <c r="H10" i="121"/>
  <c r="F10" i="121" s="1"/>
  <c r="F3" i="121"/>
  <c r="F9" i="121" s="1"/>
  <c r="F37" i="94"/>
  <c r="F18" i="121"/>
  <c r="F16" i="121"/>
  <c r="F8" i="121"/>
  <c r="G182" i="94"/>
  <c r="G183" i="94" s="1"/>
  <c r="E164" i="94"/>
  <c r="H164" i="94" s="1"/>
  <c r="E163" i="94"/>
  <c r="E69" i="94"/>
  <c r="E68" i="94"/>
  <c r="I10" i="127"/>
  <c r="F102" i="94"/>
  <c r="F104" i="94" s="1"/>
  <c r="I62" i="94"/>
  <c r="C62" i="94"/>
  <c r="K64" i="94"/>
  <c r="F63" i="94"/>
  <c r="F62" i="94"/>
  <c r="B64" i="94"/>
  <c r="O28" i="94"/>
  <c r="P28" i="94"/>
  <c r="Q28" i="94"/>
  <c r="R28" i="94"/>
  <c r="S28" i="94"/>
  <c r="T28" i="94"/>
  <c r="N28" i="94"/>
  <c r="O153" i="94"/>
  <c r="F21" i="121"/>
  <c r="F22" i="121" s="1"/>
  <c r="B11" i="121"/>
  <c r="B13" i="121" s="1"/>
  <c r="B10" i="121"/>
  <c r="B8" i="121"/>
  <c r="B7" i="121"/>
  <c r="B6" i="121"/>
  <c r="B4" i="121"/>
  <c r="B3" i="121"/>
  <c r="C43" i="94"/>
  <c r="C33" i="147" s="1"/>
  <c r="D43" i="94"/>
  <c r="D33" i="162" s="1"/>
  <c r="E43" i="94"/>
  <c r="E33" i="147" s="1"/>
  <c r="F43" i="94"/>
  <c r="F33" i="143" s="1"/>
  <c r="G43" i="94"/>
  <c r="G33" i="162" s="1"/>
  <c r="H43" i="94"/>
  <c r="H33" i="163" s="1"/>
  <c r="C44" i="94"/>
  <c r="D44" i="94"/>
  <c r="D34" i="163" s="1"/>
  <c r="E44" i="94"/>
  <c r="C49" i="94" s="1"/>
  <c r="C39" i="147" s="1"/>
  <c r="F44" i="94"/>
  <c r="F34" i="162" s="1"/>
  <c r="G44" i="94"/>
  <c r="G34" i="163" s="1"/>
  <c r="H44" i="94"/>
  <c r="H34" i="162" s="1"/>
  <c r="C45" i="94"/>
  <c r="C55" i="94" s="1"/>
  <c r="D45" i="94"/>
  <c r="D35" i="163" s="1"/>
  <c r="E45" i="94"/>
  <c r="F45" i="94"/>
  <c r="F35" i="163" s="1"/>
  <c r="G45" i="94"/>
  <c r="H45" i="94"/>
  <c r="H35" i="147" s="1"/>
  <c r="C46" i="94"/>
  <c r="C36" i="162" s="1"/>
  <c r="D46" i="94"/>
  <c r="D36" i="147" s="1"/>
  <c r="E46" i="94"/>
  <c r="E36" i="143" s="1"/>
  <c r="F46" i="94"/>
  <c r="F36" i="163" s="1"/>
  <c r="G46" i="94"/>
  <c r="H46" i="94"/>
  <c r="H36" i="163" s="1"/>
  <c r="C47" i="94"/>
  <c r="C37" i="143" s="1"/>
  <c r="D47" i="94"/>
  <c r="D37" i="143" s="1"/>
  <c r="E47" i="94"/>
  <c r="E37" i="162" s="1"/>
  <c r="F47" i="94"/>
  <c r="F37" i="162" s="1"/>
  <c r="G47" i="94"/>
  <c r="G37" i="162" s="1"/>
  <c r="H47" i="94"/>
  <c r="H37" i="163" s="1"/>
  <c r="D42" i="94"/>
  <c r="E42" i="94"/>
  <c r="E32" i="143" s="1"/>
  <c r="F42" i="94"/>
  <c r="F32" i="147" s="1"/>
  <c r="G42" i="94"/>
  <c r="G32" i="143" s="1"/>
  <c r="H42" i="94"/>
  <c r="H32" i="162" s="1"/>
  <c r="C42" i="94"/>
  <c r="C32" i="162" s="1"/>
  <c r="O70" i="94"/>
  <c r="H163" i="94"/>
  <c r="M3" i="121"/>
  <c r="T363" i="94"/>
  <c r="V363" i="94"/>
  <c r="S363" i="94"/>
  <c r="U363" i="94"/>
  <c r="S361" i="94"/>
  <c r="R361" i="94"/>
  <c r="Q358" i="94"/>
  <c r="R358" i="94" s="1"/>
  <c r="T355" i="94"/>
  <c r="Q355" i="94"/>
  <c r="S355" i="94" s="1"/>
  <c r="P355" i="94"/>
  <c r="Q354" i="94"/>
  <c r="P354" i="94"/>
  <c r="W340" i="94"/>
  <c r="X338" i="94"/>
  <c r="W338" i="94"/>
  <c r="O337" i="94"/>
  <c r="O336" i="94"/>
  <c r="O335" i="94"/>
  <c r="O334" i="94"/>
  <c r="W333" i="94"/>
  <c r="O333" i="94"/>
  <c r="W332" i="94"/>
  <c r="O332" i="94"/>
  <c r="W331" i="94"/>
  <c r="O331" i="94"/>
  <c r="W330" i="94"/>
  <c r="O330" i="94"/>
  <c r="O329" i="94"/>
  <c r="W326" i="94"/>
  <c r="W325" i="94"/>
  <c r="W324" i="94"/>
  <c r="W323" i="94"/>
  <c r="P310" i="94"/>
  <c r="X318" i="94" s="1"/>
  <c r="AA318" i="94" s="1"/>
  <c r="R309" i="94"/>
  <c r="R310" i="94" s="1"/>
  <c r="X319" i="94" s="1"/>
  <c r="AA303" i="94"/>
  <c r="AB303" i="94" s="1"/>
  <c r="AA302" i="94"/>
  <c r="AB302" i="94" s="1"/>
  <c r="AC302" i="94"/>
  <c r="O302" i="94"/>
  <c r="AA301" i="94"/>
  <c r="AC301" i="94"/>
  <c r="O301" i="94"/>
  <c r="W339" i="94" s="1"/>
  <c r="AA300" i="94"/>
  <c r="AC300" i="94" s="1"/>
  <c r="AB300" i="94"/>
  <c r="AA299" i="94"/>
  <c r="O299" i="94"/>
  <c r="AA337" i="94" s="1"/>
  <c r="W337" i="94" s="1"/>
  <c r="Y337" i="94" s="1"/>
  <c r="AA298" i="94"/>
  <c r="AC298" i="94" s="1"/>
  <c r="O298" i="94"/>
  <c r="R316" i="94" s="1"/>
  <c r="AA297" i="94"/>
  <c r="AB297" i="94" s="1"/>
  <c r="AA296" i="94"/>
  <c r="AC296" i="94" s="1"/>
  <c r="Q296" i="94"/>
  <c r="Y314" i="94" s="1"/>
  <c r="O316" i="94" s="1"/>
  <c r="AA295" i="94"/>
  <c r="AC295" i="94" s="1"/>
  <c r="AA294" i="94"/>
  <c r="AC294" i="94"/>
  <c r="AA293" i="94"/>
  <c r="AC293" i="94"/>
  <c r="T293" i="94"/>
  <c r="T299" i="94" s="1"/>
  <c r="S293" i="94"/>
  <c r="S299" i="94" s="1"/>
  <c r="K49" i="94"/>
  <c r="K50" i="94" s="1"/>
  <c r="J144" i="94" s="1"/>
  <c r="Q42" i="94"/>
  <c r="Q41" i="94"/>
  <c r="S41" i="94"/>
  <c r="Q40" i="94"/>
  <c r="R40" i="94" s="1"/>
  <c r="Q39" i="94"/>
  <c r="R39" i="94"/>
  <c r="Q38" i="94"/>
  <c r="Q37" i="94"/>
  <c r="S37" i="94"/>
  <c r="C37" i="94"/>
  <c r="Q36" i="94"/>
  <c r="S36" i="94"/>
  <c r="Q35" i="94"/>
  <c r="R35" i="94" s="1"/>
  <c r="Q34" i="94"/>
  <c r="S34" i="94" s="1"/>
  <c r="Q33" i="94"/>
  <c r="R33" i="94"/>
  <c r="Q32" i="94"/>
  <c r="S32" i="94" s="1"/>
  <c r="H31" i="94"/>
  <c r="K14" i="94"/>
  <c r="H20" i="94"/>
  <c r="C126" i="16"/>
  <c r="V8" i="90"/>
  <c r="C128" i="16"/>
  <c r="N163" i="16"/>
  <c r="C122" i="16"/>
  <c r="E139" i="16" s="1"/>
  <c r="K146" i="16" s="1"/>
  <c r="D12" i="91" s="1"/>
  <c r="M12" i="91" s="1"/>
  <c r="E122" i="16"/>
  <c r="C139" i="16" s="1"/>
  <c r="G139" i="16" s="1"/>
  <c r="C125" i="16"/>
  <c r="F144" i="16"/>
  <c r="C144" i="16" s="1"/>
  <c r="F138" i="16"/>
  <c r="F139" i="16" s="1"/>
  <c r="K147" i="16" s="1"/>
  <c r="C127" i="16"/>
  <c r="F132" i="16" s="1"/>
  <c r="L168" i="16" s="1"/>
  <c r="N65" i="91" s="1"/>
  <c r="C20" i="16"/>
  <c r="G23" i="16"/>
  <c r="G21" i="16" s="1"/>
  <c r="C24" i="16"/>
  <c r="C26" i="16"/>
  <c r="C28" i="16"/>
  <c r="G31" i="16"/>
  <c r="G29" i="16" s="1"/>
  <c r="G28" i="16"/>
  <c r="C30" i="16"/>
  <c r="E110" i="147" s="1"/>
  <c r="C34" i="16"/>
  <c r="C124" i="16"/>
  <c r="F143" i="16" s="1"/>
  <c r="C173" i="16"/>
  <c r="B173" i="16"/>
  <c r="K65" i="91"/>
  <c r="L65" i="91"/>
  <c r="K61" i="91"/>
  <c r="L61" i="91" s="1"/>
  <c r="K57" i="91"/>
  <c r="L57" i="91" s="1"/>
  <c r="K55" i="91"/>
  <c r="L55" i="91" s="1"/>
  <c r="K51" i="91"/>
  <c r="L51" i="91"/>
  <c r="K47" i="91"/>
  <c r="L47" i="91" s="1"/>
  <c r="K44" i="91"/>
  <c r="L44" i="91" s="1"/>
  <c r="F63" i="91"/>
  <c r="E63" i="91" s="1"/>
  <c r="D53" i="91"/>
  <c r="G120" i="16"/>
  <c r="G125" i="16" s="1"/>
  <c r="G128" i="16"/>
  <c r="H120" i="16"/>
  <c r="K152" i="16"/>
  <c r="D24" i="91"/>
  <c r="M24" i="91" s="1"/>
  <c r="K158" i="16"/>
  <c r="D36" i="91"/>
  <c r="M36" i="91" s="1"/>
  <c r="K153" i="16"/>
  <c r="D26" i="91" s="1"/>
  <c r="M26" i="91" s="1"/>
  <c r="K159" i="16"/>
  <c r="D38" i="91" s="1"/>
  <c r="D137" i="16"/>
  <c r="L145" i="16"/>
  <c r="F136" i="16"/>
  <c r="F137" i="16" s="1"/>
  <c r="L147" i="16" s="1"/>
  <c r="F149" i="16"/>
  <c r="E13" i="90"/>
  <c r="E14" i="90"/>
  <c r="E15" i="90"/>
  <c r="F33" i="90"/>
  <c r="G33" i="90" s="1"/>
  <c r="F32" i="90"/>
  <c r="G32" i="90" s="1"/>
  <c r="F31" i="90"/>
  <c r="H31" i="90" s="1"/>
  <c r="F30" i="90"/>
  <c r="G30" i="90"/>
  <c r="F29" i="90"/>
  <c r="N5" i="90" s="1"/>
  <c r="G29" i="90"/>
  <c r="F28" i="90"/>
  <c r="G28" i="90" s="1"/>
  <c r="F27" i="90"/>
  <c r="G27" i="90" s="1"/>
  <c r="F26" i="90"/>
  <c r="G26" i="90"/>
  <c r="F25" i="90"/>
  <c r="H25" i="90" s="1"/>
  <c r="F24" i="90"/>
  <c r="G24" i="90" s="1"/>
  <c r="F23" i="90"/>
  <c r="G23" i="90" s="1"/>
  <c r="F22" i="90"/>
  <c r="H22" i="90"/>
  <c r="E9" i="90"/>
  <c r="E10" i="90"/>
  <c r="E11" i="90"/>
  <c r="E12" i="90"/>
  <c r="O165" i="16"/>
  <c r="K167" i="16"/>
  <c r="E16" i="90"/>
  <c r="E17" i="90"/>
  <c r="V4" i="90"/>
  <c r="E71" i="91"/>
  <c r="M70" i="91" s="1"/>
  <c r="E70" i="91"/>
  <c r="K70" i="91"/>
  <c r="L70" i="91"/>
  <c r="B70" i="91"/>
  <c r="Q16" i="91"/>
  <c r="Q14" i="91"/>
  <c r="Q12" i="91"/>
  <c r="Q10" i="91"/>
  <c r="Q8" i="91"/>
  <c r="Q5" i="91"/>
  <c r="B65" i="91"/>
  <c r="B61" i="91"/>
  <c r="B57" i="91"/>
  <c r="B55" i="91"/>
  <c r="B51" i="91"/>
  <c r="B47" i="91"/>
  <c r="B44" i="91"/>
  <c r="B42" i="91"/>
  <c r="B40" i="91"/>
  <c r="B38" i="91"/>
  <c r="B36" i="91"/>
  <c r="B34" i="91"/>
  <c r="B32" i="91"/>
  <c r="B30" i="91"/>
  <c r="B28" i="91"/>
  <c r="B26" i="91"/>
  <c r="B24" i="91"/>
  <c r="B22" i="91"/>
  <c r="B5" i="91"/>
  <c r="B8" i="91"/>
  <c r="B10" i="91"/>
  <c r="B14" i="91"/>
  <c r="B16" i="91"/>
  <c r="B20" i="91"/>
  <c r="B18" i="91"/>
  <c r="B145" i="16"/>
  <c r="C145" i="16"/>
  <c r="C157" i="16"/>
  <c r="C158" i="16"/>
  <c r="C159" i="16"/>
  <c r="C160" i="16"/>
  <c r="C161" i="16"/>
  <c r="C162" i="16"/>
  <c r="C163" i="16"/>
  <c r="C164" i="16"/>
  <c r="C156" i="16"/>
  <c r="C38" i="16"/>
  <c r="C40" i="16"/>
  <c r="C42" i="16"/>
  <c r="C44" i="16"/>
  <c r="C48" i="16"/>
  <c r="G47" i="16"/>
  <c r="G49" i="16" s="1"/>
  <c r="G48" i="16" s="1"/>
  <c r="C50" i="16"/>
  <c r="G39" i="16"/>
  <c r="S7" i="16"/>
  <c r="X8" i="16" s="1"/>
  <c r="S8" i="16"/>
  <c r="Q7" i="16"/>
  <c r="V8" i="16" s="1"/>
  <c r="Q8" i="16"/>
  <c r="T7" i="16"/>
  <c r="Y8" i="16"/>
  <c r="T8" i="16"/>
  <c r="R7" i="16"/>
  <c r="W8" i="16" s="1"/>
  <c r="R8" i="16"/>
  <c r="G5" i="16"/>
  <c r="Q5" i="16"/>
  <c r="V5" i="16"/>
  <c r="R5" i="16"/>
  <c r="W5" i="16" s="1"/>
  <c r="W6" i="16"/>
  <c r="S5" i="16"/>
  <c r="X5" i="16" s="1"/>
  <c r="T5" i="16"/>
  <c r="Y10" i="16" s="1"/>
  <c r="G6" i="16"/>
  <c r="Q6" i="16"/>
  <c r="V7" i="16" s="1"/>
  <c r="R6" i="16"/>
  <c r="W7" i="16" s="1"/>
  <c r="S6" i="16"/>
  <c r="X7" i="16"/>
  <c r="T6" i="16"/>
  <c r="Y7" i="16" s="1"/>
  <c r="G8" i="16"/>
  <c r="Q9" i="16"/>
  <c r="R9" i="16"/>
  <c r="S9" i="16"/>
  <c r="T9" i="16"/>
  <c r="U9" i="16"/>
  <c r="V9" i="16" s="1"/>
  <c r="G12" i="16"/>
  <c r="F18" i="16"/>
  <c r="I18" i="16"/>
  <c r="H18" i="16" s="1"/>
  <c r="E19" i="16"/>
  <c r="F19" i="16" s="1"/>
  <c r="I19" i="16"/>
  <c r="H19" i="16" s="1"/>
  <c r="D23" i="16"/>
  <c r="D21" i="16"/>
  <c r="D22" i="16" s="1"/>
  <c r="J23" i="16"/>
  <c r="J21" i="16"/>
  <c r="E27" i="16"/>
  <c r="F27" i="16" s="1"/>
  <c r="I27" i="16"/>
  <c r="H27" i="16" s="1"/>
  <c r="D31" i="16"/>
  <c r="D33" i="16"/>
  <c r="J31" i="16"/>
  <c r="I31" i="16" s="1"/>
  <c r="H31" i="16" s="1"/>
  <c r="J29" i="16"/>
  <c r="J30" i="16" s="1"/>
  <c r="E35" i="16"/>
  <c r="F35" i="16"/>
  <c r="I35" i="16"/>
  <c r="H35" i="16" s="1"/>
  <c r="D39" i="16"/>
  <c r="D41" i="16" s="1"/>
  <c r="D42" i="16" s="1"/>
  <c r="D37" i="16"/>
  <c r="J39" i="16"/>
  <c r="E43" i="16"/>
  <c r="F43" i="16" s="1"/>
  <c r="I43" i="16"/>
  <c r="H43" i="16"/>
  <c r="D47" i="16"/>
  <c r="E47" i="16" s="1"/>
  <c r="F47" i="16" s="1"/>
  <c r="D45" i="16"/>
  <c r="E45" i="16" s="1"/>
  <c r="E46" i="16" s="1"/>
  <c r="J47" i="16"/>
  <c r="J45" i="16" s="1"/>
  <c r="J46" i="16" s="1"/>
  <c r="E51" i="16"/>
  <c r="F51" i="16" s="1"/>
  <c r="I51" i="16"/>
  <c r="H51" i="16" s="1"/>
  <c r="C52" i="16"/>
  <c r="D55" i="16"/>
  <c r="D53" i="16" s="1"/>
  <c r="D54" i="16" s="1"/>
  <c r="E54" i="16" s="1"/>
  <c r="F54" i="16" s="1"/>
  <c r="G55" i="16"/>
  <c r="G53" i="16"/>
  <c r="J55" i="16"/>
  <c r="J57" i="16" s="1"/>
  <c r="J56" i="16"/>
  <c r="C54" i="16"/>
  <c r="C56" i="16"/>
  <c r="C58" i="16"/>
  <c r="E59" i="16"/>
  <c r="F59" i="16"/>
  <c r="I59" i="16"/>
  <c r="H59" i="16" s="1"/>
  <c r="C60" i="16"/>
  <c r="D63" i="16"/>
  <c r="D65" i="16" s="1"/>
  <c r="D66" i="16" s="1"/>
  <c r="E66" i="16" s="1"/>
  <c r="F66" i="16" s="1"/>
  <c r="G63" i="16"/>
  <c r="G65" i="16" s="1"/>
  <c r="J63" i="16"/>
  <c r="J61" i="16" s="1"/>
  <c r="J62" i="16" s="1"/>
  <c r="C64" i="16"/>
  <c r="E67" i="16"/>
  <c r="F67" i="16"/>
  <c r="I67" i="16"/>
  <c r="H67" i="16" s="1"/>
  <c r="C68" i="16"/>
  <c r="D71" i="16"/>
  <c r="D73" i="16" s="1"/>
  <c r="G71" i="16"/>
  <c r="G73" i="16"/>
  <c r="G72" i="16" s="1"/>
  <c r="J71" i="16"/>
  <c r="J69" i="16"/>
  <c r="J68" i="16" s="1"/>
  <c r="C70" i="16"/>
  <c r="C74" i="16"/>
  <c r="E75" i="16"/>
  <c r="F75" i="16" s="1"/>
  <c r="I75" i="16"/>
  <c r="H75" i="16"/>
  <c r="D79" i="16"/>
  <c r="G79" i="16"/>
  <c r="J79" i="16"/>
  <c r="J77" i="16"/>
  <c r="C78" i="16"/>
  <c r="C80" i="16"/>
  <c r="E83" i="16"/>
  <c r="F83" i="16" s="1"/>
  <c r="I83" i="16"/>
  <c r="H83" i="16" s="1"/>
  <c r="C84" i="16"/>
  <c r="D87" i="16"/>
  <c r="D89" i="16" s="1"/>
  <c r="G87" i="16"/>
  <c r="G89" i="16" s="1"/>
  <c r="J87" i="16"/>
  <c r="J85" i="16" s="1"/>
  <c r="J89" i="16"/>
  <c r="J90" i="16" s="1"/>
  <c r="C88" i="16"/>
  <c r="C90" i="16"/>
  <c r="E91" i="16"/>
  <c r="F91" i="16"/>
  <c r="I91" i="16"/>
  <c r="H91" i="16" s="1"/>
  <c r="D95" i="16"/>
  <c r="G95" i="16"/>
  <c r="I95" i="16" s="1"/>
  <c r="H95" i="16" s="1"/>
  <c r="J95" i="16"/>
  <c r="J97" i="16" s="1"/>
  <c r="C94" i="16"/>
  <c r="C98" i="16"/>
  <c r="E99" i="16"/>
  <c r="F99" i="16" s="1"/>
  <c r="I99" i="16"/>
  <c r="H99" i="16"/>
  <c r="C100" i="16"/>
  <c r="D103" i="16"/>
  <c r="D101" i="16"/>
  <c r="G103" i="16"/>
  <c r="G101" i="16"/>
  <c r="J103" i="16"/>
  <c r="J105" i="16" s="1"/>
  <c r="C102" i="16"/>
  <c r="C104" i="16"/>
  <c r="C106" i="16"/>
  <c r="E107" i="16"/>
  <c r="F107" i="16" s="1"/>
  <c r="I107" i="16"/>
  <c r="H107" i="16" s="1"/>
  <c r="C108" i="16"/>
  <c r="D111" i="16"/>
  <c r="D113" i="16" s="1"/>
  <c r="G111" i="16"/>
  <c r="G113" i="16" s="1"/>
  <c r="J111" i="16"/>
  <c r="C110" i="16"/>
  <c r="C112" i="16"/>
  <c r="C114" i="16"/>
  <c r="E115" i="16"/>
  <c r="F115" i="16"/>
  <c r="I115" i="16"/>
  <c r="H115" i="16" s="1"/>
  <c r="C121" i="16"/>
  <c r="E121" i="16" s="1"/>
  <c r="K141" i="16" s="1"/>
  <c r="D57" i="16"/>
  <c r="D56" i="16"/>
  <c r="E56" i="16" s="1"/>
  <c r="E55" i="16"/>
  <c r="F55" i="16" s="1"/>
  <c r="C123" i="16"/>
  <c r="L139" i="16" s="1"/>
  <c r="K161" i="16" s="1"/>
  <c r="D42" i="91" s="1"/>
  <c r="M42" i="91" s="1"/>
  <c r="D143" i="16"/>
  <c r="D148" i="16"/>
  <c r="D138" i="16"/>
  <c r="B136" i="16"/>
  <c r="B137" i="16"/>
  <c r="L143" i="16" s="1"/>
  <c r="N5" i="91" s="1"/>
  <c r="B135" i="16"/>
  <c r="J143" i="16" s="1"/>
  <c r="N166" i="16"/>
  <c r="F59" i="91" s="1"/>
  <c r="E59" i="91" s="1"/>
  <c r="K166" i="16"/>
  <c r="N168" i="16"/>
  <c r="K168" i="16" s="1"/>
  <c r="M168" i="16"/>
  <c r="H127" i="16"/>
  <c r="B146" i="16"/>
  <c r="C146" i="16" s="1"/>
  <c r="C135" i="16"/>
  <c r="F135" i="16"/>
  <c r="J147" i="16" s="1"/>
  <c r="K14" i="91" s="1"/>
  <c r="L14" i="91" s="1"/>
  <c r="C136" i="16"/>
  <c r="E136" i="16" s="1"/>
  <c r="E137" i="16" s="1"/>
  <c r="L146" i="16" s="1"/>
  <c r="C137" i="16"/>
  <c r="L144" i="16" s="1"/>
  <c r="N8" i="91" s="1"/>
  <c r="G135" i="16"/>
  <c r="N162" i="16" s="1"/>
  <c r="D45" i="91" s="1"/>
  <c r="M44" i="91" s="1"/>
  <c r="H135" i="16"/>
  <c r="N135" i="16" s="1"/>
  <c r="K135" i="16"/>
  <c r="L135" i="16" s="1"/>
  <c r="J161" i="16" s="1"/>
  <c r="K42" i="91" s="1"/>
  <c r="L42" i="91" s="1"/>
  <c r="U296" i="94"/>
  <c r="L141" i="16"/>
  <c r="G131" i="16" s="1"/>
  <c r="L163" i="16" s="1"/>
  <c r="D173" i="16"/>
  <c r="V10" i="16"/>
  <c r="E87" i="16"/>
  <c r="F87" i="16"/>
  <c r="H27" i="90"/>
  <c r="M141" i="16"/>
  <c r="C143" i="16"/>
  <c r="E144" i="16" s="1"/>
  <c r="E175" i="16" s="1"/>
  <c r="G22" i="90"/>
  <c r="V6" i="16"/>
  <c r="I23" i="16"/>
  <c r="X6" i="16"/>
  <c r="E106" i="147"/>
  <c r="E108" i="147"/>
  <c r="E109" i="147"/>
  <c r="E31" i="16"/>
  <c r="F31" i="16" s="1"/>
  <c r="D25" i="16"/>
  <c r="D24" i="16"/>
  <c r="K21" i="147"/>
  <c r="O467" i="147" s="1"/>
  <c r="N482" i="147" s="1"/>
  <c r="O482" i="147" s="1"/>
  <c r="J65" i="16"/>
  <c r="J66" i="16" s="1"/>
  <c r="Y6" i="16"/>
  <c r="I135" i="16"/>
  <c r="J160" i="16"/>
  <c r="K40" i="91"/>
  <c r="L40" i="91" s="1"/>
  <c r="M135" i="16"/>
  <c r="J150" i="16"/>
  <c r="K20" i="91" s="1"/>
  <c r="L20" i="91" s="1"/>
  <c r="E23" i="16"/>
  <c r="F23" i="16" s="1"/>
  <c r="G57" i="16"/>
  <c r="W10" i="16"/>
  <c r="D20" i="16"/>
  <c r="J60" i="16"/>
  <c r="J139" i="16"/>
  <c r="K154" i="16"/>
  <c r="D28" i="91" s="1"/>
  <c r="M28" i="91" s="1"/>
  <c r="J135" i="16"/>
  <c r="H23" i="90"/>
  <c r="E71" i="16"/>
  <c r="F71" i="16" s="1"/>
  <c r="D135" i="16"/>
  <c r="J145" i="16"/>
  <c r="K10" i="91" s="1"/>
  <c r="L10" i="91" s="1"/>
  <c r="B2" i="90"/>
  <c r="J44" i="16"/>
  <c r="D69" i="16"/>
  <c r="J144" i="16"/>
  <c r="K8" i="91" s="1"/>
  <c r="L8" i="91" s="1"/>
  <c r="D120" i="16"/>
  <c r="E135" i="16"/>
  <c r="J146" i="16" s="1"/>
  <c r="K12" i="91" s="1"/>
  <c r="L12" i="91" s="1"/>
  <c r="J141" i="16"/>
  <c r="P131" i="16"/>
  <c r="E123" i="16"/>
  <c r="D139" i="16"/>
  <c r="K145" i="16" s="1"/>
  <c r="H32" i="90"/>
  <c r="H30" i="90"/>
  <c r="Y9" i="16"/>
  <c r="I47" i="16"/>
  <c r="H47" i="16"/>
  <c r="J81" i="16"/>
  <c r="J82" i="16"/>
  <c r="AB293" i="94"/>
  <c r="AC297" i="94"/>
  <c r="AB295" i="94"/>
  <c r="AB296" i="94"/>
  <c r="AB294" i="94"/>
  <c r="W363" i="94"/>
  <c r="W364" i="94" s="1"/>
  <c r="S358" i="94"/>
  <c r="G52" i="16"/>
  <c r="G54" i="16"/>
  <c r="W9" i="16"/>
  <c r="D58" i="16"/>
  <c r="J33" i="16"/>
  <c r="J34" i="16"/>
  <c r="I55" i="16"/>
  <c r="H55" i="16" s="1"/>
  <c r="X9" i="16"/>
  <c r="H28" i="90"/>
  <c r="D81" i="16"/>
  <c r="D82" i="16" s="1"/>
  <c r="D65" i="91"/>
  <c r="M65" i="91" s="1"/>
  <c r="G85" i="16"/>
  <c r="G86" i="16"/>
  <c r="G45" i="16"/>
  <c r="I63" i="16"/>
  <c r="H63" i="16" s="1"/>
  <c r="H29" i="90"/>
  <c r="I87" i="16"/>
  <c r="H87" i="16" s="1"/>
  <c r="G74" i="16"/>
  <c r="X10" i="16"/>
  <c r="Y338" i="94"/>
  <c r="AC303" i="94"/>
  <c r="V355" i="94"/>
  <c r="AB301" i="94"/>
  <c r="R355" i="94"/>
  <c r="J76" i="16"/>
  <c r="J78" i="16"/>
  <c r="K144" i="16"/>
  <c r="M144" i="16"/>
  <c r="G100" i="16"/>
  <c r="G102" i="16"/>
  <c r="H102" i="16" s="1"/>
  <c r="E101" i="16"/>
  <c r="F101" i="16" s="1"/>
  <c r="G66" i="16"/>
  <c r="J70" i="16"/>
  <c r="D36" i="16"/>
  <c r="N308" i="94"/>
  <c r="V316" i="94" s="1"/>
  <c r="D26" i="16"/>
  <c r="J58" i="16"/>
  <c r="I58" i="16" s="1"/>
  <c r="G69" i="16"/>
  <c r="D109" i="16"/>
  <c r="G30" i="16"/>
  <c r="J53" i="16"/>
  <c r="J54" i="16" s="1"/>
  <c r="I54" i="16" s="1"/>
  <c r="H54" i="16" s="1"/>
  <c r="G33" i="16"/>
  <c r="E111" i="147" s="1"/>
  <c r="J93" i="16"/>
  <c r="G64" i="16"/>
  <c r="H24" i="90"/>
  <c r="D29" i="16"/>
  <c r="G31" i="90"/>
  <c r="J149" i="16"/>
  <c r="K18" i="91"/>
  <c r="L18" i="91"/>
  <c r="F150" i="16"/>
  <c r="H26" i="90"/>
  <c r="R36" i="94"/>
  <c r="I39" i="16"/>
  <c r="J88" i="16"/>
  <c r="G61" i="16"/>
  <c r="G62" i="16" s="1"/>
  <c r="Y5" i="16"/>
  <c r="M38" i="91"/>
  <c r="AB298" i="94"/>
  <c r="K163" i="16"/>
  <c r="G41" i="16"/>
  <c r="G42" i="16" s="1"/>
  <c r="G50" i="16"/>
  <c r="H50" i="16" s="1"/>
  <c r="J49" i="16"/>
  <c r="J50" i="16"/>
  <c r="K139" i="16"/>
  <c r="K155" i="16" s="1"/>
  <c r="D30" i="91" s="1"/>
  <c r="M30" i="91" s="1"/>
  <c r="O164" i="16"/>
  <c r="H129" i="16"/>
  <c r="D40" i="16"/>
  <c r="J101" i="16"/>
  <c r="I101" i="16"/>
  <c r="H101" i="16" s="1"/>
  <c r="D105" i="16"/>
  <c r="D104" i="16" s="1"/>
  <c r="D72" i="16"/>
  <c r="E72" i="16" s="1"/>
  <c r="F72" i="16" s="1"/>
  <c r="D32" i="16"/>
  <c r="O163" i="16"/>
  <c r="E49" i="91"/>
  <c r="R354" i="94"/>
  <c r="O303" i="94"/>
  <c r="N318" i="94" s="1"/>
  <c r="R41" i="94"/>
  <c r="S39" i="94"/>
  <c r="R37" i="94"/>
  <c r="R34" i="94"/>
  <c r="S33" i="94"/>
  <c r="S40" i="94"/>
  <c r="O296" i="94"/>
  <c r="Q312" i="94" s="1"/>
  <c r="W320" i="94" s="1"/>
  <c r="N14" i="91"/>
  <c r="G173" i="16"/>
  <c r="G177" i="16" s="1"/>
  <c r="P135" i="16"/>
  <c r="T135" i="16" s="1"/>
  <c r="J159" i="16" s="1"/>
  <c r="K38" i="91" s="1"/>
  <c r="L38" i="91" s="1"/>
  <c r="J155" i="16"/>
  <c r="K30" i="91"/>
  <c r="L30" i="91" s="1"/>
  <c r="Q135" i="16"/>
  <c r="J152" i="16"/>
  <c r="K24" i="91"/>
  <c r="L24" i="91" s="1"/>
  <c r="N130" i="16"/>
  <c r="J148" i="16"/>
  <c r="K16" i="91" s="1"/>
  <c r="L16" i="91" s="1"/>
  <c r="C148" i="16"/>
  <c r="L166" i="16"/>
  <c r="L167" i="16" s="1"/>
  <c r="M167" i="16" s="1"/>
  <c r="G127" i="16"/>
  <c r="K162" i="16"/>
  <c r="M57" i="91"/>
  <c r="B139" i="16"/>
  <c r="K143" i="16" s="1"/>
  <c r="D6" i="91" s="1"/>
  <c r="B2" i="91"/>
  <c r="J64" i="16"/>
  <c r="I64" i="16" s="1"/>
  <c r="J32" i="16"/>
  <c r="I65" i="16"/>
  <c r="H65" i="16" s="1"/>
  <c r="C149" i="16"/>
  <c r="E149" i="16"/>
  <c r="M146" i="16"/>
  <c r="C151" i="16"/>
  <c r="E151" i="16"/>
  <c r="D8" i="91"/>
  <c r="M8" i="91"/>
  <c r="O8" i="91"/>
  <c r="I45" i="16"/>
  <c r="I46" i="16" s="1"/>
  <c r="G56" i="16"/>
  <c r="G58" i="16"/>
  <c r="H58" i="16"/>
  <c r="I57" i="16"/>
  <c r="H57" i="16"/>
  <c r="E57" i="16"/>
  <c r="F57" i="16" s="1"/>
  <c r="E65" i="16"/>
  <c r="F65" i="16"/>
  <c r="I146" i="16"/>
  <c r="B12" i="91"/>
  <c r="D68" i="16"/>
  <c r="D70" i="16"/>
  <c r="J80" i="16"/>
  <c r="N131" i="16"/>
  <c r="O131" i="16" s="1"/>
  <c r="M131" i="16"/>
  <c r="D64" i="16"/>
  <c r="E64" i="16"/>
  <c r="F64" i="16" s="1"/>
  <c r="J48" i="16"/>
  <c r="I48" i="16"/>
  <c r="H48" i="16"/>
  <c r="C150" i="16"/>
  <c r="E150" i="16"/>
  <c r="N12" i="91"/>
  <c r="O12" i="91" s="1"/>
  <c r="F45" i="16"/>
  <c r="F46" i="16" s="1"/>
  <c r="G136" i="16"/>
  <c r="G126" i="16"/>
  <c r="J136" i="16"/>
  <c r="I49" i="16"/>
  <c r="H49" i="16" s="1"/>
  <c r="G84" i="16"/>
  <c r="G46" i="16"/>
  <c r="G44" i="16"/>
  <c r="I44" i="16"/>
  <c r="D80" i="16"/>
  <c r="N309" i="94"/>
  <c r="N310" i="94" s="1"/>
  <c r="X316" i="94" s="1"/>
  <c r="I50" i="16"/>
  <c r="D110" i="16"/>
  <c r="D108" i="16"/>
  <c r="D106" i="16"/>
  <c r="G70" i="16"/>
  <c r="I69" i="16"/>
  <c r="H69" i="16" s="1"/>
  <c r="G68" i="16"/>
  <c r="E69" i="16"/>
  <c r="F69" i="16"/>
  <c r="I66" i="16"/>
  <c r="H66" i="16" s="1"/>
  <c r="R135" i="16"/>
  <c r="J153" i="16" s="1"/>
  <c r="K26" i="91" s="1"/>
  <c r="L26" i="91"/>
  <c r="J151" i="16"/>
  <c r="K22" i="91"/>
  <c r="L22" i="91" s="1"/>
  <c r="E29" i="16"/>
  <c r="F29" i="16"/>
  <c r="D28" i="16"/>
  <c r="E28" i="16" s="1"/>
  <c r="F28" i="16" s="1"/>
  <c r="D30" i="16"/>
  <c r="E30" i="16" s="1"/>
  <c r="F30" i="16" s="1"/>
  <c r="H139" i="16"/>
  <c r="K149" i="16"/>
  <c r="K148" i="16"/>
  <c r="D16" i="91"/>
  <c r="M16" i="91" s="1"/>
  <c r="O308" i="94"/>
  <c r="P308" i="94" s="1"/>
  <c r="V318" i="94" s="1"/>
  <c r="J94" i="16"/>
  <c r="J92" i="16"/>
  <c r="K164" i="16"/>
  <c r="E53" i="91"/>
  <c r="M51" i="91" s="1"/>
  <c r="J84" i="16"/>
  <c r="I84" i="16" s="1"/>
  <c r="H84" i="16" s="1"/>
  <c r="I85" i="16"/>
  <c r="H85" i="16" s="1"/>
  <c r="J86" i="16"/>
  <c r="I86" i="16"/>
  <c r="H86" i="16"/>
  <c r="I61" i="16"/>
  <c r="H61" i="16"/>
  <c r="G60" i="16"/>
  <c r="I60" i="16" s="1"/>
  <c r="I33" i="16"/>
  <c r="G34" i="16"/>
  <c r="O309" i="94"/>
  <c r="J102" i="16"/>
  <c r="I102" i="16"/>
  <c r="J100" i="16"/>
  <c r="I100" i="16"/>
  <c r="H100" i="16" s="1"/>
  <c r="I53" i="16"/>
  <c r="H53" i="16"/>
  <c r="G32" i="16"/>
  <c r="I32" i="16" s="1"/>
  <c r="I30" i="16"/>
  <c r="H30" i="16"/>
  <c r="D209" i="94"/>
  <c r="D210" i="94" s="1"/>
  <c r="S308" i="94"/>
  <c r="Y308" i="94" s="1"/>
  <c r="V323" i="94" s="1"/>
  <c r="N57" i="91"/>
  <c r="O57" i="91"/>
  <c r="M166" i="16"/>
  <c r="M130" i="16"/>
  <c r="M143" i="16"/>
  <c r="M5" i="91"/>
  <c r="O5" i="91" s="1"/>
  <c r="J157" i="16"/>
  <c r="K34" i="91" s="1"/>
  <c r="L34" i="91" s="1"/>
  <c r="N139" i="16"/>
  <c r="M139" i="16" s="1"/>
  <c r="K150" i="16" s="1"/>
  <c r="E58" i="16"/>
  <c r="F58" i="16"/>
  <c r="I56" i="16"/>
  <c r="H56" i="16"/>
  <c r="F56" i="16"/>
  <c r="S131" i="16"/>
  <c r="T131" i="16" s="1"/>
  <c r="Q131" i="16"/>
  <c r="R131" i="16"/>
  <c r="I62" i="16"/>
  <c r="E68" i="16"/>
  <c r="F68" i="16"/>
  <c r="I68" i="16"/>
  <c r="H68" i="16"/>
  <c r="I70" i="16"/>
  <c r="H70" i="16" s="1"/>
  <c r="E70" i="16"/>
  <c r="F70" i="16"/>
  <c r="I34" i="16"/>
  <c r="H34" i="16"/>
  <c r="E32" i="16"/>
  <c r="F32" i="16" s="1"/>
  <c r="V308" i="94"/>
  <c r="AA308" i="94" s="1"/>
  <c r="T308" i="94"/>
  <c r="Z308" i="94" s="1"/>
  <c r="V324" i="94" s="1"/>
  <c r="N61" i="91"/>
  <c r="N70" i="91"/>
  <c r="O70" i="91" s="1"/>
  <c r="K151" i="16"/>
  <c r="D22" i="91" s="1"/>
  <c r="M22" i="91" s="1"/>
  <c r="AE308" i="94"/>
  <c r="V332" i="94" s="1"/>
  <c r="V330" i="94"/>
  <c r="I25" i="165" l="1"/>
  <c r="D37" i="165"/>
  <c r="D14" i="165" s="1"/>
  <c r="G10" i="147"/>
  <c r="M61" i="91"/>
  <c r="O61" i="91" s="1"/>
  <c r="F26" i="143"/>
  <c r="X314" i="94"/>
  <c r="N316" i="94" s="1"/>
  <c r="F4" i="161"/>
  <c r="C3" i="147"/>
  <c r="I139" i="147" s="1"/>
  <c r="A26" i="93"/>
  <c r="K49" i="159"/>
  <c r="N46" i="159"/>
  <c r="N49" i="159" s="1"/>
  <c r="N64" i="159" s="1"/>
  <c r="C40" i="159"/>
  <c r="C27" i="159" s="1"/>
  <c r="J27" i="159" s="1"/>
  <c r="N42" i="159"/>
  <c r="F6" i="121"/>
  <c r="C4" i="94"/>
  <c r="C4" i="162" s="1"/>
  <c r="C112" i="147"/>
  <c r="F112" i="147" s="1"/>
  <c r="B26" i="163"/>
  <c r="G10" i="163"/>
  <c r="F5" i="121"/>
  <c r="N80" i="159"/>
  <c r="G10" i="143"/>
  <c r="G21" i="162"/>
  <c r="O466" i="163"/>
  <c r="W500" i="163" s="1"/>
  <c r="O466" i="162"/>
  <c r="N481" i="162" s="1"/>
  <c r="N512" i="162" s="1"/>
  <c r="N319" i="94"/>
  <c r="O319" i="94" s="1"/>
  <c r="Z339" i="94"/>
  <c r="W341" i="94"/>
  <c r="N483" i="163"/>
  <c r="O483" i="163" s="1"/>
  <c r="R305" i="94"/>
  <c r="X341" i="94" s="1"/>
  <c r="J146" i="163"/>
  <c r="C104" i="163"/>
  <c r="H104" i="163" s="1"/>
  <c r="C105" i="163"/>
  <c r="H105" i="163" s="1"/>
  <c r="O37" i="159"/>
  <c r="P38" i="159" s="1"/>
  <c r="P30" i="159"/>
  <c r="R469" i="162"/>
  <c r="X505" i="162" s="1"/>
  <c r="W503" i="162"/>
  <c r="A10" i="162"/>
  <c r="F322" i="162"/>
  <c r="F323" i="162" s="1"/>
  <c r="C329" i="162" s="1"/>
  <c r="B26" i="162"/>
  <c r="B26" i="147"/>
  <c r="O466" i="147"/>
  <c r="E26" i="147"/>
  <c r="E288" i="143"/>
  <c r="G19" i="147"/>
  <c r="U146" i="162"/>
  <c r="G146" i="162" s="1"/>
  <c r="J146" i="162" s="1"/>
  <c r="K14" i="163"/>
  <c r="O464" i="163" s="1"/>
  <c r="U144" i="162"/>
  <c r="G144" i="162" s="1"/>
  <c r="J144" i="162" s="1"/>
  <c r="K14" i="162"/>
  <c r="O464" i="162" s="1"/>
  <c r="R487" i="162" s="1"/>
  <c r="F76" i="163"/>
  <c r="F37" i="143"/>
  <c r="E32" i="147"/>
  <c r="E34" i="147"/>
  <c r="H34" i="147"/>
  <c r="C109" i="94"/>
  <c r="J112" i="94" s="1"/>
  <c r="R317" i="94"/>
  <c r="O317" i="94" s="1"/>
  <c r="P318" i="94" s="1"/>
  <c r="AA336" i="94"/>
  <c r="E33" i="143"/>
  <c r="C36" i="143"/>
  <c r="D34" i="143"/>
  <c r="E32" i="163"/>
  <c r="F50" i="94"/>
  <c r="F40" i="163" s="1"/>
  <c r="Y143" i="163" s="1"/>
  <c r="H36" i="162"/>
  <c r="D34" i="162"/>
  <c r="N181" i="94"/>
  <c r="D37" i="162"/>
  <c r="C37" i="163"/>
  <c r="C37" i="162"/>
  <c r="C37" i="147"/>
  <c r="H36" i="143"/>
  <c r="F35" i="143"/>
  <c r="F35" i="162"/>
  <c r="F34" i="147"/>
  <c r="D34" i="147"/>
  <c r="F51" i="94"/>
  <c r="F41" i="147" s="1"/>
  <c r="K53" i="94"/>
  <c r="K49" i="163" s="1"/>
  <c r="K12" i="147"/>
  <c r="C36" i="163"/>
  <c r="C36" i="147"/>
  <c r="H37" i="143"/>
  <c r="E37" i="147"/>
  <c r="H37" i="162"/>
  <c r="G37" i="163"/>
  <c r="Z146" i="163"/>
  <c r="E36" i="162"/>
  <c r="F56" i="94"/>
  <c r="F44" i="163" s="1"/>
  <c r="C35" i="162"/>
  <c r="H34" i="143"/>
  <c r="G37" i="143"/>
  <c r="G37" i="147"/>
  <c r="E34" i="143"/>
  <c r="C32" i="143"/>
  <c r="G33" i="147"/>
  <c r="G33" i="143"/>
  <c r="F33" i="163"/>
  <c r="F33" i="162"/>
  <c r="E289" i="162"/>
  <c r="J289" i="162" s="1"/>
  <c r="E37" i="143"/>
  <c r="H36" i="147"/>
  <c r="F36" i="162"/>
  <c r="F59" i="94"/>
  <c r="F47" i="162" s="1"/>
  <c r="D36" i="163"/>
  <c r="D36" i="162"/>
  <c r="C58" i="94"/>
  <c r="E36" i="147"/>
  <c r="C57" i="94"/>
  <c r="C45" i="143" s="1"/>
  <c r="E36" i="163"/>
  <c r="F35" i="147"/>
  <c r="C35" i="163"/>
  <c r="G34" i="162"/>
  <c r="G34" i="147"/>
  <c r="G34" i="143"/>
  <c r="C51" i="94"/>
  <c r="C41" i="143" s="1"/>
  <c r="E33" i="163"/>
  <c r="C52" i="94"/>
  <c r="C182" i="94" s="1"/>
  <c r="K179" i="94" s="1"/>
  <c r="H32" i="143"/>
  <c r="H32" i="147"/>
  <c r="H32" i="163"/>
  <c r="G32" i="163"/>
  <c r="C32" i="163"/>
  <c r="C32" i="147"/>
  <c r="C53" i="94"/>
  <c r="C226" i="94" s="1"/>
  <c r="K225" i="94" s="1"/>
  <c r="E32" i="162"/>
  <c r="K49" i="147"/>
  <c r="O312" i="94"/>
  <c r="S312" i="94" s="1"/>
  <c r="D17" i="159"/>
  <c r="M17" i="159" s="1"/>
  <c r="K12" i="143"/>
  <c r="K46" i="143"/>
  <c r="K47" i="143" s="1"/>
  <c r="O460" i="143"/>
  <c r="X478" i="143" s="1"/>
  <c r="N480" i="143" s="1"/>
  <c r="P481" i="143" s="1"/>
  <c r="P512" i="143" s="1"/>
  <c r="C104" i="143"/>
  <c r="H104" i="143" s="1"/>
  <c r="O33" i="159"/>
  <c r="P34" i="159" s="1"/>
  <c r="O463" i="147"/>
  <c r="AA501" i="147" s="1"/>
  <c r="W501" i="147" s="1"/>
  <c r="Y501" i="147" s="1"/>
  <c r="E289" i="163"/>
  <c r="J289" i="163" s="1"/>
  <c r="F177" i="94"/>
  <c r="H143" i="143"/>
  <c r="U144" i="143" s="1"/>
  <c r="G144" i="143" s="1"/>
  <c r="J144" i="143" s="1"/>
  <c r="H145" i="143"/>
  <c r="U146" i="143" s="1"/>
  <c r="G146" i="143" s="1"/>
  <c r="J146" i="143" s="1"/>
  <c r="N144" i="143"/>
  <c r="N90" i="159"/>
  <c r="B90" i="159" s="1"/>
  <c r="Q308" i="94"/>
  <c r="V320" i="94" s="1"/>
  <c r="V317" i="94"/>
  <c r="U1" i="159"/>
  <c r="U5" i="159" s="1"/>
  <c r="G132" i="94"/>
  <c r="C107" i="94"/>
  <c r="T2" i="159" s="1"/>
  <c r="G118" i="94"/>
  <c r="G122" i="94"/>
  <c r="T1" i="159"/>
  <c r="K19" i="159" s="1"/>
  <c r="K21" i="159" s="1"/>
  <c r="E85" i="159"/>
  <c r="D90" i="159" s="1"/>
  <c r="M90" i="159" s="1"/>
  <c r="B16" i="121"/>
  <c r="K14" i="147"/>
  <c r="W50" i="147" s="1"/>
  <c r="F64" i="147" s="1"/>
  <c r="A20" i="143"/>
  <c r="B18" i="143"/>
  <c r="D231" i="94"/>
  <c r="G186" i="94"/>
  <c r="D211" i="94" s="1"/>
  <c r="B31" i="94"/>
  <c r="D343" i="162"/>
  <c r="D193" i="94"/>
  <c r="F322" i="163"/>
  <c r="F323" i="163" s="1"/>
  <c r="E140" i="94"/>
  <c r="D137" i="94"/>
  <c r="M137" i="94" s="1"/>
  <c r="T303" i="94"/>
  <c r="S303" i="94" s="1"/>
  <c r="O462" i="162"/>
  <c r="R480" i="162" s="1"/>
  <c r="O462" i="163"/>
  <c r="R480" i="163" s="1"/>
  <c r="Z335" i="94"/>
  <c r="W335" i="94"/>
  <c r="O462" i="143"/>
  <c r="T467" i="143" s="1"/>
  <c r="S467" i="143" s="1"/>
  <c r="N58" i="159"/>
  <c r="N67" i="159" s="1"/>
  <c r="S476" i="162"/>
  <c r="W481" i="162"/>
  <c r="O321" i="94"/>
  <c r="O324" i="94"/>
  <c r="Q324" i="94" s="1"/>
  <c r="F75" i="162"/>
  <c r="N324" i="94"/>
  <c r="P324" i="94" s="1"/>
  <c r="N322" i="94"/>
  <c r="N323" i="94" s="1"/>
  <c r="P317" i="94"/>
  <c r="P348" i="94" s="1"/>
  <c r="F106" i="163"/>
  <c r="H106" i="163"/>
  <c r="P3" i="160"/>
  <c r="R3" i="160" s="1"/>
  <c r="AE3" i="161"/>
  <c r="W484" i="162"/>
  <c r="V476" i="162"/>
  <c r="W492" i="162" s="1"/>
  <c r="C107" i="162"/>
  <c r="F107" i="162" s="1"/>
  <c r="K12" i="162"/>
  <c r="C104" i="162"/>
  <c r="H104" i="162" s="1"/>
  <c r="E4" i="161"/>
  <c r="K46" i="162"/>
  <c r="K47" i="162" s="1"/>
  <c r="C105" i="162"/>
  <c r="F105" i="162" s="1"/>
  <c r="C108" i="162"/>
  <c r="F108" i="162" s="1"/>
  <c r="X478" i="162"/>
  <c r="N480" i="162" s="1"/>
  <c r="N485" i="162" s="1"/>
  <c r="F74" i="162"/>
  <c r="K12" i="163"/>
  <c r="O460" i="163"/>
  <c r="Q476" i="163" s="1"/>
  <c r="P188" i="162"/>
  <c r="C43" i="162"/>
  <c r="X144" i="162" s="1"/>
  <c r="C43" i="147"/>
  <c r="X144" i="147" s="1"/>
  <c r="C43" i="163"/>
  <c r="X144" i="163" s="1"/>
  <c r="C43" i="143"/>
  <c r="X144" i="143" s="1"/>
  <c r="H33" i="143"/>
  <c r="H33" i="147"/>
  <c r="D33" i="143"/>
  <c r="H35" i="143"/>
  <c r="D37" i="163"/>
  <c r="G32" i="162"/>
  <c r="H37" i="147"/>
  <c r="C35" i="143"/>
  <c r="C35" i="147"/>
  <c r="D35" i="162"/>
  <c r="D36" i="143"/>
  <c r="F55" i="94"/>
  <c r="F36" i="147"/>
  <c r="D33" i="147"/>
  <c r="F33" i="147"/>
  <c r="G33" i="163"/>
  <c r="H33" i="162"/>
  <c r="E33" i="162"/>
  <c r="E37" i="163"/>
  <c r="Z146" i="162"/>
  <c r="D35" i="143"/>
  <c r="F34" i="143"/>
  <c r="F36" i="143"/>
  <c r="G32" i="147"/>
  <c r="D35" i="147"/>
  <c r="K26" i="94"/>
  <c r="C3" i="143"/>
  <c r="I139" i="143" s="1"/>
  <c r="D20" i="91"/>
  <c r="M20" i="91" s="1"/>
  <c r="L164" i="16"/>
  <c r="M163" i="16"/>
  <c r="N47" i="91"/>
  <c r="E42" i="16"/>
  <c r="F42" i="16" s="1"/>
  <c r="G114" i="16"/>
  <c r="M164" i="16"/>
  <c r="D44" i="16"/>
  <c r="E44" i="16" s="1"/>
  <c r="F44" i="16" s="1"/>
  <c r="N321" i="94"/>
  <c r="AC308" i="94"/>
  <c r="V325" i="94" s="1"/>
  <c r="Q317" i="94"/>
  <c r="Q348" i="94" s="1"/>
  <c r="H62" i="16"/>
  <c r="B143" i="16"/>
  <c r="P130" i="16"/>
  <c r="S38" i="94"/>
  <c r="R38" i="94"/>
  <c r="AD308" i="94"/>
  <c r="V326" i="94" s="1"/>
  <c r="W308" i="94"/>
  <c r="D14" i="91"/>
  <c r="M14" i="91" s="1"/>
  <c r="O14" i="91" s="1"/>
  <c r="M147" i="16"/>
  <c r="V312" i="94"/>
  <c r="E41" i="16"/>
  <c r="F41" i="16" s="1"/>
  <c r="D46" i="16"/>
  <c r="O135" i="16"/>
  <c r="J154" i="16"/>
  <c r="S302" i="94"/>
  <c r="N317" i="94"/>
  <c r="W336" i="94"/>
  <c r="Z336" i="94"/>
  <c r="D32" i="143"/>
  <c r="F53" i="94"/>
  <c r="C227" i="94" s="1"/>
  <c r="D32" i="162"/>
  <c r="D32" i="147"/>
  <c r="D32" i="163"/>
  <c r="G36" i="163"/>
  <c r="C59" i="94"/>
  <c r="G36" i="147"/>
  <c r="G36" i="143"/>
  <c r="G36" i="162"/>
  <c r="E35" i="162"/>
  <c r="E35" i="147"/>
  <c r="E35" i="163"/>
  <c r="Q148" i="94"/>
  <c r="C34" i="163"/>
  <c r="C50" i="94"/>
  <c r="C34" i="143"/>
  <c r="C34" i="162"/>
  <c r="C34" i="147"/>
  <c r="D18" i="91"/>
  <c r="M18" i="91" s="1"/>
  <c r="J20" i="16"/>
  <c r="J22" i="16"/>
  <c r="V322" i="94"/>
  <c r="H32" i="16"/>
  <c r="O310" i="94"/>
  <c r="X317" i="94" s="1"/>
  <c r="Q309" i="94"/>
  <c r="Q310" i="94" s="1"/>
  <c r="X320" i="94" s="1"/>
  <c r="U320" i="94" s="1"/>
  <c r="H44" i="16"/>
  <c r="D10" i="91"/>
  <c r="M10" i="91" s="1"/>
  <c r="M145" i="16"/>
  <c r="N145" i="16" s="1"/>
  <c r="K5" i="91"/>
  <c r="E95" i="16"/>
  <c r="F95" i="16" s="1"/>
  <c r="D97" i="16"/>
  <c r="D96" i="16" s="1"/>
  <c r="D93" i="16"/>
  <c r="G88" i="16"/>
  <c r="I89" i="16"/>
  <c r="H89" i="16" s="1"/>
  <c r="G90" i="16"/>
  <c r="AB299" i="94"/>
  <c r="AC299" i="94"/>
  <c r="E35" i="143"/>
  <c r="H110" i="147"/>
  <c r="U146" i="147"/>
  <c r="G146" i="147" s="1"/>
  <c r="J146" i="147" s="1"/>
  <c r="C66" i="147"/>
  <c r="C70" i="147"/>
  <c r="H60" i="16"/>
  <c r="D48" i="16"/>
  <c r="E48" i="16" s="1"/>
  <c r="F48" i="16" s="1"/>
  <c r="E143" i="16"/>
  <c r="E148" i="16" s="1"/>
  <c r="I139" i="16"/>
  <c r="K160" i="16" s="1"/>
  <c r="D88" i="16"/>
  <c r="E89" i="16"/>
  <c r="F89" i="16" s="1"/>
  <c r="D90" i="16"/>
  <c r="O145" i="16"/>
  <c r="N10" i="91"/>
  <c r="O10" i="91" s="1"/>
  <c r="H128" i="16"/>
  <c r="H125" i="16"/>
  <c r="I21" i="16"/>
  <c r="H21" i="16" s="1"/>
  <c r="E105" i="147"/>
  <c r="G22" i="16"/>
  <c r="E105" i="143"/>
  <c r="G20" i="16"/>
  <c r="S300" i="94"/>
  <c r="V309" i="94" s="1"/>
  <c r="S309" i="94"/>
  <c r="C54" i="94"/>
  <c r="U308" i="94"/>
  <c r="V327" i="94" s="1"/>
  <c r="V328" i="94"/>
  <c r="O322" i="94"/>
  <c r="H45" i="16"/>
  <c r="H46" i="16" s="1"/>
  <c r="H64" i="16"/>
  <c r="D49" i="16"/>
  <c r="E111" i="16"/>
  <c r="F111" i="16" s="1"/>
  <c r="H33" i="90"/>
  <c r="T300" i="94"/>
  <c r="W309" i="94" s="1"/>
  <c r="X309" i="94" s="1"/>
  <c r="T309" i="94"/>
  <c r="U309" i="94" s="1"/>
  <c r="AC458" i="143"/>
  <c r="AB458" i="143"/>
  <c r="AB465" i="143"/>
  <c r="AC465" i="143"/>
  <c r="C70" i="163"/>
  <c r="C66" i="163"/>
  <c r="D145" i="16"/>
  <c r="G145" i="16" s="1"/>
  <c r="C175" i="16"/>
  <c r="F146" i="16"/>
  <c r="G146" i="16" s="1"/>
  <c r="O318" i="94"/>
  <c r="G112" i="16"/>
  <c r="I111" i="16"/>
  <c r="H111" i="16" s="1"/>
  <c r="G109" i="16"/>
  <c r="G37" i="16"/>
  <c r="E37" i="16" s="1"/>
  <c r="F37" i="16" s="1"/>
  <c r="E39" i="16"/>
  <c r="F39" i="16" s="1"/>
  <c r="H39" i="16"/>
  <c r="G40" i="16"/>
  <c r="R28" i="143"/>
  <c r="S28" i="143"/>
  <c r="D233" i="143"/>
  <c r="D252" i="143"/>
  <c r="D253" i="143" s="1"/>
  <c r="V321" i="94"/>
  <c r="R308" i="94"/>
  <c r="V319" i="94" s="1"/>
  <c r="J52" i="16"/>
  <c r="I52" i="16" s="1"/>
  <c r="H52" i="16" s="1"/>
  <c r="E53" i="16"/>
  <c r="F53" i="16" s="1"/>
  <c r="D52" i="16"/>
  <c r="E52" i="16" s="1"/>
  <c r="F52" i="16" s="1"/>
  <c r="D38" i="16"/>
  <c r="J113" i="16"/>
  <c r="J114" i="16" s="1"/>
  <c r="J109" i="16"/>
  <c r="I29" i="16"/>
  <c r="H29" i="16" s="1"/>
  <c r="O65" i="91"/>
  <c r="G129" i="16"/>
  <c r="B144" i="16"/>
  <c r="R42" i="94"/>
  <c r="S42" i="94"/>
  <c r="F32" i="162"/>
  <c r="F32" i="163"/>
  <c r="F32" i="143"/>
  <c r="G35" i="163"/>
  <c r="G35" i="147"/>
  <c r="C56" i="94"/>
  <c r="O56" i="94" s="1"/>
  <c r="G35" i="162"/>
  <c r="G35" i="143"/>
  <c r="E34" i="162"/>
  <c r="E34" i="163"/>
  <c r="C33" i="143"/>
  <c r="C33" i="162"/>
  <c r="C33" i="163"/>
  <c r="F52" i="94"/>
  <c r="C183" i="94" s="1"/>
  <c r="J182" i="94" s="1"/>
  <c r="J227" i="94" s="1"/>
  <c r="I322" i="143"/>
  <c r="I382" i="143" s="1"/>
  <c r="C408" i="143"/>
  <c r="AB464" i="143"/>
  <c r="AC464" i="143"/>
  <c r="R27" i="147"/>
  <c r="Z146" i="147"/>
  <c r="E113" i="16"/>
  <c r="F113" i="16" s="1"/>
  <c r="D112" i="16"/>
  <c r="E112" i="16" s="1"/>
  <c r="F112" i="16" s="1"/>
  <c r="D114" i="16"/>
  <c r="E114" i="16" s="1"/>
  <c r="F114" i="16" s="1"/>
  <c r="J106" i="16"/>
  <c r="J104" i="16"/>
  <c r="G81" i="16"/>
  <c r="G80" i="16" s="1"/>
  <c r="I79" i="16"/>
  <c r="H79" i="16" s="1"/>
  <c r="G77" i="16"/>
  <c r="J73" i="16"/>
  <c r="J72" i="16" s="1"/>
  <c r="I72" i="16" s="1"/>
  <c r="H72" i="16" s="1"/>
  <c r="I71" i="16"/>
  <c r="H71" i="16" s="1"/>
  <c r="J25" i="16"/>
  <c r="J26" i="16" s="1"/>
  <c r="E79" i="16"/>
  <c r="F79" i="16" s="1"/>
  <c r="D77" i="16"/>
  <c r="E22" i="16"/>
  <c r="F22" i="16" s="1"/>
  <c r="C39" i="143"/>
  <c r="N120" i="94"/>
  <c r="C139" i="94" s="1"/>
  <c r="C39" i="163"/>
  <c r="C39" i="162"/>
  <c r="H33" i="16"/>
  <c r="S35" i="94"/>
  <c r="E63" i="16"/>
  <c r="F63" i="16" s="1"/>
  <c r="J28" i="16"/>
  <c r="I28" i="16" s="1"/>
  <c r="H28" i="16" s="1"/>
  <c r="R32" i="94"/>
  <c r="E21" i="16"/>
  <c r="F21" i="16" s="1"/>
  <c r="I103" i="16"/>
  <c r="H103" i="16" s="1"/>
  <c r="E103" i="16"/>
  <c r="F103" i="16" s="1"/>
  <c r="G105" i="16"/>
  <c r="G25" i="90"/>
  <c r="S354" i="94"/>
  <c r="V354" i="94"/>
  <c r="N361" i="94" s="1"/>
  <c r="G107" i="94"/>
  <c r="T472" i="147"/>
  <c r="D265" i="147"/>
  <c r="E406" i="147"/>
  <c r="N473" i="147"/>
  <c r="N474" i="147" s="1"/>
  <c r="X480" i="147" s="1"/>
  <c r="N472" i="147"/>
  <c r="V480" i="147" s="1"/>
  <c r="K46" i="147"/>
  <c r="K47" i="147" s="1"/>
  <c r="C111" i="147"/>
  <c r="F111" i="147" s="1"/>
  <c r="C113" i="147"/>
  <c r="H113" i="147" s="1"/>
  <c r="J133" i="147" s="1"/>
  <c r="F74" i="147"/>
  <c r="C88" i="147" s="1"/>
  <c r="C105" i="147"/>
  <c r="F105" i="147" s="1"/>
  <c r="O460" i="147"/>
  <c r="C104" i="147"/>
  <c r="H104" i="147" s="1"/>
  <c r="C106" i="147"/>
  <c r="F106" i="147" s="1"/>
  <c r="C107" i="147"/>
  <c r="F107" i="147" s="1"/>
  <c r="C109" i="147"/>
  <c r="F109" i="147" s="1"/>
  <c r="C108" i="147"/>
  <c r="F108" i="147" s="1"/>
  <c r="F224" i="147"/>
  <c r="F226" i="147" s="1"/>
  <c r="E238" i="147" s="1"/>
  <c r="S519" i="147"/>
  <c r="V519" i="147"/>
  <c r="V358" i="94"/>
  <c r="D100" i="16"/>
  <c r="E100" i="16" s="1"/>
  <c r="F100" i="16" s="1"/>
  <c r="D102" i="16"/>
  <c r="E102" i="16" s="1"/>
  <c r="F102" i="16" s="1"/>
  <c r="J96" i="16"/>
  <c r="J98" i="16"/>
  <c r="E73" i="16"/>
  <c r="F73" i="16" s="1"/>
  <c r="D74" i="16"/>
  <c r="E74" i="16" s="1"/>
  <c r="F74" i="16" s="1"/>
  <c r="D61" i="16"/>
  <c r="J37" i="16"/>
  <c r="J41" i="16"/>
  <c r="D34" i="16"/>
  <c r="E34" i="16" s="1"/>
  <c r="F34" i="16" s="1"/>
  <c r="E33" i="16"/>
  <c r="F33" i="16" s="1"/>
  <c r="H23" i="16"/>
  <c r="G25" i="16"/>
  <c r="P188" i="147"/>
  <c r="F75" i="147"/>
  <c r="Q460" i="147"/>
  <c r="R480" i="147"/>
  <c r="K7" i="163"/>
  <c r="K7" i="162"/>
  <c r="K7" i="147"/>
  <c r="K26" i="147" s="1"/>
  <c r="B6" i="94"/>
  <c r="G6" i="94" s="1"/>
  <c r="D6" i="94"/>
  <c r="R144" i="94"/>
  <c r="B5" i="121"/>
  <c r="K7" i="143"/>
  <c r="F239" i="143" s="1"/>
  <c r="I241" i="143" s="1"/>
  <c r="O295" i="94"/>
  <c r="K25" i="94"/>
  <c r="H25" i="94" s="1"/>
  <c r="C124" i="94"/>
  <c r="K8" i="94"/>
  <c r="R145" i="94"/>
  <c r="G93" i="16"/>
  <c r="G97" i="16"/>
  <c r="D49" i="91"/>
  <c r="M47" i="91" s="1"/>
  <c r="N165" i="16"/>
  <c r="D113" i="147"/>
  <c r="E112" i="147"/>
  <c r="E105" i="163"/>
  <c r="E105" i="162"/>
  <c r="F58" i="94"/>
  <c r="F37" i="147"/>
  <c r="D37" i="147"/>
  <c r="F37" i="163"/>
  <c r="D33" i="163"/>
  <c r="H35" i="162"/>
  <c r="H34" i="163"/>
  <c r="S522" i="147"/>
  <c r="R522" i="147"/>
  <c r="E107" i="162"/>
  <c r="D85" i="16"/>
  <c r="H35" i="163"/>
  <c r="K48" i="162"/>
  <c r="K48" i="163"/>
  <c r="K48" i="147"/>
  <c r="F76" i="143"/>
  <c r="F34" i="163"/>
  <c r="J320" i="147"/>
  <c r="C244" i="94"/>
  <c r="S29" i="143"/>
  <c r="S26" i="147"/>
  <c r="R26" i="147"/>
  <c r="S39" i="147"/>
  <c r="O476" i="143"/>
  <c r="W481" i="143" s="1"/>
  <c r="Y478" i="143"/>
  <c r="O480" i="143" s="1"/>
  <c r="O485" i="143" s="1"/>
  <c r="S519" i="143"/>
  <c r="V519" i="143"/>
  <c r="E316" i="147"/>
  <c r="D310" i="147"/>
  <c r="S472" i="147"/>
  <c r="W499" i="147" s="1"/>
  <c r="D237" i="147"/>
  <c r="F322" i="147"/>
  <c r="E355" i="147" s="1"/>
  <c r="O465" i="147"/>
  <c r="K21" i="162"/>
  <c r="K21" i="163"/>
  <c r="B28" i="94"/>
  <c r="Q5" i="159"/>
  <c r="D40" i="159" s="1"/>
  <c r="Z472" i="163"/>
  <c r="W472" i="163"/>
  <c r="V486" i="163"/>
  <c r="D265" i="162"/>
  <c r="T472" i="162"/>
  <c r="O3" i="161"/>
  <c r="F324" i="162"/>
  <c r="K323" i="162" s="1"/>
  <c r="J383" i="162" s="1"/>
  <c r="AB465" i="162"/>
  <c r="AC465" i="162"/>
  <c r="K14" i="143"/>
  <c r="F324" i="143" s="1"/>
  <c r="K323" i="143" s="1"/>
  <c r="J383" i="143" s="1"/>
  <c r="P188" i="143"/>
  <c r="U144" i="147"/>
  <c r="G144" i="147" s="1"/>
  <c r="J144" i="147" s="1"/>
  <c r="O472" i="147"/>
  <c r="D303" i="147"/>
  <c r="D359" i="147"/>
  <c r="K61" i="159"/>
  <c r="D78" i="159"/>
  <c r="M77" i="159" s="1"/>
  <c r="E72" i="159"/>
  <c r="V485" i="162"/>
  <c r="Y472" i="162"/>
  <c r="V472" i="162"/>
  <c r="F75" i="163"/>
  <c r="F74" i="163"/>
  <c r="R481" i="162"/>
  <c r="AA501" i="162"/>
  <c r="W501" i="162" s="1"/>
  <c r="Y501" i="162" s="1"/>
  <c r="AA500" i="162"/>
  <c r="V518" i="143"/>
  <c r="N525" i="143" s="1"/>
  <c r="N7" i="159"/>
  <c r="N95" i="159"/>
  <c r="D13" i="159"/>
  <c r="D72" i="159"/>
  <c r="D75" i="159"/>
  <c r="M74" i="159" s="1"/>
  <c r="D393" i="162"/>
  <c r="D394" i="162" s="1"/>
  <c r="D366" i="162"/>
  <c r="C76" i="163"/>
  <c r="C77" i="163"/>
  <c r="C3" i="162"/>
  <c r="AC463" i="163"/>
  <c r="AB463" i="163"/>
  <c r="S27" i="162"/>
  <c r="R27" i="162"/>
  <c r="R23" i="163"/>
  <c r="S23" i="163"/>
  <c r="D88" i="159"/>
  <c r="M87" i="159" s="1"/>
  <c r="V522" i="162"/>
  <c r="W54" i="162"/>
  <c r="R28" i="162"/>
  <c r="S28" i="162"/>
  <c r="AC457" i="162"/>
  <c r="AB457" i="162"/>
  <c r="C75" i="162"/>
  <c r="C76" i="162"/>
  <c r="O472" i="162"/>
  <c r="O473" i="162"/>
  <c r="T473" i="163"/>
  <c r="U473" i="163" s="1"/>
  <c r="T464" i="163"/>
  <c r="W473" i="163" s="1"/>
  <c r="X473" i="163" s="1"/>
  <c r="U144" i="163"/>
  <c r="G144" i="163" s="1"/>
  <c r="J144" i="163" s="1"/>
  <c r="N473" i="162"/>
  <c r="N474" i="162" s="1"/>
  <c r="X480" i="162" s="1"/>
  <c r="N472" i="162"/>
  <c r="V480" i="162" s="1"/>
  <c r="AA500" i="163"/>
  <c r="R481" i="163"/>
  <c r="R469" i="163"/>
  <c r="X505" i="163" s="1"/>
  <c r="Y505" i="163" s="1"/>
  <c r="Z503" i="163"/>
  <c r="W503" i="163"/>
  <c r="G61" i="162"/>
  <c r="C61" i="162"/>
  <c r="D109" i="162"/>
  <c r="E108" i="162"/>
  <c r="Y478" i="162"/>
  <c r="W505" i="162"/>
  <c r="N483" i="162"/>
  <c r="O483" i="162" s="1"/>
  <c r="U460" i="163"/>
  <c r="AB461" i="163"/>
  <c r="E106" i="162"/>
  <c r="C106" i="162"/>
  <c r="F106" i="162" s="1"/>
  <c r="AC462" i="163"/>
  <c r="AB462" i="163"/>
  <c r="S26" i="162"/>
  <c r="R26" i="162"/>
  <c r="S41" i="162"/>
  <c r="R41" i="162"/>
  <c r="D237" i="163"/>
  <c r="A10" i="163"/>
  <c r="E288" i="163"/>
  <c r="W54" i="163"/>
  <c r="K46" i="163"/>
  <c r="K47" i="163" s="1"/>
  <c r="O473" i="163"/>
  <c r="E305" i="163"/>
  <c r="R22" i="163"/>
  <c r="AC460" i="162"/>
  <c r="AC463" i="162"/>
  <c r="AB463" i="162"/>
  <c r="P188" i="163"/>
  <c r="Q460" i="163"/>
  <c r="E106" i="163"/>
  <c r="D107" i="163"/>
  <c r="E288" i="162"/>
  <c r="G10" i="162"/>
  <c r="D303" i="162"/>
  <c r="I322" i="162"/>
  <c r="B8" i="162"/>
  <c r="AC461" i="162"/>
  <c r="AB461" i="162"/>
  <c r="G21" i="163"/>
  <c r="S472" i="163"/>
  <c r="AC460" i="163"/>
  <c r="AB460" i="163"/>
  <c r="N472" i="163"/>
  <c r="V480" i="163" s="1"/>
  <c r="O467" i="143"/>
  <c r="N482" i="143" s="1"/>
  <c r="O482" i="143" s="1"/>
  <c r="AB459" i="143"/>
  <c r="AC461" i="143"/>
  <c r="S518" i="143"/>
  <c r="R519" i="143"/>
  <c r="R39" i="143"/>
  <c r="G21" i="143"/>
  <c r="U460" i="143"/>
  <c r="V74" i="143"/>
  <c r="F75" i="143" s="1"/>
  <c r="Y502" i="143"/>
  <c r="W527" i="143"/>
  <c r="W528" i="143" s="1"/>
  <c r="AB466" i="143"/>
  <c r="N65" i="94"/>
  <c r="F65" i="94" s="1"/>
  <c r="T464" i="143"/>
  <c r="W473" i="143" s="1"/>
  <c r="X473" i="143" s="1"/>
  <c r="T473" i="143"/>
  <c r="U473" i="143" s="1"/>
  <c r="R5" i="161"/>
  <c r="AH3" i="161"/>
  <c r="AH4" i="161" s="1"/>
  <c r="B14" i="121"/>
  <c r="R24" i="143"/>
  <c r="Z146" i="143"/>
  <c r="D303" i="143"/>
  <c r="S26" i="143"/>
  <c r="C236" i="143"/>
  <c r="R40" i="143"/>
  <c r="D403" i="143"/>
  <c r="D359" i="143"/>
  <c r="S23" i="143"/>
  <c r="AC467" i="143"/>
  <c r="B26" i="143"/>
  <c r="AA482" i="143"/>
  <c r="S27" i="143"/>
  <c r="E355" i="143"/>
  <c r="F323" i="143"/>
  <c r="D343" i="143" s="1"/>
  <c r="O473" i="143"/>
  <c r="O472" i="143"/>
  <c r="E305" i="143"/>
  <c r="N473" i="143"/>
  <c r="N474" i="143" s="1"/>
  <c r="X480" i="143" s="1"/>
  <c r="N472" i="143"/>
  <c r="V480" i="143" s="1"/>
  <c r="E406" i="143"/>
  <c r="E106" i="143"/>
  <c r="C106" i="143"/>
  <c r="C77" i="143"/>
  <c r="C76" i="143"/>
  <c r="Z500" i="143"/>
  <c r="W500" i="143"/>
  <c r="N481" i="143"/>
  <c r="S466" i="143"/>
  <c r="AA500" i="143"/>
  <c r="AA501" i="143"/>
  <c r="W501" i="143" s="1"/>
  <c r="Y501" i="143" s="1"/>
  <c r="R481" i="143"/>
  <c r="D237" i="143"/>
  <c r="AC463" i="143"/>
  <c r="O465" i="143"/>
  <c r="S522" i="143"/>
  <c r="V522" i="143" s="1"/>
  <c r="S21" i="143"/>
  <c r="S473" i="143"/>
  <c r="B8" i="143"/>
  <c r="E289" i="143"/>
  <c r="J289" i="143" s="1"/>
  <c r="A10" i="143"/>
  <c r="C105" i="143"/>
  <c r="F192" i="163"/>
  <c r="K30" i="94"/>
  <c r="M3" i="161"/>
  <c r="A10" i="94"/>
  <c r="O300" i="94"/>
  <c r="G184" i="94"/>
  <c r="Q4" i="159"/>
  <c r="O31" i="159"/>
  <c r="P32" i="159" s="1"/>
  <c r="O35" i="159"/>
  <c r="P36" i="159" s="1"/>
  <c r="M52" i="159"/>
  <c r="O52" i="159" s="1"/>
  <c r="O56" i="159"/>
  <c r="F88" i="165" l="1"/>
  <c r="F86" i="165"/>
  <c r="D310" i="162"/>
  <c r="H108" i="162"/>
  <c r="P481" i="162"/>
  <c r="P512" i="162" s="1"/>
  <c r="W476" i="162"/>
  <c r="W493" i="162" s="1"/>
  <c r="T64" i="159"/>
  <c r="N98" i="159"/>
  <c r="F105" i="163"/>
  <c r="N61" i="159"/>
  <c r="C88" i="163"/>
  <c r="I88" i="163" s="1"/>
  <c r="S466" i="163"/>
  <c r="D213" i="94"/>
  <c r="D192" i="94"/>
  <c r="Y341" i="94"/>
  <c r="O481" i="162"/>
  <c r="P482" i="162" s="1"/>
  <c r="T467" i="162"/>
  <c r="S467" i="162" s="1"/>
  <c r="P510" i="162"/>
  <c r="S510" i="162" s="1"/>
  <c r="T467" i="163"/>
  <c r="S467" i="163" s="1"/>
  <c r="Z500" i="162"/>
  <c r="W500" i="162"/>
  <c r="S466" i="162"/>
  <c r="H112" i="147"/>
  <c r="J40" i="159"/>
  <c r="B49" i="159"/>
  <c r="B58" i="159" s="1"/>
  <c r="B61" i="159" s="1"/>
  <c r="B64" i="159" s="1"/>
  <c r="K15" i="159"/>
  <c r="K17" i="159"/>
  <c r="W317" i="94"/>
  <c r="U317" i="94" s="1"/>
  <c r="K49" i="143"/>
  <c r="N485" i="143"/>
  <c r="K49" i="162"/>
  <c r="N481" i="163"/>
  <c r="N512" i="163" s="1"/>
  <c r="Z500" i="163"/>
  <c r="X503" i="162"/>
  <c r="Y503" i="162" s="1"/>
  <c r="X50" i="162"/>
  <c r="N476" i="162"/>
  <c r="W480" i="162" s="1"/>
  <c r="Y480" i="162" s="1"/>
  <c r="F324" i="163"/>
  <c r="C325" i="163" s="1"/>
  <c r="F40" i="147"/>
  <c r="Y143" i="147" s="1"/>
  <c r="F41" i="143"/>
  <c r="F41" i="163"/>
  <c r="W47" i="163" s="1"/>
  <c r="F41" i="162"/>
  <c r="E355" i="163"/>
  <c r="D361" i="163" s="1"/>
  <c r="Y505" i="162"/>
  <c r="W50" i="163"/>
  <c r="F64" i="163" s="1"/>
  <c r="F80" i="163" s="1"/>
  <c r="X50" i="163"/>
  <c r="D62" i="159"/>
  <c r="D68" i="159" s="1"/>
  <c r="U4" i="161"/>
  <c r="W4" i="161" s="1"/>
  <c r="F326" i="162"/>
  <c r="D342" i="162" s="1"/>
  <c r="D388" i="162"/>
  <c r="E355" i="162"/>
  <c r="D361" i="162" s="1"/>
  <c r="E316" i="162"/>
  <c r="N481" i="147"/>
  <c r="N512" i="147" s="1"/>
  <c r="Z500" i="147"/>
  <c r="S466" i="147"/>
  <c r="W500" i="147"/>
  <c r="F192" i="162"/>
  <c r="W50" i="162"/>
  <c r="F64" i="162" s="1"/>
  <c r="F40" i="162"/>
  <c r="Y143" i="162" s="1"/>
  <c r="T467" i="147"/>
  <c r="S467" i="147" s="1"/>
  <c r="O57" i="94"/>
  <c r="N55" i="94"/>
  <c r="F40" i="143"/>
  <c r="Y143" i="143" s="1"/>
  <c r="F44" i="147"/>
  <c r="N486" i="143"/>
  <c r="N487" i="143" s="1"/>
  <c r="Q476" i="143"/>
  <c r="W484" i="143" s="1"/>
  <c r="S324" i="94"/>
  <c r="N488" i="143"/>
  <c r="P488" i="143" s="1"/>
  <c r="O55" i="94"/>
  <c r="F47" i="147"/>
  <c r="F44" i="162"/>
  <c r="F44" i="143"/>
  <c r="C186" i="94"/>
  <c r="F324" i="147"/>
  <c r="C325" i="147" s="1"/>
  <c r="F47" i="143"/>
  <c r="N57" i="94"/>
  <c r="F47" i="163"/>
  <c r="C46" i="147"/>
  <c r="X145" i="147" s="1"/>
  <c r="C46" i="162"/>
  <c r="X145" i="162" s="1"/>
  <c r="C46" i="163"/>
  <c r="X145" i="163" s="1"/>
  <c r="C46" i="143"/>
  <c r="X145" i="143" s="1"/>
  <c r="C45" i="163"/>
  <c r="C45" i="147"/>
  <c r="C45" i="162"/>
  <c r="C41" i="147"/>
  <c r="C41" i="162"/>
  <c r="C41" i="163"/>
  <c r="E201" i="94"/>
  <c r="X50" i="147"/>
  <c r="Y50" i="147" s="1"/>
  <c r="Y52" i="147" s="1"/>
  <c r="J135" i="147" s="1"/>
  <c r="O464" i="147"/>
  <c r="P510" i="147" s="1"/>
  <c r="S510" i="147" s="1"/>
  <c r="F192" i="147"/>
  <c r="H107" i="162"/>
  <c r="P322" i="94"/>
  <c r="H106" i="143"/>
  <c r="F106" i="143"/>
  <c r="H105" i="143"/>
  <c r="F105" i="143"/>
  <c r="C4" i="163"/>
  <c r="X50" i="143"/>
  <c r="W50" i="143"/>
  <c r="F192" i="143"/>
  <c r="O464" i="143"/>
  <c r="R487" i="143" s="1"/>
  <c r="D310" i="163"/>
  <c r="R481" i="147"/>
  <c r="O481" i="147" s="1"/>
  <c r="AA500" i="147"/>
  <c r="O90" i="159"/>
  <c r="P90" i="159" s="1"/>
  <c r="S318" i="94"/>
  <c r="O348" i="94"/>
  <c r="S349" i="94" s="1"/>
  <c r="F74" i="143"/>
  <c r="C88" i="143" s="1"/>
  <c r="I88" i="143" s="1"/>
  <c r="Y320" i="94"/>
  <c r="D24" i="159"/>
  <c r="M23" i="159" s="1"/>
  <c r="K12" i="159"/>
  <c r="K98" i="159" s="1"/>
  <c r="D85" i="159"/>
  <c r="M83" i="159" s="1"/>
  <c r="D96" i="159"/>
  <c r="M95" i="159" s="1"/>
  <c r="O95" i="159" s="1"/>
  <c r="P95" i="159" s="1"/>
  <c r="D27" i="159"/>
  <c r="M26" i="159" s="1"/>
  <c r="O26" i="159" s="1"/>
  <c r="P26" i="159" s="1"/>
  <c r="E202" i="94"/>
  <c r="G245" i="94"/>
  <c r="M245" i="94" s="1"/>
  <c r="N70" i="159"/>
  <c r="N74" i="159" s="1"/>
  <c r="R480" i="143"/>
  <c r="O481" i="143" s="1"/>
  <c r="Z499" i="162"/>
  <c r="W499" i="162"/>
  <c r="O486" i="143"/>
  <c r="Q486" i="143" s="1"/>
  <c r="O488" i="143"/>
  <c r="Q488" i="143" s="1"/>
  <c r="Q481" i="143"/>
  <c r="Q512" i="143" s="1"/>
  <c r="S476" i="143"/>
  <c r="W485" i="162"/>
  <c r="T476" i="162"/>
  <c r="W486" i="162" s="1"/>
  <c r="H105" i="162"/>
  <c r="X478" i="163"/>
  <c r="N480" i="163" s="1"/>
  <c r="N488" i="163" s="1"/>
  <c r="N486" i="162"/>
  <c r="N488" i="162"/>
  <c r="P488" i="162" s="1"/>
  <c r="F43" i="163"/>
  <c r="Y144" i="163" s="1"/>
  <c r="Z144" i="163" s="1"/>
  <c r="F43" i="162"/>
  <c r="F43" i="147"/>
  <c r="F43" i="143"/>
  <c r="N56" i="94"/>
  <c r="P56" i="94" s="1"/>
  <c r="J71" i="94" s="1"/>
  <c r="I63" i="94"/>
  <c r="I65" i="94" s="1"/>
  <c r="H33" i="94"/>
  <c r="R311" i="94"/>
  <c r="R312" i="94" s="1"/>
  <c r="W319" i="94" s="1"/>
  <c r="Y319" i="94" s="1"/>
  <c r="I98" i="94"/>
  <c r="K102" i="94" s="1"/>
  <c r="H17" i="94"/>
  <c r="N1" i="94"/>
  <c r="C4" i="143"/>
  <c r="C4" i="147"/>
  <c r="A28" i="93"/>
  <c r="I80" i="16"/>
  <c r="H80" i="16"/>
  <c r="E80" i="16"/>
  <c r="F80" i="16" s="1"/>
  <c r="Q473" i="162"/>
  <c r="Q474" i="162" s="1"/>
  <c r="X484" i="162" s="1"/>
  <c r="O474" i="162"/>
  <c r="X481" i="162" s="1"/>
  <c r="D2" i="159"/>
  <c r="AD472" i="163"/>
  <c r="V490" i="163" s="1"/>
  <c r="V488" i="163"/>
  <c r="D86" i="16"/>
  <c r="E86" i="16" s="1"/>
  <c r="F86" i="16" s="1"/>
  <c r="D84" i="16"/>
  <c r="E84" i="16" s="1"/>
  <c r="F84" i="16" s="1"/>
  <c r="E85" i="16"/>
  <c r="F85" i="16" s="1"/>
  <c r="Q295" i="94"/>
  <c r="V314" i="94"/>
  <c r="P293" i="94"/>
  <c r="S310" i="94"/>
  <c r="K25" i="162"/>
  <c r="O459" i="162"/>
  <c r="F239" i="162"/>
  <c r="K26" i="162"/>
  <c r="L279" i="162"/>
  <c r="L280" i="162"/>
  <c r="J40" i="16"/>
  <c r="J42" i="16"/>
  <c r="I42" i="16" s="1"/>
  <c r="H42" i="16" s="1"/>
  <c r="G21" i="147"/>
  <c r="G7" i="147"/>
  <c r="R475" i="147"/>
  <c r="F219" i="147"/>
  <c r="J227" i="147" s="1"/>
  <c r="J112" i="16"/>
  <c r="O323" i="94"/>
  <c r="Q322" i="94"/>
  <c r="K28" i="91"/>
  <c r="L28" i="91" s="1"/>
  <c r="D108" i="163"/>
  <c r="E107" i="163"/>
  <c r="C107" i="163"/>
  <c r="J108" i="16"/>
  <c r="J110" i="16"/>
  <c r="I71" i="147"/>
  <c r="I70" i="147"/>
  <c r="L5" i="91"/>
  <c r="C325" i="162"/>
  <c r="I382" i="162"/>
  <c r="E316" i="163"/>
  <c r="M70" i="159"/>
  <c r="AA472" i="162"/>
  <c r="V492" i="162"/>
  <c r="F46" i="143"/>
  <c r="F46" i="163"/>
  <c r="F46" i="147"/>
  <c r="F46" i="162"/>
  <c r="I71" i="163"/>
  <c r="I70" i="163"/>
  <c r="C385" i="162"/>
  <c r="D387" i="162" s="1"/>
  <c r="H106" i="162"/>
  <c r="M12" i="159"/>
  <c r="D47" i="159"/>
  <c r="D1" i="159"/>
  <c r="C82" i="163"/>
  <c r="W505" i="147"/>
  <c r="W503" i="147"/>
  <c r="N483" i="147"/>
  <c r="O483" i="147" s="1"/>
  <c r="Z503" i="147"/>
  <c r="R469" i="147"/>
  <c r="X505" i="147" s="1"/>
  <c r="V522" i="147"/>
  <c r="E77" i="16"/>
  <c r="F77" i="16" s="1"/>
  <c r="D78" i="16"/>
  <c r="D76" i="16"/>
  <c r="C44" i="147"/>
  <c r="X48" i="147" s="1"/>
  <c r="C44" i="143"/>
  <c r="X48" i="143" s="1"/>
  <c r="C44" i="162"/>
  <c r="X48" i="162" s="1"/>
  <c r="C44" i="163"/>
  <c r="X48" i="163" s="1"/>
  <c r="B175" i="16"/>
  <c r="E38" i="16"/>
  <c r="F38" i="16" s="1"/>
  <c r="G110" i="16"/>
  <c r="H109" i="16"/>
  <c r="G108" i="16"/>
  <c r="I109" i="16"/>
  <c r="I22" i="16"/>
  <c r="H22" i="16" s="1"/>
  <c r="O47" i="91"/>
  <c r="P472" i="162"/>
  <c r="V482" i="162" s="1"/>
  <c r="V481" i="162"/>
  <c r="R472" i="162"/>
  <c r="V483" i="162" s="1"/>
  <c r="Q472" i="162"/>
  <c r="V484" i="162" s="1"/>
  <c r="I88" i="147"/>
  <c r="I89" i="147"/>
  <c r="K58" i="159"/>
  <c r="K25" i="163"/>
  <c r="K26" i="163"/>
  <c r="L279" i="163"/>
  <c r="F239" i="163"/>
  <c r="L280" i="163"/>
  <c r="O459" i="163"/>
  <c r="I67" i="163"/>
  <c r="I66" i="163"/>
  <c r="J156" i="16"/>
  <c r="B161" i="16" s="1"/>
  <c r="S135" i="16"/>
  <c r="J158" i="16" s="1"/>
  <c r="K36" i="91" s="1"/>
  <c r="L36" i="91" s="1"/>
  <c r="G92" i="16"/>
  <c r="G94" i="16"/>
  <c r="I93" i="16"/>
  <c r="H93" i="16"/>
  <c r="D62" i="16"/>
  <c r="E62" i="16" s="1"/>
  <c r="F62" i="16" s="1"/>
  <c r="D60" i="16"/>
  <c r="E60" i="16" s="1"/>
  <c r="F60" i="16" s="1"/>
  <c r="E61" i="16"/>
  <c r="F61" i="16" s="1"/>
  <c r="I73" i="16"/>
  <c r="H73" i="16" s="1"/>
  <c r="J74" i="16"/>
  <c r="I74" i="16" s="1"/>
  <c r="H74" i="16" s="1"/>
  <c r="D94" i="16"/>
  <c r="E94" i="16" s="1"/>
  <c r="F94" i="16" s="1"/>
  <c r="D92" i="16"/>
  <c r="E92" i="16" s="1"/>
  <c r="F92" i="16" s="1"/>
  <c r="E93" i="16"/>
  <c r="F93" i="16" s="1"/>
  <c r="I114" i="16"/>
  <c r="H114" i="16"/>
  <c r="D260" i="143"/>
  <c r="D261" i="143" s="1"/>
  <c r="L280" i="143"/>
  <c r="Y472" i="163"/>
  <c r="V472" i="163"/>
  <c r="V485" i="163"/>
  <c r="W499" i="163"/>
  <c r="Y478" i="163"/>
  <c r="O476" i="163"/>
  <c r="O480" i="162"/>
  <c r="C329" i="163"/>
  <c r="F326" i="163"/>
  <c r="D367" i="163" s="1"/>
  <c r="D388" i="163"/>
  <c r="D343" i="163"/>
  <c r="C88" i="162"/>
  <c r="C82" i="162"/>
  <c r="K64" i="159"/>
  <c r="Z472" i="162"/>
  <c r="W472" i="162"/>
  <c r="V486" i="162"/>
  <c r="U472" i="162"/>
  <c r="V491" i="162" s="1"/>
  <c r="M39" i="159"/>
  <c r="N39" i="159"/>
  <c r="D44" i="159"/>
  <c r="F323" i="147"/>
  <c r="D343" i="147" s="1"/>
  <c r="G24" i="16"/>
  <c r="I25" i="16"/>
  <c r="H25" i="16" s="1"/>
  <c r="E107" i="147"/>
  <c r="G26" i="16"/>
  <c r="E25" i="16"/>
  <c r="F25" i="16" s="1"/>
  <c r="Q476" i="147"/>
  <c r="X478" i="147"/>
  <c r="N480" i="147" s="1"/>
  <c r="G78" i="16"/>
  <c r="I77" i="16"/>
  <c r="H77" i="16" s="1"/>
  <c r="G76" i="16"/>
  <c r="G137" i="16"/>
  <c r="K137" i="16"/>
  <c r="K138" i="16" s="1"/>
  <c r="L155" i="16" s="1"/>
  <c r="J137" i="16"/>
  <c r="E90" i="16"/>
  <c r="F90" i="16" s="1"/>
  <c r="E109" i="16"/>
  <c r="F109" i="16" s="1"/>
  <c r="H108" i="147"/>
  <c r="Y317" i="94"/>
  <c r="E97" i="16"/>
  <c r="F97" i="16" s="1"/>
  <c r="D98" i="16"/>
  <c r="E98" i="16" s="1"/>
  <c r="F98" i="16" s="1"/>
  <c r="C40" i="147"/>
  <c r="C40" i="143"/>
  <c r="C40" i="162"/>
  <c r="C40" i="163"/>
  <c r="O130" i="16"/>
  <c r="P139" i="16"/>
  <c r="I113" i="16"/>
  <c r="H113" i="16" s="1"/>
  <c r="H88" i="16"/>
  <c r="I88" i="16"/>
  <c r="Z472" i="147"/>
  <c r="V486" i="147"/>
  <c r="W472" i="147"/>
  <c r="U472" i="147"/>
  <c r="V491" i="147" s="1"/>
  <c r="I67" i="147"/>
  <c r="I66" i="147"/>
  <c r="C385" i="143"/>
  <c r="D387" i="143" s="1"/>
  <c r="D400" i="143" s="1"/>
  <c r="L65" i="94"/>
  <c r="O474" i="163"/>
  <c r="X481" i="163" s="1"/>
  <c r="Q473" i="163"/>
  <c r="Q474" i="163" s="1"/>
  <c r="X484" i="163" s="1"/>
  <c r="O481" i="163"/>
  <c r="Z499" i="163"/>
  <c r="V487" i="162"/>
  <c r="AC472" i="162"/>
  <c r="V489" i="162" s="1"/>
  <c r="D360" i="147"/>
  <c r="D365" i="147"/>
  <c r="K8" i="162"/>
  <c r="K8" i="163"/>
  <c r="K8" i="147"/>
  <c r="K28" i="94"/>
  <c r="K8" i="143"/>
  <c r="N146" i="94"/>
  <c r="K27" i="94"/>
  <c r="D36" i="94" s="1"/>
  <c r="I105" i="16"/>
  <c r="H105" i="16" s="1"/>
  <c r="E105" i="16"/>
  <c r="F105" i="16" s="1"/>
  <c r="G106" i="16"/>
  <c r="G104" i="16"/>
  <c r="C82" i="147"/>
  <c r="G176" i="16"/>
  <c r="D50" i="16"/>
  <c r="E50" i="16" s="1"/>
  <c r="F50" i="16" s="1"/>
  <c r="E49" i="16"/>
  <c r="F49" i="16" s="1"/>
  <c r="C42" i="162"/>
  <c r="C42" i="163"/>
  <c r="C42" i="143"/>
  <c r="C42" i="147"/>
  <c r="H106" i="147"/>
  <c r="H107" i="147"/>
  <c r="H111" i="147"/>
  <c r="T312" i="94"/>
  <c r="W322" i="94" s="1"/>
  <c r="W321" i="94"/>
  <c r="C47" i="143"/>
  <c r="C47" i="162"/>
  <c r="C47" i="163"/>
  <c r="C47" i="147"/>
  <c r="B149" i="16"/>
  <c r="B148" i="16"/>
  <c r="G148" i="16" s="1"/>
  <c r="C5" i="90" s="1"/>
  <c r="Q6" i="90" s="1"/>
  <c r="Q8" i="90" s="1"/>
  <c r="D144" i="16"/>
  <c r="D175" i="16" s="1"/>
  <c r="G143" i="16"/>
  <c r="B151" i="16"/>
  <c r="N51" i="91"/>
  <c r="O51" i="91" s="1"/>
  <c r="L165" i="16"/>
  <c r="N55" i="91" s="1"/>
  <c r="K25" i="143"/>
  <c r="O459" i="143"/>
  <c r="S474" i="143" s="1"/>
  <c r="V476" i="143"/>
  <c r="W492" i="143" s="1"/>
  <c r="D110" i="162"/>
  <c r="C109" i="162"/>
  <c r="E109" i="162"/>
  <c r="V476" i="163"/>
  <c r="W484" i="163"/>
  <c r="A20" i="163"/>
  <c r="O467" i="163"/>
  <c r="N482" i="163" s="1"/>
  <c r="B18" i="163"/>
  <c r="V472" i="147"/>
  <c r="Y472" i="147"/>
  <c r="V485" i="147"/>
  <c r="Z499" i="147"/>
  <c r="D114" i="147"/>
  <c r="E113" i="147"/>
  <c r="F124" i="94"/>
  <c r="J123" i="94"/>
  <c r="I127" i="94"/>
  <c r="L279" i="147"/>
  <c r="O459" i="147"/>
  <c r="K20" i="147"/>
  <c r="F78" i="147" s="1"/>
  <c r="F239" i="147"/>
  <c r="K25" i="147"/>
  <c r="Y478" i="147"/>
  <c r="O476" i="147"/>
  <c r="L280" i="147"/>
  <c r="I40" i="16"/>
  <c r="H40" i="16" s="1"/>
  <c r="E40" i="16"/>
  <c r="F40" i="16" s="1"/>
  <c r="I112" i="16"/>
  <c r="H112" i="16" s="1"/>
  <c r="E88" i="16"/>
  <c r="F88" i="16" s="1"/>
  <c r="H105" i="147"/>
  <c r="I90" i="16"/>
  <c r="H90" i="16"/>
  <c r="N348" i="94"/>
  <c r="S317" i="94"/>
  <c r="I41" i="16"/>
  <c r="H41" i="16" s="1"/>
  <c r="X308" i="94"/>
  <c r="V334" i="94" s="1"/>
  <c r="V329" i="94"/>
  <c r="AB308" i="94"/>
  <c r="G98" i="16"/>
  <c r="I97" i="16"/>
  <c r="H97" i="16"/>
  <c r="G96" i="16"/>
  <c r="J38" i="16"/>
  <c r="J36" i="16"/>
  <c r="F113" i="147"/>
  <c r="D133" i="147"/>
  <c r="E134" i="147" s="1"/>
  <c r="G38" i="16"/>
  <c r="G36" i="16"/>
  <c r="I37" i="16"/>
  <c r="H37" i="16" s="1"/>
  <c r="I20" i="16"/>
  <c r="H20" i="16"/>
  <c r="E20" i="16"/>
  <c r="F20" i="16" s="1"/>
  <c r="K26" i="143"/>
  <c r="F219" i="143" s="1"/>
  <c r="J227" i="143" s="1"/>
  <c r="L279" i="143"/>
  <c r="C70" i="162"/>
  <c r="C66" i="162"/>
  <c r="D367" i="162"/>
  <c r="R472" i="147"/>
  <c r="V483" i="147" s="1"/>
  <c r="Q472" i="147"/>
  <c r="V484" i="147" s="1"/>
  <c r="P472" i="147"/>
  <c r="V482" i="147" s="1"/>
  <c r="V481" i="147"/>
  <c r="V493" i="163"/>
  <c r="X472" i="163"/>
  <c r="V498" i="163" s="1"/>
  <c r="AB472" i="163"/>
  <c r="A20" i="162"/>
  <c r="B18" i="162"/>
  <c r="O467" i="162"/>
  <c r="N482" i="162" s="1"/>
  <c r="E362" i="147"/>
  <c r="D361" i="147"/>
  <c r="C361" i="147"/>
  <c r="K165" i="16"/>
  <c r="M165" i="16" s="1"/>
  <c r="D55" i="91"/>
  <c r="M55" i="91" s="1"/>
  <c r="K20" i="163"/>
  <c r="F77" i="163" s="1"/>
  <c r="K20" i="162"/>
  <c r="Q2" i="159"/>
  <c r="J2" i="121"/>
  <c r="K20" i="143"/>
  <c r="L3" i="161"/>
  <c r="T3" i="161" s="1"/>
  <c r="C3" i="160" s="1"/>
  <c r="K36" i="94"/>
  <c r="K32" i="94"/>
  <c r="K34" i="94"/>
  <c r="O297" i="94"/>
  <c r="T310" i="94" s="1"/>
  <c r="T311" i="94" s="1"/>
  <c r="X322" i="94" s="1"/>
  <c r="C25" i="94"/>
  <c r="D22" i="94"/>
  <c r="J24" i="16"/>
  <c r="H81" i="16"/>
  <c r="I81" i="16"/>
  <c r="G82" i="16"/>
  <c r="E81" i="16"/>
  <c r="F81" i="16" s="1"/>
  <c r="H136" i="16"/>
  <c r="I136" i="16" s="1"/>
  <c r="I137" i="16" s="1"/>
  <c r="H126" i="16"/>
  <c r="K136" i="16" s="1"/>
  <c r="L136" i="16" s="1"/>
  <c r="L137" i="16" s="1"/>
  <c r="D40" i="91"/>
  <c r="M40" i="91" s="1"/>
  <c r="H109" i="147"/>
  <c r="B159" i="16"/>
  <c r="W312" i="94"/>
  <c r="W329" i="94" s="1"/>
  <c r="W328" i="94"/>
  <c r="E61" i="143"/>
  <c r="C61" i="143"/>
  <c r="U3" i="161"/>
  <c r="Y5" i="161" s="1"/>
  <c r="R3" i="161"/>
  <c r="S3" i="160" s="1"/>
  <c r="G61" i="143"/>
  <c r="D360" i="143"/>
  <c r="D365" i="143"/>
  <c r="V4" i="161"/>
  <c r="X4" i="161" s="1"/>
  <c r="V3" i="161"/>
  <c r="Z5" i="161" s="1"/>
  <c r="C264" i="143"/>
  <c r="S472" i="143"/>
  <c r="Q473" i="143"/>
  <c r="Q474" i="143" s="1"/>
  <c r="X484" i="143" s="1"/>
  <c r="O474" i="143"/>
  <c r="X481" i="143" s="1"/>
  <c r="W503" i="143"/>
  <c r="W505" i="143"/>
  <c r="Z503" i="143"/>
  <c r="R469" i="143"/>
  <c r="X505" i="143" s="1"/>
  <c r="N483" i="143"/>
  <c r="O483" i="143" s="1"/>
  <c r="D310" i="143"/>
  <c r="E316" i="143"/>
  <c r="C107" i="143"/>
  <c r="E107" i="143"/>
  <c r="C325" i="143"/>
  <c r="C333" i="143" s="1"/>
  <c r="P486" i="143"/>
  <c r="D388" i="143"/>
  <c r="C329" i="143"/>
  <c r="F326" i="143"/>
  <c r="D361" i="143"/>
  <c r="C361" i="143"/>
  <c r="E362" i="143"/>
  <c r="N512" i="143"/>
  <c r="V481" i="143"/>
  <c r="R472" i="143"/>
  <c r="V483" i="143" s="1"/>
  <c r="Q472" i="143"/>
  <c r="V484" i="143" s="1"/>
  <c r="P472" i="143"/>
  <c r="V482" i="143" s="1"/>
  <c r="D81" i="159"/>
  <c r="M80" i="159" s="1"/>
  <c r="O80" i="159" s="1"/>
  <c r="N83" i="159"/>
  <c r="C229" i="94"/>
  <c r="D230" i="94" s="1"/>
  <c r="C185" i="94"/>
  <c r="L184" i="94"/>
  <c r="K227" i="94" s="1"/>
  <c r="C189" i="94"/>
  <c r="N182" i="94"/>
  <c r="C190" i="94"/>
  <c r="D190" i="94" s="1"/>
  <c r="R323" i="94"/>
  <c r="X339" i="94"/>
  <c r="P346" i="94"/>
  <c r="S346" i="94" s="1"/>
  <c r="N312" i="94"/>
  <c r="W316" i="94" s="1"/>
  <c r="Y316" i="94" s="1"/>
  <c r="R319" i="94"/>
  <c r="S319" i="94" s="1"/>
  <c r="P3" i="161"/>
  <c r="Q3" i="161" s="1"/>
  <c r="I3" i="161"/>
  <c r="Q150" i="94"/>
  <c r="K43" i="94"/>
  <c r="Q149" i="94" s="1"/>
  <c r="X503" i="163"/>
  <c r="P510" i="163"/>
  <c r="S510" i="163" s="1"/>
  <c r="R487" i="163"/>
  <c r="N476" i="163"/>
  <c r="W480" i="163" s="1"/>
  <c r="Y480" i="163" s="1"/>
  <c r="F125" i="94"/>
  <c r="D125" i="94"/>
  <c r="D126" i="94"/>
  <c r="F126" i="94"/>
  <c r="J87" i="165" l="1"/>
  <c r="F87" i="165"/>
  <c r="H86" i="165"/>
  <c r="C410" i="162"/>
  <c r="C412" i="162" s="1"/>
  <c r="I89" i="163"/>
  <c r="W47" i="162"/>
  <c r="O55" i="91"/>
  <c r="P57" i="94"/>
  <c r="H71" i="94" s="1"/>
  <c r="O512" i="162"/>
  <c r="S513" i="162" s="1"/>
  <c r="C82" i="143"/>
  <c r="I82" i="143" s="1"/>
  <c r="R483" i="162"/>
  <c r="S483" i="162" s="1"/>
  <c r="V525" i="162" s="1"/>
  <c r="S474" i="147"/>
  <c r="S475" i="147" s="1"/>
  <c r="X485" i="147" s="1"/>
  <c r="D65" i="159"/>
  <c r="M64" i="159" s="1"/>
  <c r="O64" i="159" s="1"/>
  <c r="P64" i="159" s="1"/>
  <c r="F80" i="147"/>
  <c r="B67" i="159"/>
  <c r="B70" i="159" s="1"/>
  <c r="B74" i="159" s="1"/>
  <c r="C385" i="163"/>
  <c r="D387" i="163" s="1"/>
  <c r="D401" i="163" s="1"/>
  <c r="F404" i="163" s="1"/>
  <c r="K323" i="163"/>
  <c r="J383" i="163" s="1"/>
  <c r="C361" i="162"/>
  <c r="O74" i="159"/>
  <c r="P74" i="159" s="1"/>
  <c r="W7" i="159"/>
  <c r="D21" i="159"/>
  <c r="M21" i="159" s="1"/>
  <c r="Y50" i="162"/>
  <c r="Y52" i="162" s="1"/>
  <c r="J135" i="162" s="1"/>
  <c r="S486" i="143"/>
  <c r="X504" i="162"/>
  <c r="Y504" i="162" s="1"/>
  <c r="Y50" i="163"/>
  <c r="K64" i="163" s="1"/>
  <c r="K80" i="163" s="1"/>
  <c r="W47" i="147"/>
  <c r="F80" i="162"/>
  <c r="E362" i="162"/>
  <c r="D363" i="162" s="1"/>
  <c r="H363" i="162" s="1"/>
  <c r="C361" i="163"/>
  <c r="E362" i="163"/>
  <c r="D363" i="163" s="1"/>
  <c r="H363" i="163" s="1"/>
  <c r="E356" i="162"/>
  <c r="D357" i="162" s="1"/>
  <c r="D369" i="162"/>
  <c r="M61" i="159"/>
  <c r="O61" i="159" s="1"/>
  <c r="P61" i="159" s="1"/>
  <c r="M67" i="159"/>
  <c r="O67" i="159" s="1"/>
  <c r="N485" i="163"/>
  <c r="N486" i="163"/>
  <c r="N487" i="163" s="1"/>
  <c r="P487" i="163" s="1"/>
  <c r="C66" i="143"/>
  <c r="I66" i="143" s="1"/>
  <c r="C70" i="143"/>
  <c r="N476" i="147"/>
  <c r="W480" i="147" s="1"/>
  <c r="Y480" i="147" s="1"/>
  <c r="P55" i="94"/>
  <c r="F71" i="94" s="1"/>
  <c r="W47" i="143"/>
  <c r="X49" i="147"/>
  <c r="O487" i="143"/>
  <c r="Q487" i="143" s="1"/>
  <c r="S322" i="94"/>
  <c r="P481" i="163"/>
  <c r="P512" i="163" s="1"/>
  <c r="W6" i="159"/>
  <c r="I25" i="94"/>
  <c r="C385" i="147"/>
  <c r="D387" i="147" s="1"/>
  <c r="D400" i="147" s="1"/>
  <c r="K323" i="147"/>
  <c r="J383" i="147" s="1"/>
  <c r="Y50" i="143"/>
  <c r="K64" i="143" s="1"/>
  <c r="K80" i="143" s="1"/>
  <c r="X503" i="143"/>
  <c r="X504" i="143" s="1"/>
  <c r="Y504" i="143" s="1"/>
  <c r="P510" i="143"/>
  <c r="S510" i="143" s="1"/>
  <c r="D389" i="143"/>
  <c r="K64" i="147"/>
  <c r="K80" i="147" s="1"/>
  <c r="X49" i="162"/>
  <c r="X49" i="163"/>
  <c r="X49" i="143"/>
  <c r="C205" i="94"/>
  <c r="D205" i="94"/>
  <c r="R487" i="147"/>
  <c r="R483" i="143"/>
  <c r="S483" i="143" s="1"/>
  <c r="V525" i="143" s="1"/>
  <c r="F64" i="143"/>
  <c r="F80" i="143" s="1"/>
  <c r="X503" i="147"/>
  <c r="Y503" i="147" s="1"/>
  <c r="O512" i="147"/>
  <c r="S513" i="147" s="1"/>
  <c r="P482" i="147"/>
  <c r="S482" i="147" s="1"/>
  <c r="R483" i="147"/>
  <c r="S483" i="147" s="1"/>
  <c r="V525" i="147" s="1"/>
  <c r="O70" i="159"/>
  <c r="P70" i="159" s="1"/>
  <c r="F107" i="143"/>
  <c r="H107" i="143"/>
  <c r="F77" i="147"/>
  <c r="N476" i="143"/>
  <c r="W480" i="143" s="1"/>
  <c r="Y480" i="143" s="1"/>
  <c r="S481" i="143"/>
  <c r="D392" i="143"/>
  <c r="O39" i="159"/>
  <c r="P39" i="159" s="1"/>
  <c r="J193" i="94"/>
  <c r="B77" i="159"/>
  <c r="S348" i="94"/>
  <c r="D391" i="143"/>
  <c r="D401" i="143"/>
  <c r="F404" i="143" s="1"/>
  <c r="D203" i="94"/>
  <c r="H202" i="94"/>
  <c r="W485" i="143"/>
  <c r="T476" i="143"/>
  <c r="W486" i="143" s="1"/>
  <c r="G23" i="143"/>
  <c r="P486" i="162"/>
  <c r="N487" i="162"/>
  <c r="P487" i="162" s="1"/>
  <c r="G7" i="143"/>
  <c r="W476" i="143"/>
  <c r="W493" i="143" s="1"/>
  <c r="I89" i="143"/>
  <c r="Y144" i="143"/>
  <c r="Z144" i="143" s="1"/>
  <c r="W48" i="143"/>
  <c r="Y48" i="143" s="1"/>
  <c r="Y144" i="147"/>
  <c r="Z144" i="147" s="1"/>
  <c r="W48" i="147"/>
  <c r="Y48" i="147" s="1"/>
  <c r="Y144" i="162"/>
  <c r="Z144" i="162" s="1"/>
  <c r="W48" i="162"/>
  <c r="Y48" i="162" s="1"/>
  <c r="W48" i="163"/>
  <c r="Y48" i="163" s="1"/>
  <c r="S475" i="143"/>
  <c r="X485" i="143" s="1"/>
  <c r="Y474" i="143"/>
  <c r="AC474" i="143" s="1"/>
  <c r="D3" i="161"/>
  <c r="F24" i="121"/>
  <c r="D14" i="90"/>
  <c r="F14" i="90" s="1"/>
  <c r="I5" i="90" s="1"/>
  <c r="D161" i="16"/>
  <c r="C411" i="162"/>
  <c r="K28" i="147"/>
  <c r="N271" i="147"/>
  <c r="K27" i="147"/>
  <c r="C26" i="147" s="1"/>
  <c r="V7" i="159"/>
  <c r="N17" i="159"/>
  <c r="O17" i="159" s="1"/>
  <c r="P17" i="159" s="1"/>
  <c r="V492" i="147"/>
  <c r="AA472" i="147"/>
  <c r="P482" i="163"/>
  <c r="O512" i="163"/>
  <c r="S513" i="163" s="1"/>
  <c r="F107" i="163"/>
  <c r="H107" i="163"/>
  <c r="R475" i="143"/>
  <c r="R476" i="143" s="1"/>
  <c r="W483" i="143" s="1"/>
  <c r="Y483" i="143" s="1"/>
  <c r="I67" i="162"/>
  <c r="I66" i="162"/>
  <c r="F109" i="162"/>
  <c r="H109" i="162"/>
  <c r="Y322" i="94"/>
  <c r="K27" i="162"/>
  <c r="D26" i="162" s="1"/>
  <c r="K28" i="162"/>
  <c r="N271" i="162"/>
  <c r="O139" i="16"/>
  <c r="K156" i="16" s="1"/>
  <c r="K157" i="16"/>
  <c r="H137" i="16"/>
  <c r="H138" i="16" s="1"/>
  <c r="L149" i="16" s="1"/>
  <c r="E356" i="163"/>
  <c r="D369" i="163"/>
  <c r="C410" i="163"/>
  <c r="D342" i="163"/>
  <c r="V478" i="163"/>
  <c r="Q459" i="163"/>
  <c r="P457" i="163"/>
  <c r="S474" i="163"/>
  <c r="H110" i="16"/>
  <c r="I110" i="16"/>
  <c r="E110" i="16"/>
  <c r="F110" i="16" s="1"/>
  <c r="E76" i="16"/>
  <c r="F76" i="16" s="1"/>
  <c r="S311" i="94"/>
  <c r="X321" i="94" s="1"/>
  <c r="AA321" i="94" s="1"/>
  <c r="Y310" i="94"/>
  <c r="S137" i="16"/>
  <c r="O137" i="16"/>
  <c r="J138" i="16"/>
  <c r="L154" i="16" s="1"/>
  <c r="V495" i="163"/>
  <c r="AF472" i="163"/>
  <c r="V497" i="163" s="1"/>
  <c r="D366" i="147"/>
  <c r="D393" i="147"/>
  <c r="D394" i="147" s="1"/>
  <c r="AB472" i="147"/>
  <c r="X472" i="147"/>
  <c r="V498" i="147" s="1"/>
  <c r="V493" i="147"/>
  <c r="G138" i="16"/>
  <c r="L148" i="16" s="1"/>
  <c r="Q137" i="16"/>
  <c r="L162" i="16"/>
  <c r="M137" i="16"/>
  <c r="E78" i="16"/>
  <c r="F78" i="16" s="1"/>
  <c r="Y505" i="147"/>
  <c r="Y145" i="162"/>
  <c r="Z145" i="162" s="1"/>
  <c r="W49" i="162"/>
  <c r="C108" i="163"/>
  <c r="E108" i="163"/>
  <c r="D109" i="163"/>
  <c r="V487" i="147"/>
  <c r="AC472" i="147"/>
  <c r="V489" i="147" s="1"/>
  <c r="H106" i="16"/>
  <c r="E106" i="16"/>
  <c r="F106" i="16" s="1"/>
  <c r="I106" i="16"/>
  <c r="S476" i="163"/>
  <c r="W481" i="163"/>
  <c r="Q459" i="162"/>
  <c r="P457" i="162"/>
  <c r="V478" i="162"/>
  <c r="S474" i="162"/>
  <c r="K36" i="143"/>
  <c r="K32" i="143"/>
  <c r="F193" i="143" s="1"/>
  <c r="D12" i="143"/>
  <c r="K30" i="143"/>
  <c r="O461" i="143"/>
  <c r="K34" i="143"/>
  <c r="C15" i="143"/>
  <c r="W484" i="147"/>
  <c r="V476" i="147"/>
  <c r="P190" i="162"/>
  <c r="G14" i="162"/>
  <c r="I71" i="162"/>
  <c r="I70" i="162"/>
  <c r="I96" i="16"/>
  <c r="H96" i="16" s="1"/>
  <c r="D111" i="162"/>
  <c r="E110" i="162"/>
  <c r="C110" i="162"/>
  <c r="F77" i="143"/>
  <c r="I36" i="16"/>
  <c r="H36" i="16" s="1"/>
  <c r="E36" i="16"/>
  <c r="F36" i="16" s="1"/>
  <c r="V331" i="94"/>
  <c r="AF308" i="94"/>
  <c r="V333" i="94" s="1"/>
  <c r="N332" i="94" s="1"/>
  <c r="P332" i="94" s="1"/>
  <c r="I241" i="147"/>
  <c r="D115" i="147"/>
  <c r="E114" i="147"/>
  <c r="C114" i="147"/>
  <c r="X143" i="163"/>
  <c r="Z143" i="163" s="1"/>
  <c r="X47" i="163"/>
  <c r="Y47" i="163" s="1"/>
  <c r="I76" i="16"/>
  <c r="H76" i="16" s="1"/>
  <c r="V493" i="162"/>
  <c r="AB472" i="162"/>
  <c r="X472" i="162"/>
  <c r="V498" i="162" s="1"/>
  <c r="AA472" i="163"/>
  <c r="V492" i="163"/>
  <c r="I241" i="163"/>
  <c r="G144" i="16"/>
  <c r="I83" i="163"/>
  <c r="I82" i="163"/>
  <c r="Y145" i="147"/>
  <c r="Z145" i="147" s="1"/>
  <c r="W49" i="147"/>
  <c r="C333" i="162"/>
  <c r="C335" i="162" s="1"/>
  <c r="C336" i="162" s="1"/>
  <c r="C338" i="162" s="1"/>
  <c r="C327" i="162"/>
  <c r="C340" i="162" s="1"/>
  <c r="B164" i="16"/>
  <c r="Y481" i="162"/>
  <c r="N495" i="162" s="1"/>
  <c r="P495" i="162" s="1"/>
  <c r="U481" i="162"/>
  <c r="N334" i="94"/>
  <c r="P334" i="94" s="1"/>
  <c r="O480" i="147"/>
  <c r="G147" i="16"/>
  <c r="B5" i="90" s="1"/>
  <c r="P6" i="90" s="1"/>
  <c r="P8" i="90" s="1"/>
  <c r="G174" i="16"/>
  <c r="K67" i="159"/>
  <c r="N30" i="91"/>
  <c r="O30" i="91" s="1"/>
  <c r="M155" i="16"/>
  <c r="I24" i="16"/>
  <c r="H24" i="16" s="1"/>
  <c r="E24" i="16"/>
  <c r="F24" i="16" s="1"/>
  <c r="O480" i="163"/>
  <c r="L161" i="16"/>
  <c r="P137" i="16"/>
  <c r="T137" i="16"/>
  <c r="G14" i="147"/>
  <c r="H16" i="147" s="1"/>
  <c r="P190" i="147"/>
  <c r="O482" i="163"/>
  <c r="D149" i="16"/>
  <c r="G149" i="16"/>
  <c r="B150" i="16"/>
  <c r="R483" i="163"/>
  <c r="S483" i="163" s="1"/>
  <c r="V525" i="163" s="1"/>
  <c r="R137" i="16"/>
  <c r="L160" i="16"/>
  <c r="N137" i="16"/>
  <c r="F78" i="143"/>
  <c r="W3" i="161"/>
  <c r="C15" i="163"/>
  <c r="D12" i="163"/>
  <c r="O461" i="163"/>
  <c r="T474" i="163" s="1"/>
  <c r="T475" i="163" s="1"/>
  <c r="X486" i="163" s="1"/>
  <c r="K32" i="163"/>
  <c r="F193" i="163" s="1"/>
  <c r="K36" i="163"/>
  <c r="K30" i="163"/>
  <c r="K34" i="163"/>
  <c r="I38" i="16"/>
  <c r="H38" i="16" s="1"/>
  <c r="D12" i="147"/>
  <c r="C14" i="147"/>
  <c r="K32" i="147"/>
  <c r="F193" i="147" s="1"/>
  <c r="O461" i="147"/>
  <c r="T474" i="147" s="1"/>
  <c r="T475" i="147" s="1"/>
  <c r="X486" i="147" s="1"/>
  <c r="K30" i="147"/>
  <c r="K34" i="147"/>
  <c r="K36" i="147"/>
  <c r="Y484" i="163"/>
  <c r="U484" i="163"/>
  <c r="B158" i="16"/>
  <c r="P488" i="163"/>
  <c r="V488" i="147"/>
  <c r="AD472" i="147"/>
  <c r="V490" i="147" s="1"/>
  <c r="X143" i="162"/>
  <c r="Z143" i="162" s="1"/>
  <c r="X47" i="162"/>
  <c r="Y47" i="162" s="1"/>
  <c r="H26" i="16"/>
  <c r="E26" i="16"/>
  <c r="F26" i="16" s="1"/>
  <c r="I26" i="16"/>
  <c r="AD472" i="162"/>
  <c r="V490" i="162" s="1"/>
  <c r="V488" i="162"/>
  <c r="I82" i="162"/>
  <c r="I83" i="162"/>
  <c r="Q481" i="162"/>
  <c r="O485" i="162"/>
  <c r="O488" i="162"/>
  <c r="O486" i="162"/>
  <c r="V487" i="163"/>
  <c r="AC472" i="163"/>
  <c r="V489" i="163" s="1"/>
  <c r="I94" i="16"/>
  <c r="H94" i="16" s="1"/>
  <c r="G175" i="16"/>
  <c r="F78" i="163"/>
  <c r="Y145" i="163"/>
  <c r="Z145" i="163" s="1"/>
  <c r="W49" i="163"/>
  <c r="B157" i="16"/>
  <c r="Y484" i="162"/>
  <c r="U484" i="162"/>
  <c r="N486" i="147"/>
  <c r="N488" i="147"/>
  <c r="N485" i="147"/>
  <c r="P481" i="147"/>
  <c r="E108" i="16"/>
  <c r="F108" i="16" s="1"/>
  <c r="I108" i="16"/>
  <c r="H108" i="16"/>
  <c r="V494" i="162"/>
  <c r="AE472" i="162"/>
  <c r="V496" i="162" s="1"/>
  <c r="K27" i="163"/>
  <c r="D26" i="163" s="1"/>
  <c r="N271" i="163"/>
  <c r="K28" i="163"/>
  <c r="N15" i="159"/>
  <c r="D19" i="159"/>
  <c r="M19" i="159" s="1"/>
  <c r="D15" i="159"/>
  <c r="M15" i="159" s="1"/>
  <c r="Q297" i="94"/>
  <c r="W310" i="94" s="1"/>
  <c r="W311" i="94" s="1"/>
  <c r="X329" i="94" s="1"/>
  <c r="Y329" i="94" s="1"/>
  <c r="U310" i="94"/>
  <c r="X312" i="94"/>
  <c r="W334" i="94" s="1"/>
  <c r="P316" i="94"/>
  <c r="D12" i="162"/>
  <c r="K36" i="162"/>
  <c r="C15" i="162"/>
  <c r="F78" i="162"/>
  <c r="K30" i="162"/>
  <c r="O461" i="162"/>
  <c r="T474" i="162" s="1"/>
  <c r="T475" i="162" s="1"/>
  <c r="X486" i="162" s="1"/>
  <c r="Y486" i="162" s="1"/>
  <c r="K32" i="162"/>
  <c r="F193" i="162" s="1"/>
  <c r="K34" i="162"/>
  <c r="F77" i="162"/>
  <c r="I82" i="16"/>
  <c r="H82" i="16" s="1"/>
  <c r="E82" i="16"/>
  <c r="F82" i="16" s="1"/>
  <c r="F72" i="94"/>
  <c r="J72" i="94"/>
  <c r="O482" i="162"/>
  <c r="S482" i="162" s="1"/>
  <c r="H98" i="16"/>
  <c r="I98" i="16"/>
  <c r="Q459" i="147"/>
  <c r="V478" i="147"/>
  <c r="P457" i="147"/>
  <c r="W492" i="163"/>
  <c r="W476" i="163"/>
  <c r="W493" i="163" s="1"/>
  <c r="P457" i="143"/>
  <c r="Q459" i="143"/>
  <c r="V478" i="143"/>
  <c r="H72" i="94"/>
  <c r="I82" i="147"/>
  <c r="I83" i="147"/>
  <c r="N271" i="143"/>
  <c r="K28" i="143"/>
  <c r="K27" i="143"/>
  <c r="D26" i="143" s="1"/>
  <c r="X143" i="143"/>
  <c r="Z143" i="143" s="1"/>
  <c r="X47" i="143"/>
  <c r="C329" i="147"/>
  <c r="F326" i="147"/>
  <c r="D388" i="147"/>
  <c r="I89" i="162"/>
  <c r="I88" i="162"/>
  <c r="I92" i="16"/>
  <c r="H92" i="16" s="1"/>
  <c r="F219" i="163"/>
  <c r="J227" i="163" s="1"/>
  <c r="G23" i="163"/>
  <c r="R475" i="163"/>
  <c r="R476" i="163" s="1"/>
  <c r="W483" i="163" s="1"/>
  <c r="Y483" i="163" s="1"/>
  <c r="G7" i="163"/>
  <c r="N12" i="159"/>
  <c r="O12" i="159" s="1"/>
  <c r="V6" i="159"/>
  <c r="Y145" i="143"/>
  <c r="Z145" i="143" s="1"/>
  <c r="W49" i="143"/>
  <c r="R476" i="147"/>
  <c r="W483" i="147" s="1"/>
  <c r="Y483" i="147" s="1"/>
  <c r="G23" i="162"/>
  <c r="G7" i="162"/>
  <c r="R475" i="162"/>
  <c r="R476" i="162" s="1"/>
  <c r="W483" i="162" s="1"/>
  <c r="Y483" i="162" s="1"/>
  <c r="F219" i="162"/>
  <c r="J227" i="162" s="1"/>
  <c r="E96" i="16"/>
  <c r="F96" i="16" s="1"/>
  <c r="D12" i="90"/>
  <c r="F12" i="90" s="1"/>
  <c r="G5" i="90" s="1"/>
  <c r="D159" i="16"/>
  <c r="S476" i="147"/>
  <c r="W481" i="147"/>
  <c r="P190" i="143"/>
  <c r="G14" i="143"/>
  <c r="G151" i="16"/>
  <c r="D151" i="16"/>
  <c r="I104" i="16"/>
  <c r="H104" i="16"/>
  <c r="E104" i="16"/>
  <c r="F104" i="16" s="1"/>
  <c r="C63" i="94"/>
  <c r="C65" i="94" s="1"/>
  <c r="M65" i="94" s="1"/>
  <c r="N147" i="94"/>
  <c r="P143" i="94" s="1"/>
  <c r="O68" i="94"/>
  <c r="G36" i="94"/>
  <c r="F14" i="121"/>
  <c r="B36" i="94"/>
  <c r="P144" i="94"/>
  <c r="F98" i="94"/>
  <c r="J99" i="94" s="1"/>
  <c r="P145" i="94"/>
  <c r="P311" i="94"/>
  <c r="P312" i="94" s="1"/>
  <c r="W318" i="94" s="1"/>
  <c r="Y318" i="94" s="1"/>
  <c r="Z318" i="94" s="1"/>
  <c r="P153" i="94"/>
  <c r="F109" i="94"/>
  <c r="X143" i="147"/>
  <c r="Z143" i="147" s="1"/>
  <c r="X47" i="147"/>
  <c r="I78" i="16"/>
  <c r="H78" i="16" s="1"/>
  <c r="E44" i="159"/>
  <c r="M42" i="159"/>
  <c r="O42" i="159" s="1"/>
  <c r="P42" i="159" s="1"/>
  <c r="K32" i="91"/>
  <c r="R8" i="91" s="1"/>
  <c r="S8" i="91" s="1"/>
  <c r="B160" i="16"/>
  <c r="B162" i="16"/>
  <c r="B156" i="16"/>
  <c r="P190" i="163"/>
  <c r="G14" i="163"/>
  <c r="M46" i="159"/>
  <c r="O46" i="159" s="1"/>
  <c r="P46" i="159" s="1"/>
  <c r="D50" i="159"/>
  <c r="M49" i="159" s="1"/>
  <c r="O49" i="159" s="1"/>
  <c r="P49" i="159" s="1"/>
  <c r="D59" i="159"/>
  <c r="M58" i="159" s="1"/>
  <c r="O58" i="159" s="1"/>
  <c r="P58" i="159" s="1"/>
  <c r="D401" i="162"/>
  <c r="F404" i="162" s="1"/>
  <c r="D389" i="162"/>
  <c r="D400" i="162"/>
  <c r="D392" i="162"/>
  <c r="F397" i="162" s="1"/>
  <c r="D391" i="162"/>
  <c r="F395" i="162" s="1"/>
  <c r="I241" i="162"/>
  <c r="W314" i="94"/>
  <c r="S304" i="94" s="1"/>
  <c r="X336" i="94" s="1"/>
  <c r="Y336" i="94" s="1"/>
  <c r="V310" i="94"/>
  <c r="P482" i="143"/>
  <c r="S482" i="143" s="1"/>
  <c r="O512" i="143"/>
  <c r="S513" i="143" s="1"/>
  <c r="AA4" i="161"/>
  <c r="AB4" i="161" s="1"/>
  <c r="C327" i="143"/>
  <c r="C340" i="143" s="1"/>
  <c r="X3" i="161"/>
  <c r="D367" i="143"/>
  <c r="V472" i="143"/>
  <c r="Y472" i="143"/>
  <c r="W499" i="143"/>
  <c r="Z499" i="143"/>
  <c r="V485" i="143"/>
  <c r="C335" i="143"/>
  <c r="C336" i="143" s="1"/>
  <c r="C338" i="143" s="1"/>
  <c r="AD3" i="161"/>
  <c r="K3" i="160" s="1"/>
  <c r="T472" i="143"/>
  <c r="D265" i="143"/>
  <c r="S488" i="143"/>
  <c r="D393" i="143"/>
  <c r="D394" i="143" s="1"/>
  <c r="D366" i="143"/>
  <c r="AB5" i="161"/>
  <c r="P487" i="143"/>
  <c r="Y505" i="143"/>
  <c r="U481" i="143"/>
  <c r="Y481" i="143"/>
  <c r="D369" i="143"/>
  <c r="E356" i="143"/>
  <c r="D342" i="143"/>
  <c r="C410" i="143"/>
  <c r="E108" i="143"/>
  <c r="C108" i="143"/>
  <c r="Y484" i="143"/>
  <c r="U484" i="143"/>
  <c r="D363" i="143"/>
  <c r="H363" i="143" s="1"/>
  <c r="C236" i="94"/>
  <c r="E239" i="94" s="1"/>
  <c r="H236" i="94"/>
  <c r="J237" i="94" s="1"/>
  <c r="C235" i="94"/>
  <c r="E237" i="94" s="1"/>
  <c r="H235" i="94"/>
  <c r="D232" i="94"/>
  <c r="AC3" i="161"/>
  <c r="O3" i="160" s="1"/>
  <c r="S3" i="161"/>
  <c r="D391" i="163"/>
  <c r="F395" i="163" s="1"/>
  <c r="D392" i="163"/>
  <c r="F397" i="163" s="1"/>
  <c r="V361" i="94"/>
  <c r="C327" i="147"/>
  <c r="C340" i="147" s="1"/>
  <c r="C333" i="147"/>
  <c r="C333" i="163"/>
  <c r="C335" i="163" s="1"/>
  <c r="C336" i="163" s="1"/>
  <c r="C338" i="163" s="1"/>
  <c r="C327" i="163"/>
  <c r="C340" i="163" s="1"/>
  <c r="N87" i="159"/>
  <c r="O83" i="159"/>
  <c r="X340" i="94"/>
  <c r="Y340" i="94" s="1"/>
  <c r="Y339" i="94"/>
  <c r="P323" i="94"/>
  <c r="Q323" i="94"/>
  <c r="O98" i="159"/>
  <c r="P98" i="159" s="1"/>
  <c r="P80" i="159"/>
  <c r="X504" i="163"/>
  <c r="Y504" i="163" s="1"/>
  <c r="Y503" i="163"/>
  <c r="Q151" i="94"/>
  <c r="F189" i="94"/>
  <c r="I189" i="94" s="1"/>
  <c r="L189" i="94" s="1"/>
  <c r="C187" i="94"/>
  <c r="J88" i="165" l="1"/>
  <c r="H88" i="165"/>
  <c r="H87" i="165"/>
  <c r="J86" i="165"/>
  <c r="D389" i="163"/>
  <c r="Y47" i="147"/>
  <c r="D400" i="163"/>
  <c r="I83" i="143"/>
  <c r="Y474" i="147"/>
  <c r="P486" i="163"/>
  <c r="B80" i="159"/>
  <c r="B83" i="159" s="1"/>
  <c r="B87" i="159" s="1"/>
  <c r="B95" i="159" s="1"/>
  <c r="B98" i="159" s="1"/>
  <c r="Y52" i="163"/>
  <c r="J135" i="163" s="1"/>
  <c r="K64" i="162"/>
  <c r="K80" i="162" s="1"/>
  <c r="AB2" i="159"/>
  <c r="AB6" i="159" s="1"/>
  <c r="AD2" i="159"/>
  <c r="AD4" i="159"/>
  <c r="Z4" i="159" s="1"/>
  <c r="H356" i="162"/>
  <c r="C335" i="147"/>
  <c r="C336" i="147" s="1"/>
  <c r="C338" i="147" s="1"/>
  <c r="Y49" i="147"/>
  <c r="Y47" i="143"/>
  <c r="I67" i="143"/>
  <c r="Y503" i="143"/>
  <c r="Y475" i="143"/>
  <c r="X487" i="143" s="1"/>
  <c r="Y487" i="143" s="1"/>
  <c r="S487" i="143"/>
  <c r="Y52" i="143"/>
  <c r="J135" i="143" s="1"/>
  <c r="D391" i="147"/>
  <c r="F395" i="147" s="1"/>
  <c r="Y49" i="163"/>
  <c r="Y49" i="162"/>
  <c r="D401" i="147"/>
  <c r="F404" i="147" s="1"/>
  <c r="D392" i="147"/>
  <c r="F397" i="147" s="1"/>
  <c r="D389" i="147"/>
  <c r="Y49" i="143"/>
  <c r="X504" i="147"/>
  <c r="Y504" i="147" s="1"/>
  <c r="J194" i="94"/>
  <c r="J195" i="94" s="1"/>
  <c r="F197" i="94" s="1"/>
  <c r="L197" i="94" s="1"/>
  <c r="E199" i="94" s="1"/>
  <c r="N495" i="143"/>
  <c r="P495" i="143" s="1"/>
  <c r="Y485" i="143"/>
  <c r="F108" i="143"/>
  <c r="H108" i="143"/>
  <c r="H16" i="143"/>
  <c r="D37" i="94"/>
  <c r="D14" i="94" s="1"/>
  <c r="S323" i="94"/>
  <c r="E348" i="162"/>
  <c r="E350" i="162" s="1"/>
  <c r="D368" i="162" s="1"/>
  <c r="O77" i="159"/>
  <c r="P77" i="159" s="1"/>
  <c r="S482" i="163"/>
  <c r="W10" i="159"/>
  <c r="F395" i="143"/>
  <c r="AF3" i="161"/>
  <c r="AF4" i="161" s="1"/>
  <c r="E147" i="163"/>
  <c r="E147" i="162"/>
  <c r="D4" i="161"/>
  <c r="C3" i="161"/>
  <c r="C4" i="161" s="1"/>
  <c r="P488" i="147"/>
  <c r="M138" i="16"/>
  <c r="L150" i="16" s="1"/>
  <c r="E356" i="147"/>
  <c r="D369" i="147"/>
  <c r="C410" i="147"/>
  <c r="D342" i="147"/>
  <c r="N44" i="91"/>
  <c r="O44" i="91" s="1"/>
  <c r="M162" i="16"/>
  <c r="B163" i="16" s="1"/>
  <c r="V494" i="147"/>
  <c r="AE472" i="147"/>
  <c r="V496" i="147" s="1"/>
  <c r="N337" i="94"/>
  <c r="P337" i="94" s="1"/>
  <c r="J3" i="160"/>
  <c r="N19" i="159"/>
  <c r="AB4" i="159" s="1"/>
  <c r="O15" i="159"/>
  <c r="P15" i="159" s="1"/>
  <c r="I114" i="94"/>
  <c r="J109" i="94"/>
  <c r="H74" i="94"/>
  <c r="H73" i="94"/>
  <c r="J73" i="94"/>
  <c r="J74" i="94"/>
  <c r="N493" i="163"/>
  <c r="P493" i="163" s="1"/>
  <c r="N497" i="162"/>
  <c r="P497" i="162" s="1"/>
  <c r="T138" i="16"/>
  <c r="L159" i="16" s="1"/>
  <c r="D164" i="16"/>
  <c r="D17" i="90"/>
  <c r="F17" i="90" s="1"/>
  <c r="L5" i="90" s="1"/>
  <c r="F114" i="147"/>
  <c r="H114" i="147"/>
  <c r="D112" i="162"/>
  <c r="C111" i="162"/>
  <c r="E111" i="162"/>
  <c r="W476" i="147"/>
  <c r="W493" i="147" s="1"/>
  <c r="W492" i="147"/>
  <c r="O148" i="16"/>
  <c r="N16" i="91"/>
  <c r="O16" i="91" s="1"/>
  <c r="M148" i="16"/>
  <c r="N148" i="16" s="1"/>
  <c r="R10" i="91"/>
  <c r="S10" i="91" s="1"/>
  <c r="W478" i="163"/>
  <c r="S468" i="163" s="1"/>
  <c r="X500" i="163" s="1"/>
  <c r="Y500" i="163" s="1"/>
  <c r="V474" i="163"/>
  <c r="AA485" i="147"/>
  <c r="T476" i="147"/>
  <c r="W486" i="147" s="1"/>
  <c r="Y486" i="147" s="1"/>
  <c r="W485" i="147"/>
  <c r="Y485" i="147" s="1"/>
  <c r="Q512" i="162"/>
  <c r="S512" i="162" s="1"/>
  <c r="S481" i="162"/>
  <c r="F194" i="163"/>
  <c r="F195" i="163"/>
  <c r="I71" i="143"/>
  <c r="I70" i="143"/>
  <c r="AE472" i="163"/>
  <c r="V496" i="163" s="1"/>
  <c r="V494" i="163"/>
  <c r="N494" i="163" s="1"/>
  <c r="P494" i="163" s="1"/>
  <c r="K42" i="143"/>
  <c r="E148" i="143"/>
  <c r="W478" i="162"/>
  <c r="S468" i="162" s="1"/>
  <c r="X500" i="162" s="1"/>
  <c r="Y500" i="162" s="1"/>
  <c r="V474" i="162"/>
  <c r="S475" i="163"/>
  <c r="X485" i="163" s="1"/>
  <c r="AA485" i="163" s="1"/>
  <c r="Y474" i="163"/>
  <c r="E348" i="163"/>
  <c r="E350" i="163" s="1"/>
  <c r="E354" i="163" s="1"/>
  <c r="D157" i="16"/>
  <c r="D10" i="90"/>
  <c r="F10" i="90" s="1"/>
  <c r="E5" i="90" s="1"/>
  <c r="P67" i="159"/>
  <c r="V10" i="159"/>
  <c r="V11" i="159" s="1"/>
  <c r="N335" i="94"/>
  <c r="P335" i="94" s="1"/>
  <c r="N330" i="94"/>
  <c r="P330" i="94" s="1"/>
  <c r="N333" i="94"/>
  <c r="P333" i="94" s="1"/>
  <c r="F195" i="143"/>
  <c r="F194" i="143"/>
  <c r="W485" i="163"/>
  <c r="T476" i="163"/>
  <c r="W486" i="163" s="1"/>
  <c r="Y486" i="163" s="1"/>
  <c r="F108" i="163"/>
  <c r="H108" i="163"/>
  <c r="Q138" i="16"/>
  <c r="L152" i="16"/>
  <c r="N329" i="94"/>
  <c r="P329" i="94" s="1"/>
  <c r="D357" i="163"/>
  <c r="H356" i="163"/>
  <c r="D156" i="16"/>
  <c r="D9" i="90"/>
  <c r="F9" i="90" s="1"/>
  <c r="Q153" i="94"/>
  <c r="T153" i="94" s="1"/>
  <c r="S153" i="94"/>
  <c r="R153" i="94"/>
  <c r="U153" i="94" s="1"/>
  <c r="E147" i="143"/>
  <c r="F73" i="94"/>
  <c r="F74" i="94"/>
  <c r="P321" i="94"/>
  <c r="N493" i="162"/>
  <c r="P493" i="162" s="1"/>
  <c r="AE10" i="159"/>
  <c r="AE11" i="159" s="1"/>
  <c r="E148" i="147"/>
  <c r="K42" i="147"/>
  <c r="D363" i="147"/>
  <c r="H363" i="147" s="1"/>
  <c r="D150" i="16"/>
  <c r="G150" i="16"/>
  <c r="G152" i="16" s="1"/>
  <c r="P138" i="16"/>
  <c r="L157" i="16" s="1"/>
  <c r="V495" i="162"/>
  <c r="N498" i="162" s="1"/>
  <c r="P498" i="162" s="1"/>
  <c r="AF472" i="162"/>
  <c r="V497" i="162" s="1"/>
  <c r="Y484" i="147"/>
  <c r="U484" i="147"/>
  <c r="S475" i="162"/>
  <c r="X485" i="162" s="1"/>
  <c r="Y474" i="162"/>
  <c r="N28" i="91"/>
  <c r="O28" i="91" s="1"/>
  <c r="M154" i="16"/>
  <c r="N154" i="16" s="1"/>
  <c r="O154" i="16"/>
  <c r="N18" i="91"/>
  <c r="O18" i="91" s="1"/>
  <c r="M149" i="16"/>
  <c r="E109" i="163"/>
  <c r="C109" i="163"/>
  <c r="D110" i="163"/>
  <c r="Y311" i="94"/>
  <c r="X323" i="94" s="1"/>
  <c r="AC310" i="94"/>
  <c r="A26" i="162"/>
  <c r="P269" i="162"/>
  <c r="P270" i="162"/>
  <c r="P475" i="162"/>
  <c r="P476" i="162" s="1"/>
  <c r="W482" i="162" s="1"/>
  <c r="Y482" i="162" s="1"/>
  <c r="Z482" i="162" s="1"/>
  <c r="F240" i="162"/>
  <c r="N272" i="162"/>
  <c r="P268" i="162" s="1"/>
  <c r="G26" i="162"/>
  <c r="F218" i="162"/>
  <c r="I224" i="162" s="1"/>
  <c r="R138" i="16"/>
  <c r="L153" i="16" s="1"/>
  <c r="O486" i="163"/>
  <c r="O485" i="163"/>
  <c r="O488" i="163"/>
  <c r="Q481" i="163"/>
  <c r="F110" i="162"/>
  <c r="H110" i="162"/>
  <c r="Y481" i="163"/>
  <c r="N495" i="163" s="1"/>
  <c r="P495" i="163" s="1"/>
  <c r="U481" i="163"/>
  <c r="F397" i="143"/>
  <c r="W478" i="147"/>
  <c r="S468" i="147" s="1"/>
  <c r="X500" i="147" s="1"/>
  <c r="Y500" i="147" s="1"/>
  <c r="V474" i="147"/>
  <c r="F194" i="162"/>
  <c r="F195" i="162"/>
  <c r="P475" i="163"/>
  <c r="P476" i="163" s="1"/>
  <c r="W482" i="163" s="1"/>
  <c r="Y482" i="163" s="1"/>
  <c r="Z482" i="163" s="1"/>
  <c r="F218" i="163"/>
  <c r="I224" i="163" s="1"/>
  <c r="F240" i="163"/>
  <c r="P269" i="163"/>
  <c r="A26" i="163"/>
  <c r="G26" i="163"/>
  <c r="N272" i="163"/>
  <c r="P268" i="163" s="1"/>
  <c r="P270" i="163"/>
  <c r="N331" i="94"/>
  <c r="P331" i="94" s="1"/>
  <c r="Q486" i="162"/>
  <c r="S486" i="162" s="1"/>
  <c r="O487" i="162"/>
  <c r="U474" i="147"/>
  <c r="P480" i="147"/>
  <c r="Q461" i="147"/>
  <c r="X476" i="147"/>
  <c r="W498" i="147" s="1"/>
  <c r="N42" i="91"/>
  <c r="O42" i="91" s="1"/>
  <c r="M161" i="16"/>
  <c r="D116" i="147"/>
  <c r="E115" i="147"/>
  <c r="C115" i="147"/>
  <c r="O138" i="16"/>
  <c r="L156" i="16" s="1"/>
  <c r="D34" i="91"/>
  <c r="M34" i="91" s="1"/>
  <c r="Y475" i="147"/>
  <c r="X487" i="147" s="1"/>
  <c r="AC474" i="147"/>
  <c r="N496" i="163"/>
  <c r="P496" i="163" s="1"/>
  <c r="N40" i="91"/>
  <c r="O40" i="91" s="1"/>
  <c r="M160" i="16"/>
  <c r="C411" i="163"/>
  <c r="C412" i="163"/>
  <c r="N487" i="147"/>
  <c r="P486" i="147"/>
  <c r="P480" i="163"/>
  <c r="P485" i="163" s="1"/>
  <c r="Q461" i="163"/>
  <c r="W474" i="163" s="1"/>
  <c r="W475" i="163" s="1"/>
  <c r="X493" i="163" s="1"/>
  <c r="Y493" i="163" s="1"/>
  <c r="U474" i="163"/>
  <c r="X476" i="163"/>
  <c r="W498" i="163" s="1"/>
  <c r="AA310" i="94"/>
  <c r="V311" i="94"/>
  <c r="X328" i="94" s="1"/>
  <c r="D15" i="90"/>
  <c r="F15" i="90" s="1"/>
  <c r="J5" i="90" s="1"/>
  <c r="D162" i="16"/>
  <c r="Y10" i="159"/>
  <c r="D160" i="16"/>
  <c r="D13" i="90"/>
  <c r="F13" i="90" s="1"/>
  <c r="H5" i="90" s="1"/>
  <c r="E147" i="147"/>
  <c r="H16" i="162"/>
  <c r="P12" i="159"/>
  <c r="V474" i="143"/>
  <c r="W478" i="143"/>
  <c r="S468" i="143" s="1"/>
  <c r="X500" i="143" s="1"/>
  <c r="Y500" i="143" s="1"/>
  <c r="Q461" i="162"/>
  <c r="U474" i="162"/>
  <c r="P480" i="162"/>
  <c r="X476" i="162"/>
  <c r="W498" i="162" s="1"/>
  <c r="AD310" i="94"/>
  <c r="Z310" i="94"/>
  <c r="X327" i="94"/>
  <c r="P512" i="147"/>
  <c r="Q488" i="162"/>
  <c r="S488" i="162" s="1"/>
  <c r="F194" i="147"/>
  <c r="F195" i="147"/>
  <c r="E148" i="163"/>
  <c r="K42" i="163"/>
  <c r="C71" i="163" s="1"/>
  <c r="F71" i="163" s="1"/>
  <c r="F70" i="163" s="1"/>
  <c r="V70" i="163" s="1"/>
  <c r="O486" i="147"/>
  <c r="O488" i="147"/>
  <c r="Q488" i="147" s="1"/>
  <c r="O485" i="147"/>
  <c r="Q481" i="147"/>
  <c r="Q512" i="147" s="1"/>
  <c r="AF472" i="147"/>
  <c r="V497" i="147" s="1"/>
  <c r="N493" i="147" s="1"/>
  <c r="P493" i="147" s="1"/>
  <c r="V495" i="147"/>
  <c r="L158" i="16"/>
  <c r="S138" i="16"/>
  <c r="D32" i="91"/>
  <c r="M32" i="91" s="1"/>
  <c r="L32" i="91"/>
  <c r="R14" i="91"/>
  <c r="S14" i="91" s="1"/>
  <c r="R5" i="91"/>
  <c r="S5" i="91" s="1"/>
  <c r="R12" i="91"/>
  <c r="S12" i="91" s="1"/>
  <c r="R16" i="91"/>
  <c r="S16" i="91" s="1"/>
  <c r="Y481" i="147"/>
  <c r="N495" i="147" s="1"/>
  <c r="P495" i="147" s="1"/>
  <c r="U481" i="147"/>
  <c r="H16" i="163"/>
  <c r="D367" i="147"/>
  <c r="P269" i="143"/>
  <c r="G26" i="143"/>
  <c r="A26" i="143"/>
  <c r="N272" i="143"/>
  <c r="P268" i="143" s="1"/>
  <c r="F218" i="143"/>
  <c r="I224" i="143" s="1"/>
  <c r="F240" i="143"/>
  <c r="P475" i="143"/>
  <c r="P476" i="143" s="1"/>
  <c r="W482" i="143" s="1"/>
  <c r="Y482" i="143" s="1"/>
  <c r="Z482" i="143" s="1"/>
  <c r="P270" i="143"/>
  <c r="K42" i="162"/>
  <c r="C67" i="162" s="1"/>
  <c r="E148" i="162"/>
  <c r="X310" i="94"/>
  <c r="X335" i="94" s="1"/>
  <c r="Y335" i="94" s="1"/>
  <c r="N336" i="94" s="1"/>
  <c r="P336" i="94" s="1"/>
  <c r="Q316" i="94"/>
  <c r="Q321" i="94" s="1"/>
  <c r="U312" i="94"/>
  <c r="W327" i="94" s="1"/>
  <c r="D11" i="90"/>
  <c r="F11" i="90" s="1"/>
  <c r="F5" i="90" s="1"/>
  <c r="D158" i="16"/>
  <c r="N138" i="16"/>
  <c r="L151" i="16" s="1"/>
  <c r="Y321" i="94"/>
  <c r="Z321" i="94" s="1"/>
  <c r="T474" i="143"/>
  <c r="T475" i="143" s="1"/>
  <c r="X486" i="143" s="1"/>
  <c r="U474" i="143"/>
  <c r="P480" i="143"/>
  <c r="Q461" i="143"/>
  <c r="X476" i="143"/>
  <c r="W498" i="143" s="1"/>
  <c r="N272" i="147"/>
  <c r="P268" i="147" s="1"/>
  <c r="F218" i="147"/>
  <c r="I224" i="147" s="1"/>
  <c r="P269" i="147"/>
  <c r="P270" i="147"/>
  <c r="F240" i="147"/>
  <c r="F26" i="147"/>
  <c r="A26" i="147"/>
  <c r="P475" i="147"/>
  <c r="P476" i="147" s="1"/>
  <c r="W482" i="147" s="1"/>
  <c r="Y482" i="147" s="1"/>
  <c r="Z482" i="147" s="1"/>
  <c r="X10" i="159"/>
  <c r="E348" i="143"/>
  <c r="E350" i="143" s="1"/>
  <c r="E354" i="143" s="1"/>
  <c r="S512" i="143"/>
  <c r="V487" i="143"/>
  <c r="AC472" i="143"/>
  <c r="V489" i="143" s="1"/>
  <c r="U472" i="143"/>
  <c r="V491" i="143" s="1"/>
  <c r="V486" i="143"/>
  <c r="W472" i="143"/>
  <c r="Z472" i="143"/>
  <c r="AA472" i="143"/>
  <c r="V492" i="143"/>
  <c r="AA3" i="161"/>
  <c r="M3" i="160" s="1"/>
  <c r="D357" i="143"/>
  <c r="H356" i="143"/>
  <c r="AC475" i="143"/>
  <c r="X489" i="143" s="1"/>
  <c r="Y489" i="143" s="1"/>
  <c r="C411" i="143"/>
  <c r="C412" i="143"/>
  <c r="E109" i="143"/>
  <c r="C109" i="143"/>
  <c r="O87" i="159"/>
  <c r="P87" i="159" s="1"/>
  <c r="A3" i="160"/>
  <c r="P83" i="159"/>
  <c r="E348" i="147" l="1"/>
  <c r="E350" i="147" s="1"/>
  <c r="E353" i="147" s="1"/>
  <c r="E353" i="162"/>
  <c r="E354" i="162"/>
  <c r="S512" i="147"/>
  <c r="I148" i="163"/>
  <c r="K148" i="163" s="1"/>
  <c r="D212" i="94"/>
  <c r="E214" i="94" s="1"/>
  <c r="E200" i="94"/>
  <c r="E206" i="94" s="1"/>
  <c r="D368" i="163"/>
  <c r="D371" i="163" s="1"/>
  <c r="S481" i="147"/>
  <c r="F109" i="143"/>
  <c r="H109" i="143"/>
  <c r="I148" i="162"/>
  <c r="V148" i="162" s="1"/>
  <c r="E353" i="163"/>
  <c r="C67" i="143"/>
  <c r="E154" i="143" s="1"/>
  <c r="V154" i="143" s="1"/>
  <c r="C83" i="143"/>
  <c r="C89" i="143"/>
  <c r="I148" i="143"/>
  <c r="V148" i="143" s="1"/>
  <c r="W11" i="159"/>
  <c r="X11" i="159" s="1"/>
  <c r="D368" i="143"/>
  <c r="C370" i="143" s="1"/>
  <c r="C71" i="162"/>
  <c r="F71" i="162" s="1"/>
  <c r="F72" i="162" s="1"/>
  <c r="V72" i="162" s="1"/>
  <c r="N501" i="162"/>
  <c r="P501" i="162" s="1"/>
  <c r="D27" i="143"/>
  <c r="Y485" i="163"/>
  <c r="Z485" i="163" s="1"/>
  <c r="J76" i="94"/>
  <c r="J81" i="94" s="1"/>
  <c r="N501" i="147"/>
  <c r="P501" i="147" s="1"/>
  <c r="C27" i="147"/>
  <c r="D27" i="162"/>
  <c r="F67" i="162"/>
  <c r="E154" i="162"/>
  <c r="M153" i="16"/>
  <c r="N26" i="91"/>
  <c r="O26" i="91" s="1"/>
  <c r="M159" i="16"/>
  <c r="N38" i="91"/>
  <c r="O38" i="91" s="1"/>
  <c r="N22" i="91"/>
  <c r="O22" i="91" s="1"/>
  <c r="M151" i="16"/>
  <c r="N34" i="91"/>
  <c r="O34" i="91" s="1"/>
  <c r="M157" i="16"/>
  <c r="Y487" i="147"/>
  <c r="O156" i="16"/>
  <c r="N32" i="91"/>
  <c r="O32" i="91" s="1"/>
  <c r="M156" i="16"/>
  <c r="O150" i="16"/>
  <c r="N20" i="91"/>
  <c r="O20" i="91" s="1"/>
  <c r="M150" i="16"/>
  <c r="G244" i="143"/>
  <c r="D241" i="143"/>
  <c r="F197" i="147"/>
  <c r="F199" i="147" s="1"/>
  <c r="F221" i="147"/>
  <c r="C224" i="147" s="1"/>
  <c r="C227" i="147" s="1"/>
  <c r="C229" i="147" s="1"/>
  <c r="C234" i="147" s="1"/>
  <c r="F246" i="147"/>
  <c r="N221" i="147"/>
  <c r="N222" i="147" s="1"/>
  <c r="AC474" i="162"/>
  <c r="Y475" i="162"/>
  <c r="X487" i="162" s="1"/>
  <c r="F246" i="163"/>
  <c r="F197" i="163"/>
  <c r="F203" i="163" s="1"/>
  <c r="F221" i="163"/>
  <c r="C224" i="163" s="1"/>
  <c r="N221" i="163"/>
  <c r="N222" i="163" s="1"/>
  <c r="H76" i="94"/>
  <c r="H85" i="94" s="1"/>
  <c r="N496" i="147"/>
  <c r="P496" i="147" s="1"/>
  <c r="AB310" i="94"/>
  <c r="X334" i="94"/>
  <c r="Y334" i="94" s="1"/>
  <c r="AF310" i="94"/>
  <c r="P485" i="162"/>
  <c r="AA328" i="94"/>
  <c r="Y328" i="94"/>
  <c r="Z328" i="94" s="1"/>
  <c r="P487" i="147"/>
  <c r="F115" i="147"/>
  <c r="H115" i="147"/>
  <c r="AD6" i="159"/>
  <c r="Z2" i="159"/>
  <c r="Q488" i="163"/>
  <c r="S488" i="163" s="1"/>
  <c r="AC311" i="94"/>
  <c r="X325" i="94" s="1"/>
  <c r="Y325" i="94" s="1"/>
  <c r="AA485" i="162"/>
  <c r="Y485" i="162"/>
  <c r="F246" i="143"/>
  <c r="F221" i="143"/>
  <c r="F197" i="143"/>
  <c r="F200" i="143" s="1"/>
  <c r="N221" i="143"/>
  <c r="N222" i="143" s="1"/>
  <c r="F111" i="162"/>
  <c r="H111" i="162"/>
  <c r="N498" i="147"/>
  <c r="P498" i="147" s="1"/>
  <c r="AD10" i="159"/>
  <c r="G244" i="147"/>
  <c r="D241" i="147"/>
  <c r="O487" i="147"/>
  <c r="Q487" i="147" s="1"/>
  <c r="Q486" i="147"/>
  <c r="S486" i="147" s="1"/>
  <c r="AD474" i="162"/>
  <c r="Z474" i="162"/>
  <c r="X491" i="162"/>
  <c r="AA311" i="94"/>
  <c r="X330" i="94" s="1"/>
  <c r="AE310" i="94"/>
  <c r="AC475" i="147"/>
  <c r="X489" i="147" s="1"/>
  <c r="Y489" i="147" s="1"/>
  <c r="X474" i="147"/>
  <c r="Q480" i="147"/>
  <c r="Q485" i="147" s="1"/>
  <c r="U476" i="147"/>
  <c r="W491" i="147" s="1"/>
  <c r="S316" i="94"/>
  <c r="Q329" i="94"/>
  <c r="C71" i="143"/>
  <c r="F71" i="143" s="1"/>
  <c r="C112" i="162"/>
  <c r="D113" i="162"/>
  <c r="E112" i="162"/>
  <c r="N497" i="163"/>
  <c r="P497" i="163" s="1"/>
  <c r="K109" i="94"/>
  <c r="F112" i="94"/>
  <c r="D112" i="94"/>
  <c r="D111" i="94"/>
  <c r="F111" i="94"/>
  <c r="M158" i="16"/>
  <c r="N36" i="91"/>
  <c r="O36" i="91" s="1"/>
  <c r="T5" i="91"/>
  <c r="C89" i="163"/>
  <c r="C83" i="163"/>
  <c r="C370" i="162"/>
  <c r="D371" i="162"/>
  <c r="E370" i="162"/>
  <c r="AD474" i="147"/>
  <c r="Z474" i="147"/>
  <c r="X491" i="147"/>
  <c r="D27" i="163"/>
  <c r="F246" i="162"/>
  <c r="N221" i="162"/>
  <c r="N222" i="162" s="1"/>
  <c r="F221" i="162"/>
  <c r="C224" i="162" s="1"/>
  <c r="F197" i="162"/>
  <c r="P189" i="162" s="1"/>
  <c r="O191" i="162" s="1"/>
  <c r="Q493" i="163"/>
  <c r="G244" i="162"/>
  <c r="D241" i="162"/>
  <c r="E110" i="163"/>
  <c r="D111" i="163"/>
  <c r="C110" i="163"/>
  <c r="N497" i="147"/>
  <c r="P497" i="147" s="1"/>
  <c r="C89" i="147"/>
  <c r="C83" i="147"/>
  <c r="Y475" i="163"/>
  <c r="X487" i="163" s="1"/>
  <c r="AC474" i="163"/>
  <c r="Q480" i="143"/>
  <c r="Q485" i="143" s="1"/>
  <c r="W474" i="143"/>
  <c r="W475" i="143" s="1"/>
  <c r="X493" i="143" s="1"/>
  <c r="Y493" i="143" s="1"/>
  <c r="U476" i="143"/>
  <c r="W491" i="143" s="1"/>
  <c r="X474" i="143"/>
  <c r="H100" i="163"/>
  <c r="V71" i="163"/>
  <c r="X474" i="162"/>
  <c r="U476" i="162"/>
  <c r="W491" i="162" s="1"/>
  <c r="Q480" i="162"/>
  <c r="Q485" i="162" s="1"/>
  <c r="D117" i="147"/>
  <c r="E116" i="147"/>
  <c r="C116" i="147"/>
  <c r="S321" i="94"/>
  <c r="D5" i="90"/>
  <c r="N24" i="91"/>
  <c r="O24" i="91" s="1"/>
  <c r="M152" i="16"/>
  <c r="Z485" i="147"/>
  <c r="V475" i="143"/>
  <c r="X492" i="143" s="1"/>
  <c r="AA474" i="143"/>
  <c r="X491" i="163"/>
  <c r="Z474" i="163"/>
  <c r="AD474" i="163"/>
  <c r="AA474" i="147"/>
  <c r="V475" i="147"/>
  <c r="X492" i="147" s="1"/>
  <c r="Y492" i="147" s="1"/>
  <c r="F109" i="163"/>
  <c r="H109" i="163"/>
  <c r="C71" i="147"/>
  <c r="F71" i="147" s="1"/>
  <c r="N100" i="94"/>
  <c r="N101" i="94" s="1"/>
  <c r="F113" i="94"/>
  <c r="F127" i="94" s="1"/>
  <c r="C129" i="94" s="1"/>
  <c r="F100" i="94"/>
  <c r="F76" i="94"/>
  <c r="N498" i="163"/>
  <c r="P498" i="163" s="1"/>
  <c r="N21" i="159"/>
  <c r="O21" i="159" s="1"/>
  <c r="P21" i="159" s="1"/>
  <c r="O19" i="159"/>
  <c r="S488" i="147"/>
  <c r="Q512" i="163"/>
  <c r="S512" i="163" s="1"/>
  <c r="S481" i="163"/>
  <c r="S6" i="90"/>
  <c r="S8" i="90" s="1"/>
  <c r="P485" i="147"/>
  <c r="S480" i="147"/>
  <c r="Q486" i="163"/>
  <c r="S486" i="163" s="1"/>
  <c r="O487" i="163"/>
  <c r="Q487" i="163" s="1"/>
  <c r="S487" i="163" s="1"/>
  <c r="D163" i="16"/>
  <c r="E156" i="16" s="1"/>
  <c r="F156" i="16" s="1"/>
  <c r="D16" i="90"/>
  <c r="F16" i="90" s="1"/>
  <c r="K5" i="90" s="1"/>
  <c r="T6" i="90" s="1"/>
  <c r="T8" i="90" s="1"/>
  <c r="AD474" i="143"/>
  <c r="AD475" i="143" s="1"/>
  <c r="X490" i="143" s="1"/>
  <c r="Y490" i="143" s="1"/>
  <c r="Z474" i="143"/>
  <c r="Z475" i="143" s="1"/>
  <c r="X488" i="143" s="1"/>
  <c r="X491" i="143"/>
  <c r="C89" i="162"/>
  <c r="C83" i="162"/>
  <c r="F72" i="163"/>
  <c r="V72" i="163" s="1"/>
  <c r="Y486" i="143"/>
  <c r="Z485" i="143" s="1"/>
  <c r="AA485" i="143"/>
  <c r="N494" i="162"/>
  <c r="P494" i="162" s="1"/>
  <c r="Q493" i="162" s="1"/>
  <c r="C67" i="163"/>
  <c r="Z311" i="94"/>
  <c r="X324" i="94" s="1"/>
  <c r="Y11" i="159"/>
  <c r="X474" i="163"/>
  <c r="Q480" i="163"/>
  <c r="Q485" i="163" s="1"/>
  <c r="S485" i="163" s="1"/>
  <c r="U476" i="163"/>
  <c r="W491" i="163" s="1"/>
  <c r="N496" i="162"/>
  <c r="P496" i="162" s="1"/>
  <c r="Q487" i="162"/>
  <c r="S487" i="162" s="1"/>
  <c r="G244" i="163"/>
  <c r="D241" i="163"/>
  <c r="W474" i="147"/>
  <c r="W475" i="147" s="1"/>
  <c r="X493" i="147" s="1"/>
  <c r="Y493" i="147" s="1"/>
  <c r="I148" i="147"/>
  <c r="N501" i="163"/>
  <c r="P501" i="163" s="1"/>
  <c r="V475" i="162"/>
  <c r="X492" i="162" s="1"/>
  <c r="AA474" i="162"/>
  <c r="C412" i="147"/>
  <c r="C411" i="147"/>
  <c r="H356" i="147"/>
  <c r="D357" i="147"/>
  <c r="Y323" i="94"/>
  <c r="P485" i="143"/>
  <c r="Y327" i="94"/>
  <c r="N494" i="147"/>
  <c r="P494" i="147" s="1"/>
  <c r="Q493" i="147" s="1"/>
  <c r="AD311" i="94"/>
  <c r="X326" i="94" s="1"/>
  <c r="Y326" i="94" s="1"/>
  <c r="C67" i="147"/>
  <c r="W474" i="162"/>
  <c r="AA474" i="163"/>
  <c r="V475" i="163"/>
  <c r="X492" i="163" s="1"/>
  <c r="E353" i="143"/>
  <c r="AB3" i="161"/>
  <c r="N3" i="160" s="1"/>
  <c r="AE472" i="143"/>
  <c r="V496" i="143" s="1"/>
  <c r="V494" i="143"/>
  <c r="X472" i="143"/>
  <c r="V498" i="143" s="1"/>
  <c r="AB472" i="143"/>
  <c r="V493" i="143"/>
  <c r="AD472" i="143"/>
  <c r="V490" i="143" s="1"/>
  <c r="V488" i="143"/>
  <c r="E110" i="143"/>
  <c r="C110" i="143"/>
  <c r="S485" i="147" l="1"/>
  <c r="G9" i="90"/>
  <c r="D368" i="147"/>
  <c r="D371" i="147" s="1"/>
  <c r="D374" i="147" s="1"/>
  <c r="D375" i="147" s="1"/>
  <c r="H375" i="147" s="1"/>
  <c r="E354" i="147"/>
  <c r="Y491" i="163"/>
  <c r="AA10" i="159"/>
  <c r="D374" i="163"/>
  <c r="D375" i="163" s="1"/>
  <c r="H375" i="163" s="1"/>
  <c r="D374" i="162"/>
  <c r="D375" i="162" s="1"/>
  <c r="H375" i="162" s="1"/>
  <c r="E370" i="163"/>
  <c r="C370" i="163"/>
  <c r="C214" i="94"/>
  <c r="Z10" i="159"/>
  <c r="Z11" i="159" s="1"/>
  <c r="S480" i="143"/>
  <c r="S484" i="143" s="1"/>
  <c r="K148" i="162"/>
  <c r="V148" i="163"/>
  <c r="D215" i="94"/>
  <c r="D218" i="94" s="1"/>
  <c r="D219" i="94" s="1"/>
  <c r="H219" i="94" s="1"/>
  <c r="F110" i="143"/>
  <c r="H110" i="143"/>
  <c r="F205" i="147"/>
  <c r="I275" i="147" s="1"/>
  <c r="L278" i="147" s="1"/>
  <c r="F222" i="147"/>
  <c r="C225" i="147" s="1"/>
  <c r="C228" i="147" s="1"/>
  <c r="C230" i="147" s="1"/>
  <c r="C235" i="147" s="1"/>
  <c r="D371" i="143"/>
  <c r="D374" i="143" s="1"/>
  <c r="D375" i="143" s="1"/>
  <c r="H375" i="143" s="1"/>
  <c r="E370" i="143"/>
  <c r="V71" i="162"/>
  <c r="F67" i="143"/>
  <c r="F66" i="143" s="1"/>
  <c r="V66" i="143" s="1"/>
  <c r="G154" i="143"/>
  <c r="S485" i="162"/>
  <c r="F70" i="162"/>
  <c r="V70" i="162" s="1"/>
  <c r="H100" i="162"/>
  <c r="F115" i="94"/>
  <c r="F222" i="163"/>
  <c r="C225" i="163" s="1"/>
  <c r="C228" i="163" s="1"/>
  <c r="C230" i="163" s="1"/>
  <c r="C235" i="163" s="1"/>
  <c r="F203" i="147"/>
  <c r="H79" i="94"/>
  <c r="F206" i="147"/>
  <c r="N270" i="147" s="1"/>
  <c r="D308" i="147" s="1"/>
  <c r="F310" i="147" s="1"/>
  <c r="H84" i="94"/>
  <c r="N268" i="147"/>
  <c r="N269" i="147"/>
  <c r="F204" i="143"/>
  <c r="I266" i="143" s="1"/>
  <c r="I285" i="143" s="1"/>
  <c r="L277" i="143" s="1"/>
  <c r="N273" i="143" s="1"/>
  <c r="F204" i="147"/>
  <c r="I266" i="147" s="1"/>
  <c r="I285" i="147" s="1"/>
  <c r="L277" i="147" s="1"/>
  <c r="N273" i="147" s="1"/>
  <c r="H83" i="94"/>
  <c r="F201" i="147"/>
  <c r="F202" i="147"/>
  <c r="F200" i="163"/>
  <c r="F201" i="162"/>
  <c r="F205" i="162"/>
  <c r="I275" i="162" s="1"/>
  <c r="L278" i="162" s="1"/>
  <c r="H82" i="94"/>
  <c r="F128" i="94"/>
  <c r="F129" i="94" s="1"/>
  <c r="F203" i="162"/>
  <c r="C128" i="94"/>
  <c r="F199" i="162"/>
  <c r="N268" i="162" s="1"/>
  <c r="S480" i="163"/>
  <c r="S511" i="163" s="1"/>
  <c r="S514" i="163" s="1"/>
  <c r="U514" i="163" s="1"/>
  <c r="F204" i="162"/>
  <c r="I266" i="162" s="1"/>
  <c r="I285" i="162" s="1"/>
  <c r="L277" i="162" s="1"/>
  <c r="J84" i="94"/>
  <c r="J79" i="94"/>
  <c r="J83" i="94"/>
  <c r="J85" i="94"/>
  <c r="J78" i="94"/>
  <c r="J82" i="94"/>
  <c r="J80" i="94"/>
  <c r="F206" i="162"/>
  <c r="N270" i="162" s="1"/>
  <c r="D308" i="162" s="1"/>
  <c r="F310" i="162" s="1"/>
  <c r="Y491" i="162"/>
  <c r="F222" i="162"/>
  <c r="C225" i="162" s="1"/>
  <c r="C228" i="162" s="1"/>
  <c r="C230" i="162" s="1"/>
  <c r="Y324" i="94"/>
  <c r="Z323" i="94" s="1"/>
  <c r="AA323" i="94"/>
  <c r="Y487" i="163"/>
  <c r="R6" i="90"/>
  <c r="M5" i="90"/>
  <c r="F110" i="163"/>
  <c r="H110" i="163"/>
  <c r="E244" i="143"/>
  <c r="F247" i="143" s="1"/>
  <c r="C245" i="143"/>
  <c r="C248" i="143" s="1"/>
  <c r="C244" i="143"/>
  <c r="C247" i="143" s="1"/>
  <c r="E245" i="143"/>
  <c r="F248" i="143" s="1"/>
  <c r="E241" i="143"/>
  <c r="Y488" i="143"/>
  <c r="Z487" i="143" s="1"/>
  <c r="AA487" i="143"/>
  <c r="P19" i="159"/>
  <c r="AB10" i="159"/>
  <c r="AB11" i="159" s="1"/>
  <c r="F72" i="147"/>
  <c r="V72" i="147" s="1"/>
  <c r="F70" i="147"/>
  <c r="V70" i="147" s="1"/>
  <c r="V71" i="147"/>
  <c r="H100" i="147"/>
  <c r="AB474" i="162"/>
  <c r="AF474" i="162"/>
  <c r="X498" i="162"/>
  <c r="Y498" i="162" s="1"/>
  <c r="C111" i="163"/>
  <c r="E111" i="163"/>
  <c r="D112" i="163"/>
  <c r="Z6" i="159"/>
  <c r="N23" i="159" s="1"/>
  <c r="O23" i="159" s="1"/>
  <c r="F67" i="147"/>
  <c r="E154" i="147"/>
  <c r="K148" i="147"/>
  <c r="V148" i="147"/>
  <c r="AE474" i="143"/>
  <c r="AE475" i="143" s="1"/>
  <c r="X496" i="143" s="1"/>
  <c r="Y496" i="143" s="1"/>
  <c r="AA475" i="143"/>
  <c r="X494" i="143" s="1"/>
  <c r="F202" i="162"/>
  <c r="AC475" i="163"/>
  <c r="X489" i="163" s="1"/>
  <c r="Y489" i="163" s="1"/>
  <c r="F200" i="162"/>
  <c r="S347" i="94"/>
  <c r="S350" i="94" s="1"/>
  <c r="U350" i="94" s="1"/>
  <c r="S320" i="94"/>
  <c r="R329" i="94" s="1"/>
  <c r="AE311" i="94"/>
  <c r="X332" i="94" s="1"/>
  <c r="Y332" i="94" s="1"/>
  <c r="E241" i="147"/>
  <c r="D257" i="147" s="1"/>
  <c r="C258" i="147" s="1"/>
  <c r="F258" i="147" s="1"/>
  <c r="C262" i="147" s="1"/>
  <c r="E245" i="147"/>
  <c r="F248" i="147" s="1"/>
  <c r="C245" i="147"/>
  <c r="C248" i="147" s="1"/>
  <c r="E244" i="147"/>
  <c r="F247" i="147" s="1"/>
  <c r="C244" i="147"/>
  <c r="C247" i="147" s="1"/>
  <c r="S480" i="162"/>
  <c r="H78" i="94"/>
  <c r="H80" i="94"/>
  <c r="N150" i="16"/>
  <c r="H81" i="94"/>
  <c r="AA475" i="163"/>
  <c r="X494" i="163" s="1"/>
  <c r="AE474" i="163"/>
  <c r="P189" i="163"/>
  <c r="O191" i="163" s="1"/>
  <c r="F204" i="163"/>
  <c r="I266" i="163" s="1"/>
  <c r="I285" i="163" s="1"/>
  <c r="L277" i="163" s="1"/>
  <c r="F205" i="163"/>
  <c r="I275" i="163" s="1"/>
  <c r="L278" i="163" s="1"/>
  <c r="F201" i="163"/>
  <c r="F202" i="163"/>
  <c r="W475" i="162"/>
  <c r="X493" i="162" s="1"/>
  <c r="Y493" i="162" s="1"/>
  <c r="X499" i="162"/>
  <c r="Y499" i="162" s="1"/>
  <c r="N500" i="162" s="1"/>
  <c r="P500" i="162" s="1"/>
  <c r="AB474" i="163"/>
  <c r="AF474" i="163"/>
  <c r="X498" i="163"/>
  <c r="Y498" i="163" s="1"/>
  <c r="S511" i="147"/>
  <c r="S514" i="147" s="1"/>
  <c r="U514" i="147" s="1"/>
  <c r="S484" i="147"/>
  <c r="R493" i="147" s="1"/>
  <c r="F82" i="163"/>
  <c r="V82" i="163" s="1"/>
  <c r="F84" i="163"/>
  <c r="E241" i="163"/>
  <c r="E244" i="163"/>
  <c r="F247" i="163" s="1"/>
  <c r="C245" i="163"/>
  <c r="C248" i="163" s="1"/>
  <c r="E245" i="163"/>
  <c r="F248" i="163" s="1"/>
  <c r="C244" i="163"/>
  <c r="C247" i="163" s="1"/>
  <c r="F84" i="94"/>
  <c r="H150" i="94" s="1"/>
  <c r="R143" i="94" s="1"/>
  <c r="F80" i="94"/>
  <c r="F85" i="94"/>
  <c r="F83" i="94"/>
  <c r="H141" i="94" s="1"/>
  <c r="H160" i="94" s="1"/>
  <c r="R142" i="94" s="1"/>
  <c r="F81" i="94"/>
  <c r="F78" i="94"/>
  <c r="D120" i="94" s="1"/>
  <c r="F79" i="94"/>
  <c r="X499" i="147"/>
  <c r="Y499" i="147" s="1"/>
  <c r="N500" i="147" s="1"/>
  <c r="P500" i="147" s="1"/>
  <c r="X499" i="163"/>
  <c r="Y499" i="163" s="1"/>
  <c r="N500" i="163" s="1"/>
  <c r="P500" i="163" s="1"/>
  <c r="F116" i="147"/>
  <c r="H116" i="147"/>
  <c r="X499" i="143"/>
  <c r="Y499" i="143" s="1"/>
  <c r="AB474" i="143"/>
  <c r="AB475" i="143" s="1"/>
  <c r="X495" i="143" s="1"/>
  <c r="Y495" i="143" s="1"/>
  <c r="AF474" i="143"/>
  <c r="AF475" i="143" s="1"/>
  <c r="X497" i="143" s="1"/>
  <c r="Y497" i="143" s="1"/>
  <c r="X498" i="143"/>
  <c r="Y498" i="143" s="1"/>
  <c r="F90" i="163"/>
  <c r="V90" i="163" s="1"/>
  <c r="F88" i="163"/>
  <c r="F199" i="163"/>
  <c r="E113" i="162"/>
  <c r="C113" i="162"/>
  <c r="D114" i="162"/>
  <c r="Y491" i="147"/>
  <c r="Y492" i="162"/>
  <c r="F206" i="163"/>
  <c r="N270" i="163" s="1"/>
  <c r="D308" i="163" s="1"/>
  <c r="F310" i="163" s="1"/>
  <c r="Z492" i="147"/>
  <c r="F101" i="94"/>
  <c r="C103" i="94" s="1"/>
  <c r="C102" i="94"/>
  <c r="AA492" i="147"/>
  <c r="Y491" i="143"/>
  <c r="F82" i="147"/>
  <c r="V82" i="147" s="1"/>
  <c r="F84" i="147"/>
  <c r="Z475" i="147"/>
  <c r="X488" i="147" s="1"/>
  <c r="F114" i="94"/>
  <c r="F112" i="162"/>
  <c r="H112" i="162"/>
  <c r="AF311" i="94"/>
  <c r="X333" i="94" s="1"/>
  <c r="Y333" i="94" s="1"/>
  <c r="F82" i="94"/>
  <c r="Z475" i="163"/>
  <c r="X488" i="163" s="1"/>
  <c r="F72" i="143"/>
  <c r="V72" i="143" s="1"/>
  <c r="F70" i="143"/>
  <c r="V70" i="143" s="1"/>
  <c r="H100" i="143"/>
  <c r="C224" i="143"/>
  <c r="C227" i="143" s="1"/>
  <c r="C229" i="143" s="1"/>
  <c r="C234" i="143" s="1"/>
  <c r="F222" i="143"/>
  <c r="C225" i="143" s="1"/>
  <c r="C228" i="143" s="1"/>
  <c r="C230" i="143" s="1"/>
  <c r="C235" i="143" s="1"/>
  <c r="Y487" i="162"/>
  <c r="Y492" i="143"/>
  <c r="Z492" i="143" s="1"/>
  <c r="AA492" i="143"/>
  <c r="E245" i="162"/>
  <c r="F248" i="162" s="1"/>
  <c r="E244" i="162"/>
  <c r="F247" i="162" s="1"/>
  <c r="C245" i="162"/>
  <c r="C248" i="162" s="1"/>
  <c r="C244" i="162"/>
  <c r="C247" i="162" s="1"/>
  <c r="E241" i="162"/>
  <c r="Y330" i="94"/>
  <c r="Z485" i="162"/>
  <c r="V71" i="143"/>
  <c r="F84" i="162"/>
  <c r="F82" i="162"/>
  <c r="V82" i="162" s="1"/>
  <c r="AA475" i="147"/>
  <c r="X494" i="147" s="1"/>
  <c r="AE474" i="147"/>
  <c r="D118" i="147"/>
  <c r="E117" i="147"/>
  <c r="C117" i="147"/>
  <c r="F90" i="147"/>
  <c r="V90" i="147" s="1"/>
  <c r="F88" i="147"/>
  <c r="AD475" i="147"/>
  <c r="X490" i="147" s="1"/>
  <c r="Y490" i="147" s="1"/>
  <c r="C114" i="94"/>
  <c r="F84" i="143"/>
  <c r="F82" i="143"/>
  <c r="V82" i="143" s="1"/>
  <c r="AB474" i="147"/>
  <c r="X498" i="147"/>
  <c r="Y498" i="147" s="1"/>
  <c r="AF474" i="147"/>
  <c r="Z475" i="162"/>
  <c r="X488" i="162" s="1"/>
  <c r="Y488" i="162" s="1"/>
  <c r="S487" i="147"/>
  <c r="N156" i="16"/>
  <c r="G154" i="162"/>
  <c r="V154" i="162"/>
  <c r="F67" i="163"/>
  <c r="E154" i="163"/>
  <c r="AA492" i="163"/>
  <c r="Y492" i="163"/>
  <c r="Z492" i="163" s="1"/>
  <c r="AE474" i="162"/>
  <c r="AA475" i="162"/>
  <c r="X494" i="162" s="1"/>
  <c r="F88" i="162"/>
  <c r="F90" i="162"/>
  <c r="V90" i="162" s="1"/>
  <c r="AD475" i="163"/>
  <c r="X490" i="163" s="1"/>
  <c r="Y490" i="163" s="1"/>
  <c r="H9" i="90"/>
  <c r="M7" i="90"/>
  <c r="S485" i="143"/>
  <c r="C227" i="162"/>
  <c r="C229" i="162" s="1"/>
  <c r="C234" i="162" s="1"/>
  <c r="C115" i="94"/>
  <c r="F88" i="143"/>
  <c r="F90" i="143"/>
  <c r="V90" i="143" s="1"/>
  <c r="AD475" i="162"/>
  <c r="X490" i="162" s="1"/>
  <c r="Y490" i="162" s="1"/>
  <c r="F203" i="143"/>
  <c r="F202" i="143"/>
  <c r="P189" i="143"/>
  <c r="O191" i="143" s="1"/>
  <c r="F206" i="143"/>
  <c r="N270" i="143" s="1"/>
  <c r="D308" i="143" s="1"/>
  <c r="F310" i="143" s="1"/>
  <c r="F201" i="143"/>
  <c r="F205" i="143"/>
  <c r="I275" i="143" s="1"/>
  <c r="L278" i="143" s="1"/>
  <c r="F199" i="143"/>
  <c r="AB311" i="94"/>
  <c r="X331" i="94" s="1"/>
  <c r="Y331" i="94" s="1"/>
  <c r="C227" i="163"/>
  <c r="C229" i="163" s="1"/>
  <c r="C234" i="163" s="1"/>
  <c r="AC475" i="162"/>
  <c r="X489" i="162" s="1"/>
  <c r="Y489" i="162" s="1"/>
  <c r="P189" i="147"/>
  <c r="O191" i="147" s="1"/>
  <c r="F200" i="147"/>
  <c r="F66" i="162"/>
  <c r="V66" i="162" s="1"/>
  <c r="F68" i="162"/>
  <c r="H99" i="162"/>
  <c r="V67" i="162"/>
  <c r="V495" i="143"/>
  <c r="AF472" i="143"/>
  <c r="V497" i="143" s="1"/>
  <c r="E111" i="143"/>
  <c r="C111" i="143"/>
  <c r="D207" i="94"/>
  <c r="H207" i="94" s="1"/>
  <c r="D242" i="94"/>
  <c r="M242" i="94" s="1"/>
  <c r="N241" i="94"/>
  <c r="M241" i="94"/>
  <c r="O241" i="94"/>
  <c r="E370" i="147" l="1"/>
  <c r="C370" i="147"/>
  <c r="AA11" i="159"/>
  <c r="D116" i="94"/>
  <c r="G116" i="94" s="1"/>
  <c r="J116" i="94" s="1"/>
  <c r="E117" i="94" s="1"/>
  <c r="M118" i="94" s="1"/>
  <c r="D257" i="143"/>
  <c r="C258" i="143" s="1"/>
  <c r="F258" i="143" s="1"/>
  <c r="C262" i="143" s="1"/>
  <c r="S511" i="143"/>
  <c r="S514" i="143" s="1"/>
  <c r="U514" i="143" s="1"/>
  <c r="F111" i="143"/>
  <c r="H111" i="143"/>
  <c r="H99" i="143"/>
  <c r="H101" i="143" s="1"/>
  <c r="G110" i="143" s="1"/>
  <c r="M110" i="143" s="1"/>
  <c r="F68" i="143"/>
  <c r="V68" i="143" s="1"/>
  <c r="V67" i="143"/>
  <c r="H101" i="162"/>
  <c r="G110" i="162" s="1"/>
  <c r="D130" i="94"/>
  <c r="G130" i="94" s="1"/>
  <c r="J130" i="94" s="1"/>
  <c r="E131" i="94" s="1"/>
  <c r="L281" i="143"/>
  <c r="E287" i="143" s="1"/>
  <c r="E298" i="143" s="1"/>
  <c r="E299" i="143" s="1"/>
  <c r="E300" i="143" s="1"/>
  <c r="D304" i="143" s="1"/>
  <c r="L281" i="162"/>
  <c r="E287" i="162" s="1"/>
  <c r="E298" i="162" s="1"/>
  <c r="E299" i="162" s="1"/>
  <c r="E300" i="162" s="1"/>
  <c r="D304" i="162" s="1"/>
  <c r="N269" i="162"/>
  <c r="N274" i="162" s="1"/>
  <c r="E286" i="162" s="1"/>
  <c r="E291" i="162" s="1"/>
  <c r="E292" i="162" s="1"/>
  <c r="D257" i="162"/>
  <c r="C258" i="162" s="1"/>
  <c r="F258" i="162" s="1"/>
  <c r="C262" i="162" s="1"/>
  <c r="D105" i="94"/>
  <c r="G105" i="94" s="1"/>
  <c r="J105" i="94" s="1"/>
  <c r="E106" i="94" s="1"/>
  <c r="M107" i="94" s="1"/>
  <c r="N145" i="94"/>
  <c r="D249" i="143"/>
  <c r="C250" i="143" s="1"/>
  <c r="F250" i="143" s="1"/>
  <c r="C254" i="143" s="1"/>
  <c r="L281" i="147"/>
  <c r="E287" i="147" s="1"/>
  <c r="E298" i="147" s="1"/>
  <c r="E299" i="147" s="1"/>
  <c r="E300" i="147" s="1"/>
  <c r="D304" i="147" s="1"/>
  <c r="N274" i="147"/>
  <c r="E286" i="147" s="1"/>
  <c r="G120" i="94"/>
  <c r="J120" i="94" s="1"/>
  <c r="E121" i="94" s="1"/>
  <c r="M122" i="94" s="1"/>
  <c r="C235" i="162"/>
  <c r="N273" i="162"/>
  <c r="S484" i="163"/>
  <c r="D257" i="163"/>
  <c r="C258" i="163" s="1"/>
  <c r="F258" i="163" s="1"/>
  <c r="C262" i="163" s="1"/>
  <c r="D249" i="162"/>
  <c r="C250" i="162" s="1"/>
  <c r="F250" i="162" s="1"/>
  <c r="C254" i="162" s="1"/>
  <c r="Z487" i="162"/>
  <c r="D249" i="163"/>
  <c r="C250" i="163" s="1"/>
  <c r="F250" i="163" s="1"/>
  <c r="C254" i="163" s="1"/>
  <c r="D249" i="147"/>
  <c r="C250" i="147" s="1"/>
  <c r="F250" i="147" s="1"/>
  <c r="C254" i="147" s="1"/>
  <c r="P23" i="159"/>
  <c r="AC10" i="159"/>
  <c r="V13" i="159"/>
  <c r="Y488" i="163"/>
  <c r="Z487" i="163" s="1"/>
  <c r="AA487" i="163"/>
  <c r="E114" i="162"/>
  <c r="D115" i="162"/>
  <c r="C114" i="162"/>
  <c r="AB475" i="163"/>
  <c r="X495" i="163" s="1"/>
  <c r="Y495" i="163" s="1"/>
  <c r="AF475" i="162"/>
  <c r="X497" i="162" s="1"/>
  <c r="Y497" i="162" s="1"/>
  <c r="U6" i="90"/>
  <c r="U8" i="90" s="1"/>
  <c r="R8" i="90"/>
  <c r="AE475" i="162"/>
  <c r="X496" i="162" s="1"/>
  <c r="Y496" i="162" s="1"/>
  <c r="V84" i="143"/>
  <c r="F83" i="143"/>
  <c r="V83" i="143" s="1"/>
  <c r="H84" i="143"/>
  <c r="AA487" i="162"/>
  <c r="D133" i="162"/>
  <c r="E134" i="162" s="1"/>
  <c r="F113" i="162"/>
  <c r="H113" i="162"/>
  <c r="N144" i="94"/>
  <c r="N143" i="94"/>
  <c r="S489" i="143"/>
  <c r="S511" i="162"/>
  <c r="S514" i="162" s="1"/>
  <c r="U514" i="162" s="1"/>
  <c r="S484" i="162"/>
  <c r="AB475" i="162"/>
  <c r="X495" i="162" s="1"/>
  <c r="N268" i="143"/>
  <c r="N269" i="143"/>
  <c r="S489" i="147"/>
  <c r="D119" i="147"/>
  <c r="E118" i="147"/>
  <c r="C118" i="147"/>
  <c r="H84" i="163"/>
  <c r="V84" i="163"/>
  <c r="F83" i="163"/>
  <c r="V83" i="163" s="1"/>
  <c r="AE475" i="163"/>
  <c r="X496" i="163" s="1"/>
  <c r="Y496" i="163" s="1"/>
  <c r="S325" i="94"/>
  <c r="F117" i="147"/>
  <c r="H117" i="147"/>
  <c r="L281" i="163"/>
  <c r="E287" i="163" s="1"/>
  <c r="E298" i="163" s="1"/>
  <c r="E299" i="163" s="1"/>
  <c r="E300" i="163" s="1"/>
  <c r="D304" i="163" s="1"/>
  <c r="N273" i="163"/>
  <c r="Y494" i="163"/>
  <c r="V154" i="147"/>
  <c r="G154" i="147"/>
  <c r="AE475" i="147"/>
  <c r="X496" i="147" s="1"/>
  <c r="Y496" i="147" s="1"/>
  <c r="V84" i="147"/>
  <c r="F83" i="147"/>
  <c r="V83" i="147" s="1"/>
  <c r="F89" i="163"/>
  <c r="V89" i="163" s="1"/>
  <c r="V88" i="163"/>
  <c r="F68" i="147"/>
  <c r="V67" i="147"/>
  <c r="H99" i="147"/>
  <c r="H101" i="147" s="1"/>
  <c r="F66" i="147"/>
  <c r="V66" i="147" s="1"/>
  <c r="D113" i="163"/>
  <c r="C112" i="163"/>
  <c r="E112" i="163"/>
  <c r="H68" i="162"/>
  <c r="V68" i="162"/>
  <c r="Y494" i="147"/>
  <c r="N268" i="163"/>
  <c r="N269" i="163"/>
  <c r="V154" i="163"/>
  <c r="G154" i="163"/>
  <c r="AF475" i="147"/>
  <c r="X497" i="147" s="1"/>
  <c r="Y497" i="147" s="1"/>
  <c r="Y494" i="162"/>
  <c r="AA330" i="94"/>
  <c r="Z492" i="162"/>
  <c r="N494" i="143"/>
  <c r="P494" i="143" s="1"/>
  <c r="V88" i="162"/>
  <c r="F89" i="162"/>
  <c r="V89" i="162" s="1"/>
  <c r="V67" i="163"/>
  <c r="H99" i="163"/>
  <c r="H101" i="163" s="1"/>
  <c r="F66" i="163"/>
  <c r="V66" i="163" s="1"/>
  <c r="F68" i="163"/>
  <c r="V88" i="147"/>
  <c r="F89" i="147"/>
  <c r="V89" i="147" s="1"/>
  <c r="AA492" i="162"/>
  <c r="F111" i="163"/>
  <c r="H111" i="163"/>
  <c r="Y488" i="147"/>
  <c r="AA487" i="147"/>
  <c r="R146" i="94"/>
  <c r="N150" i="94" s="1"/>
  <c r="E162" i="94" s="1"/>
  <c r="E169" i="94" s="1"/>
  <c r="E170" i="94" s="1"/>
  <c r="E171" i="94" s="1"/>
  <c r="D172" i="94" s="1"/>
  <c r="T148" i="94"/>
  <c r="N148" i="94"/>
  <c r="V88" i="143"/>
  <c r="F89" i="143"/>
  <c r="V89" i="143" s="1"/>
  <c r="Z330" i="94"/>
  <c r="AB475" i="147"/>
  <c r="X495" i="147" s="1"/>
  <c r="F83" i="162"/>
  <c r="V83" i="162" s="1"/>
  <c r="H84" i="162"/>
  <c r="V84" i="162"/>
  <c r="AF475" i="163"/>
  <c r="X497" i="163" s="1"/>
  <c r="Y497" i="163" s="1"/>
  <c r="Y494" i="143"/>
  <c r="Z494" i="143" s="1"/>
  <c r="AA494" i="143"/>
  <c r="N497" i="143"/>
  <c r="P497" i="143" s="1"/>
  <c r="N501" i="143"/>
  <c r="P501" i="143" s="1"/>
  <c r="N500" i="143"/>
  <c r="P500" i="143" s="1"/>
  <c r="N498" i="143"/>
  <c r="P498" i="143" s="1"/>
  <c r="N496" i="143"/>
  <c r="P496" i="143" s="1"/>
  <c r="N493" i="143"/>
  <c r="P493" i="143" s="1"/>
  <c r="E112" i="143"/>
  <c r="C112" i="143"/>
  <c r="AC11" i="159" l="1"/>
  <c r="AD11" i="159" s="1"/>
  <c r="Q17" i="159" s="1"/>
  <c r="R17" i="159" s="1"/>
  <c r="S17" i="159" s="1"/>
  <c r="G114" i="162"/>
  <c r="G107" i="162"/>
  <c r="M107" i="162" s="1"/>
  <c r="G113" i="162"/>
  <c r="J113" i="162" s="1"/>
  <c r="G104" i="162"/>
  <c r="J104" i="162" s="1"/>
  <c r="G108" i="162"/>
  <c r="N108" i="162" s="1"/>
  <c r="G111" i="162"/>
  <c r="M111" i="162" s="1"/>
  <c r="F112" i="143"/>
  <c r="H112" i="143"/>
  <c r="G112" i="162"/>
  <c r="N112" i="162" s="1"/>
  <c r="G106" i="162"/>
  <c r="M106" i="162" s="1"/>
  <c r="G105" i="162"/>
  <c r="J105" i="162" s="1"/>
  <c r="G109" i="162"/>
  <c r="I109" i="162" s="1"/>
  <c r="H68" i="143"/>
  <c r="G104" i="143"/>
  <c r="M104" i="143" s="1"/>
  <c r="G106" i="143"/>
  <c r="J106" i="143" s="1"/>
  <c r="G111" i="143"/>
  <c r="M111" i="143" s="1"/>
  <c r="G107" i="143"/>
  <c r="M107" i="143" s="1"/>
  <c r="G108" i="143"/>
  <c r="M108" i="143" s="1"/>
  <c r="G112" i="143"/>
  <c r="G109" i="143"/>
  <c r="M109" i="143" s="1"/>
  <c r="G105" i="143"/>
  <c r="M105" i="143" s="1"/>
  <c r="N274" i="143"/>
  <c r="E286" i="143" s="1"/>
  <c r="E291" i="143" s="1"/>
  <c r="E292" i="143" s="1"/>
  <c r="N499" i="143"/>
  <c r="P499" i="143" s="1"/>
  <c r="N149" i="94"/>
  <c r="E161" i="94" s="1"/>
  <c r="E166" i="94" s="1"/>
  <c r="E167" i="94" s="1"/>
  <c r="E291" i="147"/>
  <c r="E292" i="147" s="1"/>
  <c r="E290" i="147"/>
  <c r="N110" i="143"/>
  <c r="M132" i="94"/>
  <c r="J110" i="143"/>
  <c r="E290" i="162"/>
  <c r="D296" i="162" s="1"/>
  <c r="S489" i="163"/>
  <c r="R493" i="163"/>
  <c r="AA494" i="163"/>
  <c r="N499" i="163"/>
  <c r="P499" i="163" s="1"/>
  <c r="Y495" i="147"/>
  <c r="N499" i="147" s="1"/>
  <c r="P499" i="147" s="1"/>
  <c r="AA494" i="147"/>
  <c r="Y495" i="162"/>
  <c r="Z494" i="162" s="1"/>
  <c r="AA494" i="162"/>
  <c r="G116" i="147"/>
  <c r="G109" i="147"/>
  <c r="G115" i="147"/>
  <c r="G118" i="147"/>
  <c r="G106" i="147"/>
  <c r="G113" i="147"/>
  <c r="G110" i="147"/>
  <c r="G107" i="147"/>
  <c r="G117" i="147"/>
  <c r="J117" i="147" s="1"/>
  <c r="G105" i="147"/>
  <c r="G114" i="147"/>
  <c r="G111" i="147"/>
  <c r="G104" i="147"/>
  <c r="G108" i="147"/>
  <c r="G112" i="147"/>
  <c r="M110" i="162"/>
  <c r="N110" i="162"/>
  <c r="J110" i="162"/>
  <c r="F118" i="147"/>
  <c r="H118" i="147"/>
  <c r="J133" i="162"/>
  <c r="H68" i="147"/>
  <c r="V68" i="147"/>
  <c r="T150" i="94"/>
  <c r="T149" i="94"/>
  <c r="N153" i="94" s="1"/>
  <c r="S489" i="162"/>
  <c r="R493" i="162"/>
  <c r="C134" i="94"/>
  <c r="F134" i="94" s="1"/>
  <c r="I134" i="94" s="1"/>
  <c r="E135" i="94" s="1"/>
  <c r="M136" i="94" s="1"/>
  <c r="Q493" i="143"/>
  <c r="R493" i="143" s="1"/>
  <c r="V68" i="163"/>
  <c r="H68" i="163"/>
  <c r="Z494" i="163"/>
  <c r="Z487" i="147"/>
  <c r="D116" i="162"/>
  <c r="E115" i="162"/>
  <c r="G115" i="162" s="1"/>
  <c r="C115" i="162"/>
  <c r="D120" i="147"/>
  <c r="E119" i="147"/>
  <c r="I119" i="147" s="1"/>
  <c r="C119" i="147"/>
  <c r="F112" i="163"/>
  <c r="H112" i="163"/>
  <c r="G110" i="163"/>
  <c r="G108" i="163"/>
  <c r="G111" i="163"/>
  <c r="G105" i="163"/>
  <c r="G104" i="163"/>
  <c r="G112" i="163"/>
  <c r="G106" i="163"/>
  <c r="G109" i="163"/>
  <c r="G107" i="163"/>
  <c r="D114" i="163"/>
  <c r="E113" i="163"/>
  <c r="G113" i="163" s="1"/>
  <c r="C113" i="163"/>
  <c r="N274" i="163"/>
  <c r="E286" i="163" s="1"/>
  <c r="F114" i="162"/>
  <c r="H114" i="162"/>
  <c r="C113" i="143"/>
  <c r="E113" i="143"/>
  <c r="G113" i="143" s="1"/>
  <c r="Z494" i="147" l="1"/>
  <c r="Q12" i="159"/>
  <c r="R12" i="159" s="1"/>
  <c r="S12" i="159" s="1"/>
  <c r="V47" i="159"/>
  <c r="F2" i="160" s="1"/>
  <c r="AG17" i="159"/>
  <c r="AH17" i="159" s="1"/>
  <c r="Q19" i="159"/>
  <c r="AG19" i="159" s="1"/>
  <c r="AH19" i="159" s="1"/>
  <c r="Q24" i="159"/>
  <c r="R24" i="159" s="1"/>
  <c r="Q21" i="159"/>
  <c r="R21" i="159" s="1"/>
  <c r="Q15" i="159"/>
  <c r="AG15" i="159" s="1"/>
  <c r="AH15" i="159" s="1"/>
  <c r="F133" i="162"/>
  <c r="M108" i="162"/>
  <c r="J111" i="162"/>
  <c r="N111" i="162"/>
  <c r="J108" i="162"/>
  <c r="M113" i="162"/>
  <c r="N105" i="162"/>
  <c r="N113" i="162"/>
  <c r="N107" i="162"/>
  <c r="J107" i="162"/>
  <c r="J112" i="162"/>
  <c r="M112" i="162"/>
  <c r="I107" i="162"/>
  <c r="I110" i="162"/>
  <c r="M104" i="162"/>
  <c r="I113" i="162"/>
  <c r="I112" i="162"/>
  <c r="I104" i="162"/>
  <c r="J109" i="162"/>
  <c r="M105" i="162"/>
  <c r="I106" i="162"/>
  <c r="J106" i="162"/>
  <c r="I105" i="162"/>
  <c r="J108" i="143"/>
  <c r="N106" i="162"/>
  <c r="I111" i="162"/>
  <c r="N109" i="162"/>
  <c r="I108" i="162"/>
  <c r="M109" i="162"/>
  <c r="H113" i="143"/>
  <c r="F113" i="143"/>
  <c r="J104" i="143"/>
  <c r="D296" i="147"/>
  <c r="M106" i="143"/>
  <c r="I106" i="143"/>
  <c r="N108" i="143"/>
  <c r="N106" i="143"/>
  <c r="N107" i="143"/>
  <c r="I110" i="143"/>
  <c r="J111" i="143"/>
  <c r="N111" i="143"/>
  <c r="J107" i="143"/>
  <c r="I111" i="143"/>
  <c r="I107" i="143"/>
  <c r="I105" i="143"/>
  <c r="J105" i="143"/>
  <c r="J109" i="143"/>
  <c r="I104" i="143"/>
  <c r="N105" i="143"/>
  <c r="N109" i="143"/>
  <c r="E290" i="143"/>
  <c r="D296" i="143" s="1"/>
  <c r="I108" i="143"/>
  <c r="I109" i="143"/>
  <c r="E165" i="94"/>
  <c r="D168" i="94" s="1"/>
  <c r="M173" i="94" s="1"/>
  <c r="I111" i="163"/>
  <c r="M117" i="147"/>
  <c r="N499" i="162"/>
  <c r="P499" i="162" s="1"/>
  <c r="N117" i="147"/>
  <c r="N111" i="163"/>
  <c r="F133" i="163"/>
  <c r="F119" i="147"/>
  <c r="X119" i="147"/>
  <c r="J119" i="147"/>
  <c r="H119" i="147"/>
  <c r="I110" i="147"/>
  <c r="J110" i="147"/>
  <c r="M110" i="147"/>
  <c r="N110" i="147"/>
  <c r="J108" i="147"/>
  <c r="M108" i="147"/>
  <c r="I108" i="147"/>
  <c r="N108" i="147"/>
  <c r="J113" i="147"/>
  <c r="M113" i="147"/>
  <c r="N113" i="147"/>
  <c r="F133" i="147"/>
  <c r="I113" i="147"/>
  <c r="N109" i="147"/>
  <c r="J109" i="147"/>
  <c r="I109" i="147"/>
  <c r="M109" i="147"/>
  <c r="J111" i="163"/>
  <c r="M106" i="163"/>
  <c r="I106" i="163"/>
  <c r="J106" i="163"/>
  <c r="N106" i="163"/>
  <c r="D121" i="147"/>
  <c r="E120" i="147"/>
  <c r="C120" i="147"/>
  <c r="C116" i="162"/>
  <c r="D117" i="162"/>
  <c r="E116" i="162"/>
  <c r="G116" i="162" s="1"/>
  <c r="J106" i="147"/>
  <c r="M106" i="147"/>
  <c r="N106" i="147"/>
  <c r="I106" i="147"/>
  <c r="E291" i="163"/>
  <c r="E292" i="163" s="1"/>
  <c r="E290" i="163"/>
  <c r="J107" i="163"/>
  <c r="I107" i="163"/>
  <c r="M107" i="163"/>
  <c r="N107" i="163"/>
  <c r="J105" i="147"/>
  <c r="M105" i="147"/>
  <c r="N105" i="147"/>
  <c r="I105" i="147"/>
  <c r="M111" i="163"/>
  <c r="M112" i="163"/>
  <c r="N112" i="163"/>
  <c r="J112" i="163"/>
  <c r="P155" i="94"/>
  <c r="O158" i="94" s="1"/>
  <c r="Q158" i="94" s="1"/>
  <c r="N155" i="94"/>
  <c r="V153" i="94"/>
  <c r="O155" i="94"/>
  <c r="O160" i="94" s="1"/>
  <c r="E176" i="94" s="1"/>
  <c r="M177" i="94" s="1"/>
  <c r="M104" i="147"/>
  <c r="I104" i="147"/>
  <c r="J104" i="147"/>
  <c r="G119" i="147"/>
  <c r="I105" i="163"/>
  <c r="J105" i="163"/>
  <c r="M105" i="163"/>
  <c r="N105" i="163"/>
  <c r="I116" i="147"/>
  <c r="N116" i="147"/>
  <c r="J116" i="147"/>
  <c r="M116" i="147"/>
  <c r="I110" i="163"/>
  <c r="J110" i="163"/>
  <c r="N110" i="163"/>
  <c r="M110" i="163"/>
  <c r="D115" i="163"/>
  <c r="E114" i="163"/>
  <c r="G114" i="163" s="1"/>
  <c r="C114" i="163"/>
  <c r="F115" i="162"/>
  <c r="H115" i="162"/>
  <c r="M112" i="147"/>
  <c r="J112" i="147"/>
  <c r="N112" i="147"/>
  <c r="I112" i="147"/>
  <c r="M114" i="162"/>
  <c r="N114" i="162"/>
  <c r="J114" i="162"/>
  <c r="I112" i="163"/>
  <c r="N118" i="147"/>
  <c r="M118" i="147"/>
  <c r="J118" i="147"/>
  <c r="J111" i="147"/>
  <c r="I111" i="147"/>
  <c r="N111" i="147"/>
  <c r="M111" i="147"/>
  <c r="I118" i="147"/>
  <c r="F113" i="163"/>
  <c r="D133" i="163"/>
  <c r="E134" i="163" s="1"/>
  <c r="H113" i="163"/>
  <c r="I109" i="163"/>
  <c r="M109" i="163"/>
  <c r="N109" i="163"/>
  <c r="J109" i="163"/>
  <c r="J104" i="163"/>
  <c r="I104" i="163"/>
  <c r="M104" i="163"/>
  <c r="J108" i="163"/>
  <c r="N108" i="163"/>
  <c r="M108" i="163"/>
  <c r="I108" i="163"/>
  <c r="I117" i="147"/>
  <c r="N115" i="147"/>
  <c r="M115" i="147"/>
  <c r="J115" i="147"/>
  <c r="I115" i="147"/>
  <c r="I114" i="162"/>
  <c r="I114" i="147"/>
  <c r="J114" i="147"/>
  <c r="N114" i="147"/>
  <c r="M114" i="147"/>
  <c r="I107" i="147"/>
  <c r="M107" i="147"/>
  <c r="J107" i="147"/>
  <c r="N107" i="147"/>
  <c r="D133" i="143"/>
  <c r="E134" i="143" s="1"/>
  <c r="N112" i="143"/>
  <c r="J112" i="143"/>
  <c r="M112" i="143"/>
  <c r="E114" i="143"/>
  <c r="G114" i="143" s="1"/>
  <c r="C114" i="143"/>
  <c r="F133" i="143"/>
  <c r="I112" i="143"/>
  <c r="AG13" i="159" l="1"/>
  <c r="AH13" i="159" s="1"/>
  <c r="AH24" i="159" s="1"/>
  <c r="V40" i="159"/>
  <c r="W40" i="159" s="1"/>
  <c r="R19" i="159"/>
  <c r="S19" i="159" s="1"/>
  <c r="V59" i="159"/>
  <c r="E2" i="160" s="1"/>
  <c r="V44" i="159"/>
  <c r="G2" i="160" s="1"/>
  <c r="R15" i="159"/>
  <c r="S15" i="159" s="1"/>
  <c r="W47" i="159"/>
  <c r="F3" i="160" s="1"/>
  <c r="H114" i="143"/>
  <c r="F114" i="143"/>
  <c r="O173" i="94"/>
  <c r="N173" i="94"/>
  <c r="D174" i="94"/>
  <c r="M174" i="94" s="1"/>
  <c r="D296" i="163"/>
  <c r="Q155" i="94"/>
  <c r="O159" i="94" s="1"/>
  <c r="Q159" i="94" s="1"/>
  <c r="J133" i="163"/>
  <c r="M113" i="163"/>
  <c r="N113" i="163"/>
  <c r="J113" i="163"/>
  <c r="I120" i="147"/>
  <c r="G120" i="147"/>
  <c r="F114" i="163"/>
  <c r="H114" i="163"/>
  <c r="I113" i="143"/>
  <c r="D116" i="163"/>
  <c r="E115" i="163"/>
  <c r="G115" i="163" s="1"/>
  <c r="C115" i="163"/>
  <c r="P104" i="147"/>
  <c r="W107" i="147"/>
  <c r="E131" i="147" s="1"/>
  <c r="H137" i="147" s="1"/>
  <c r="G139" i="147" s="1"/>
  <c r="J131" i="147"/>
  <c r="V131" i="147" s="1"/>
  <c r="Q104" i="147"/>
  <c r="P110" i="147"/>
  <c r="I115" i="162"/>
  <c r="D118" i="162"/>
  <c r="E117" i="162"/>
  <c r="G117" i="162" s="1"/>
  <c r="C117" i="162"/>
  <c r="D122" i="147"/>
  <c r="C121" i="147"/>
  <c r="E121" i="147"/>
  <c r="M119" i="147"/>
  <c r="N119" i="147"/>
  <c r="F116" i="162"/>
  <c r="H116" i="162"/>
  <c r="I113" i="163"/>
  <c r="M115" i="162"/>
  <c r="N115" i="162"/>
  <c r="J115" i="162"/>
  <c r="F120" i="147"/>
  <c r="X120" i="147"/>
  <c r="H120" i="147"/>
  <c r="J120" i="147"/>
  <c r="C115" i="143"/>
  <c r="E115" i="143"/>
  <c r="G115" i="143" s="1"/>
  <c r="J133" i="143"/>
  <c r="N113" i="143"/>
  <c r="M113" i="143"/>
  <c r="J113" i="143"/>
  <c r="H2" i="160" l="1"/>
  <c r="T12" i="159"/>
  <c r="W59" i="159"/>
  <c r="E3" i="160" s="1"/>
  <c r="W44" i="159"/>
  <c r="G3" i="160" s="1"/>
  <c r="W13" i="159"/>
  <c r="F115" i="143"/>
  <c r="H115" i="143"/>
  <c r="I116" i="162"/>
  <c r="I114" i="163"/>
  <c r="M114" i="163"/>
  <c r="J114" i="163"/>
  <c r="N114" i="163"/>
  <c r="D123" i="147"/>
  <c r="E122" i="147"/>
  <c r="C122" i="147"/>
  <c r="X121" i="147"/>
  <c r="F121" i="147"/>
  <c r="J121" i="147"/>
  <c r="H121" i="147"/>
  <c r="K119" i="147"/>
  <c r="F117" i="162"/>
  <c r="H117" i="162"/>
  <c r="F115" i="163"/>
  <c r="H115" i="163"/>
  <c r="I114" i="143"/>
  <c r="M120" i="147"/>
  <c r="N120" i="147"/>
  <c r="J116" i="162"/>
  <c r="M116" i="162"/>
  <c r="N116" i="162"/>
  <c r="C118" i="162"/>
  <c r="E118" i="162"/>
  <c r="G118" i="162" s="1"/>
  <c r="D119" i="162"/>
  <c r="H3" i="160"/>
  <c r="H139" i="147"/>
  <c r="V139" i="147"/>
  <c r="C116" i="163"/>
  <c r="E116" i="163"/>
  <c r="G116" i="163" s="1"/>
  <c r="D117" i="163"/>
  <c r="G121" i="147"/>
  <c r="I121" i="147"/>
  <c r="K120" i="147" s="1"/>
  <c r="N114" i="143"/>
  <c r="M114" i="143"/>
  <c r="J114" i="143"/>
  <c r="E116" i="143"/>
  <c r="G116" i="143" s="1"/>
  <c r="C116" i="143"/>
  <c r="I3" i="160" l="1"/>
  <c r="W62" i="159"/>
  <c r="I117" i="162"/>
  <c r="F116" i="143"/>
  <c r="H116" i="143"/>
  <c r="I115" i="143"/>
  <c r="I115" i="163"/>
  <c r="D124" i="147"/>
  <c r="E123" i="147"/>
  <c r="C123" i="147"/>
  <c r="C117" i="163"/>
  <c r="E117" i="163"/>
  <c r="G117" i="163" s="1"/>
  <c r="D118" i="163"/>
  <c r="N121" i="147"/>
  <c r="M121" i="147"/>
  <c r="F116" i="163"/>
  <c r="H116" i="163"/>
  <c r="F118" i="162"/>
  <c r="H118" i="162"/>
  <c r="M115" i="163"/>
  <c r="N115" i="163"/>
  <c r="J115" i="163"/>
  <c r="C119" i="162"/>
  <c r="E119" i="162"/>
  <c r="G119" i="162" s="1"/>
  <c r="D120" i="162"/>
  <c r="M117" i="162"/>
  <c r="J117" i="162"/>
  <c r="N117" i="162"/>
  <c r="X122" i="147"/>
  <c r="F122" i="147"/>
  <c r="H122" i="147"/>
  <c r="J122" i="147"/>
  <c r="I122" i="147"/>
  <c r="K121" i="147" s="1"/>
  <c r="G122" i="147"/>
  <c r="E117" i="143"/>
  <c r="G117" i="143" s="1"/>
  <c r="C117" i="143"/>
  <c r="M115" i="143"/>
  <c r="J115" i="143"/>
  <c r="N115" i="143"/>
  <c r="I118" i="162" l="1"/>
  <c r="F117" i="143"/>
  <c r="H117" i="143"/>
  <c r="I116" i="163"/>
  <c r="F117" i="163"/>
  <c r="H117" i="163"/>
  <c r="F123" i="147"/>
  <c r="X123" i="147"/>
  <c r="J123" i="147"/>
  <c r="H123" i="147"/>
  <c r="E118" i="163"/>
  <c r="G118" i="163" s="1"/>
  <c r="D119" i="163"/>
  <c r="C118" i="163"/>
  <c r="M118" i="162"/>
  <c r="J118" i="162"/>
  <c r="Q104" i="162" s="1"/>
  <c r="N118" i="162"/>
  <c r="I116" i="143"/>
  <c r="M122" i="147"/>
  <c r="N122" i="147"/>
  <c r="C120" i="162"/>
  <c r="E120" i="162"/>
  <c r="G120" i="162" s="1"/>
  <c r="D121" i="162"/>
  <c r="G123" i="147"/>
  <c r="I123" i="147"/>
  <c r="K122" i="147" s="1"/>
  <c r="M116" i="163"/>
  <c r="J116" i="163"/>
  <c r="N116" i="163"/>
  <c r="E124" i="147"/>
  <c r="D125" i="147"/>
  <c r="C124" i="147"/>
  <c r="F119" i="162"/>
  <c r="X119" i="162"/>
  <c r="H119" i="162"/>
  <c r="J119" i="162" s="1"/>
  <c r="C118" i="143"/>
  <c r="E118" i="143"/>
  <c r="G118" i="143" s="1"/>
  <c r="M116" i="143"/>
  <c r="J116" i="143"/>
  <c r="N116" i="143"/>
  <c r="F118" i="143" l="1"/>
  <c r="H118" i="143"/>
  <c r="C121" i="162"/>
  <c r="D122" i="162"/>
  <c r="E121" i="162"/>
  <c r="G121" i="162" s="1"/>
  <c r="I120" i="162" s="1"/>
  <c r="I124" i="147"/>
  <c r="K123" i="147" s="1"/>
  <c r="G124" i="147"/>
  <c r="J117" i="163"/>
  <c r="N117" i="163"/>
  <c r="M117" i="163"/>
  <c r="F120" i="162"/>
  <c r="X120" i="162"/>
  <c r="H120" i="162"/>
  <c r="J120" i="162" s="1"/>
  <c r="W107" i="162" s="1"/>
  <c r="E131" i="162" s="1"/>
  <c r="F118" i="163"/>
  <c r="H118" i="163"/>
  <c r="E125" i="147"/>
  <c r="C125" i="147"/>
  <c r="C119" i="163"/>
  <c r="D120" i="163"/>
  <c r="E119" i="163"/>
  <c r="G119" i="163" s="1"/>
  <c r="I119" i="162"/>
  <c r="N119" i="162" s="1"/>
  <c r="I117" i="163"/>
  <c r="M123" i="147"/>
  <c r="N123" i="147"/>
  <c r="X124" i="147"/>
  <c r="F124" i="147"/>
  <c r="H124" i="147"/>
  <c r="J124" i="147"/>
  <c r="P110" i="162"/>
  <c r="P104" i="162"/>
  <c r="J131" i="162"/>
  <c r="V131" i="162" s="1"/>
  <c r="M117" i="143"/>
  <c r="J117" i="143"/>
  <c r="N117" i="143"/>
  <c r="C119" i="143"/>
  <c r="E119" i="143"/>
  <c r="G119" i="143" s="1"/>
  <c r="I117" i="143"/>
  <c r="I118" i="163" l="1"/>
  <c r="F119" i="143"/>
  <c r="H119" i="143"/>
  <c r="J119" i="143" s="1"/>
  <c r="J118" i="163"/>
  <c r="Q104" i="163" s="1"/>
  <c r="N118" i="163"/>
  <c r="M118" i="163"/>
  <c r="M119" i="162"/>
  <c r="M120" i="162"/>
  <c r="N120" i="162"/>
  <c r="G125" i="147"/>
  <c r="I125" i="147"/>
  <c r="K124" i="147" s="1"/>
  <c r="M124" i="147"/>
  <c r="N124" i="147"/>
  <c r="C120" i="163"/>
  <c r="D121" i="163"/>
  <c r="E120" i="163"/>
  <c r="G120" i="163" s="1"/>
  <c r="E122" i="162"/>
  <c r="G122" i="162" s="1"/>
  <c r="D123" i="162"/>
  <c r="C122" i="162"/>
  <c r="F119" i="163"/>
  <c r="H119" i="163"/>
  <c r="J119" i="163" s="1"/>
  <c r="X119" i="163"/>
  <c r="F121" i="162"/>
  <c r="X121" i="162"/>
  <c r="H121" i="162"/>
  <c r="J121" i="162" s="1"/>
  <c r="F125" i="147"/>
  <c r="X125" i="147"/>
  <c r="H125" i="147"/>
  <c r="J125" i="147"/>
  <c r="M118" i="143"/>
  <c r="J118" i="143"/>
  <c r="N118" i="143"/>
  <c r="X119" i="143"/>
  <c r="C120" i="143"/>
  <c r="E120" i="143"/>
  <c r="G120" i="143" s="1"/>
  <c r="I118" i="143"/>
  <c r="J131" i="163" l="1"/>
  <c r="V131" i="163" s="1"/>
  <c r="F120" i="143"/>
  <c r="H120" i="143"/>
  <c r="J120" i="143" s="1"/>
  <c r="I119" i="143"/>
  <c r="N119" i="143" s="1"/>
  <c r="I119" i="163"/>
  <c r="M119" i="163" s="1"/>
  <c r="X122" i="162"/>
  <c r="F122" i="162"/>
  <c r="H122" i="162"/>
  <c r="J122" i="162" s="1"/>
  <c r="E123" i="162"/>
  <c r="G123" i="162" s="1"/>
  <c r="C123" i="162"/>
  <c r="D124" i="162"/>
  <c r="K125" i="147"/>
  <c r="C121" i="163"/>
  <c r="E121" i="163"/>
  <c r="G121" i="163" s="1"/>
  <c r="D122" i="163"/>
  <c r="F120" i="163"/>
  <c r="H120" i="163"/>
  <c r="J120" i="163" s="1"/>
  <c r="W107" i="163" s="1"/>
  <c r="E131" i="163" s="1"/>
  <c r="X120" i="163"/>
  <c r="P104" i="163"/>
  <c r="P110" i="163"/>
  <c r="M125" i="147"/>
  <c r="N125" i="147"/>
  <c r="E127" i="147" s="1"/>
  <c r="L127" i="147" s="1"/>
  <c r="C121" i="143"/>
  <c r="E121" i="143"/>
  <c r="G121" i="143" s="1"/>
  <c r="Q104" i="143"/>
  <c r="P104" i="143"/>
  <c r="X120" i="143"/>
  <c r="P110" i="143"/>
  <c r="M119" i="143" l="1"/>
  <c r="H121" i="143"/>
  <c r="J121" i="143" s="1"/>
  <c r="F121" i="143"/>
  <c r="N119" i="163"/>
  <c r="C122" i="163"/>
  <c r="E122" i="163"/>
  <c r="G122" i="163" s="1"/>
  <c r="D123" i="163"/>
  <c r="E124" i="162"/>
  <c r="D125" i="162"/>
  <c r="C124" i="162"/>
  <c r="F123" i="162"/>
  <c r="X123" i="162"/>
  <c r="H123" i="162"/>
  <c r="J123" i="162" s="1"/>
  <c r="F121" i="163"/>
  <c r="H121" i="163"/>
  <c r="J121" i="163" s="1"/>
  <c r="X121" i="163"/>
  <c r="I120" i="143"/>
  <c r="N120" i="143" s="1"/>
  <c r="I120" i="163"/>
  <c r="M120" i="163" s="1"/>
  <c r="X121" i="143"/>
  <c r="W107" i="143"/>
  <c r="C122" i="143"/>
  <c r="E122" i="143"/>
  <c r="G122" i="143" s="1"/>
  <c r="I121" i="143" l="1"/>
  <c r="F122" i="143"/>
  <c r="H122" i="143"/>
  <c r="J122" i="143" s="1"/>
  <c r="N120" i="163"/>
  <c r="M120" i="143"/>
  <c r="X124" i="162"/>
  <c r="F124" i="162"/>
  <c r="H124" i="162"/>
  <c r="G124" i="162"/>
  <c r="I124" i="162"/>
  <c r="C125" i="162"/>
  <c r="H137" i="162" s="1"/>
  <c r="G139" i="162" s="1"/>
  <c r="E125" i="162"/>
  <c r="E123" i="163"/>
  <c r="G123" i="163" s="1"/>
  <c r="C123" i="163"/>
  <c r="D124" i="163"/>
  <c r="F122" i="163"/>
  <c r="H122" i="163"/>
  <c r="J122" i="163" s="1"/>
  <c r="X122" i="163"/>
  <c r="C123" i="143"/>
  <c r="E123" i="143"/>
  <c r="G123" i="143" s="1"/>
  <c r="X122" i="143"/>
  <c r="I122" i="143" l="1"/>
  <c r="J124" i="162"/>
  <c r="N124" i="162" s="1"/>
  <c r="F123" i="143"/>
  <c r="H123" i="143"/>
  <c r="J123" i="143" s="1"/>
  <c r="F125" i="162"/>
  <c r="X125" i="162"/>
  <c r="H125" i="162"/>
  <c r="I123" i="162"/>
  <c r="C124" i="163"/>
  <c r="D125" i="163"/>
  <c r="E124" i="163"/>
  <c r="I125" i="162"/>
  <c r="K124" i="162" s="1"/>
  <c r="G125" i="162"/>
  <c r="F123" i="163"/>
  <c r="X123" i="163"/>
  <c r="H123" i="163"/>
  <c r="J123" i="163" s="1"/>
  <c r="V139" i="162"/>
  <c r="H139" i="162"/>
  <c r="X123" i="143"/>
  <c r="D125" i="143"/>
  <c r="E124" i="143"/>
  <c r="C124" i="143"/>
  <c r="J125" i="162" l="1"/>
  <c r="N125" i="162" s="1"/>
  <c r="M124" i="162"/>
  <c r="F124" i="143"/>
  <c r="H124" i="143"/>
  <c r="G124" i="163"/>
  <c r="I124" i="163"/>
  <c r="C125" i="163"/>
  <c r="E125" i="163"/>
  <c r="F124" i="163"/>
  <c r="X124" i="163"/>
  <c r="H124" i="163"/>
  <c r="K123" i="162"/>
  <c r="I122" i="162"/>
  <c r="N123" i="162"/>
  <c r="M123" i="162"/>
  <c r="K125" i="162"/>
  <c r="X124" i="143"/>
  <c r="E125" i="143"/>
  <c r="C125" i="143"/>
  <c r="G124" i="143"/>
  <c r="M125" i="162" l="1"/>
  <c r="I123" i="143"/>
  <c r="H125" i="143"/>
  <c r="F125" i="143"/>
  <c r="J124" i="143"/>
  <c r="I123" i="163"/>
  <c r="K122" i="162"/>
  <c r="I121" i="162"/>
  <c r="N122" i="162"/>
  <c r="M122" i="162"/>
  <c r="I125" i="163"/>
  <c r="K124" i="163" s="1"/>
  <c r="G125" i="163"/>
  <c r="F125" i="163"/>
  <c r="H125" i="163"/>
  <c r="X125" i="163"/>
  <c r="H137" i="163"/>
  <c r="G139" i="163" s="1"/>
  <c r="J124" i="163"/>
  <c r="X125" i="143"/>
  <c r="G125" i="143"/>
  <c r="I124" i="143" s="1"/>
  <c r="I125" i="143"/>
  <c r="N124" i="143" l="1"/>
  <c r="M124" i="143"/>
  <c r="J125" i="143"/>
  <c r="N125" i="143" s="1"/>
  <c r="J125" i="163"/>
  <c r="K125" i="163"/>
  <c r="N124" i="163"/>
  <c r="M124" i="163"/>
  <c r="V139" i="163"/>
  <c r="H139" i="163"/>
  <c r="K121" i="162"/>
  <c r="M121" i="162"/>
  <c r="N121" i="162"/>
  <c r="E127" i="162" s="1"/>
  <c r="L127" i="162" s="1"/>
  <c r="K123" i="163"/>
  <c r="I122" i="163"/>
  <c r="M123" i="163"/>
  <c r="N123" i="163"/>
  <c r="N123" i="143"/>
  <c r="M123" i="143"/>
  <c r="E131" i="143" l="1"/>
  <c r="H137" i="143" s="1"/>
  <c r="G139" i="143" s="1"/>
  <c r="H139" i="143" s="1"/>
  <c r="M125" i="143"/>
  <c r="N125" i="163"/>
  <c r="M125" i="163"/>
  <c r="K122" i="163"/>
  <c r="I121" i="163"/>
  <c r="N122" i="163"/>
  <c r="M122" i="163"/>
  <c r="J131" i="143"/>
  <c r="V131" i="143" s="1"/>
  <c r="M122" i="143"/>
  <c r="N122" i="143"/>
  <c r="V139" i="143" l="1"/>
  <c r="K121" i="163"/>
  <c r="N121" i="163"/>
  <c r="E127" i="163" s="1"/>
  <c r="L127" i="163" s="1"/>
  <c r="M121" i="163"/>
  <c r="M121" i="143"/>
  <c r="N121" i="143"/>
  <c r="E127" i="143" s="1"/>
  <c r="L127" i="14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TieuMinhHieu</author>
    <author>Tieu Minh Hieu</author>
    <author>MinhHieu</author>
  </authors>
  <commentList>
    <comment ref="M13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N134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O134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P13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Q134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R134" authorId="1" shapeId="0" xr:uid="{00000000-0006-0000-0000-000006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S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T134" authorId="1" shapeId="0" xr:uid="{00000000-0006-0000-0000-000008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D136" authorId="2" shapeId="0" xr:uid="{00000000-0006-0000-0000-000009000000}">
      <text>
        <r>
          <rPr>
            <b/>
            <sz val="8"/>
            <color indexed="81"/>
            <rFont val="Tahoma"/>
            <family val="2"/>
          </rPr>
          <t>MinhHieu:</t>
        </r>
        <r>
          <rPr>
            <sz val="8"/>
            <color indexed="81"/>
            <rFont val="Tahoma"/>
            <family val="2"/>
          </rPr>
          <t xml:space="preserve">
So Thanh dam bi cat</t>
        </r>
      </text>
    </comment>
    <comment ref="M139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N139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O139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P139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Q139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R139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S139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T139" authorId="0" shapeId="0" xr:uid="{00000000-0006-0000-0000-00001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TieuMinhHieu</author>
    <author>Tieu Minh Hieu</author>
  </authors>
  <commentList>
    <comment ref="N93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O93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N98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O98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Hieu Tieu Minh</author>
    <author>TieuMinhHieu</author>
    <author>Tieu Minh Hieu</author>
    <author>MinhHieu</author>
  </authors>
  <commentList>
    <comment ref="E73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Hieu Tieu Minh:</t>
        </r>
        <r>
          <rPr>
            <sz val="8"/>
            <color indexed="81"/>
            <rFont val="Tahoma"/>
            <family val="2"/>
          </rPr>
          <t xml:space="preserve">
Kiểm tra lớp đfất yếu dưới đáy móng</t>
        </r>
      </text>
    </comment>
    <comment ref="C74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Hieu Tieu Minh:</t>
        </r>
        <r>
          <rPr>
            <sz val="8"/>
            <color indexed="81"/>
            <rFont val="Tahoma"/>
            <family val="2"/>
          </rPr>
          <t xml:space="preserve">
của lớp đất yếu cần kiểm tra</t>
        </r>
      </text>
    </comment>
    <comment ref="Y471" authorId="1" shapeId="0" xr:uid="{00000000-0006-0000-0400-00000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Z471" authorId="1" shapeId="0" xr:uid="{00000000-0006-0000-0400-000004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1" authorId="1" shapeId="0" xr:uid="{00000000-0006-0000-0400-000005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B471" authorId="1" shapeId="0" xr:uid="{00000000-0006-0000-0400-000006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1" authorId="1" shapeId="0" xr:uid="{00000000-0006-0000-0400-000007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D471" authorId="2" shapeId="0" xr:uid="{00000000-0006-0000-0400-000008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AE471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F471" authorId="2" shapeId="0" xr:uid="{00000000-0006-0000-0400-00000A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P473" authorId="3" shapeId="0" xr:uid="{00000000-0006-0000-0400-00000B000000}">
      <text>
        <r>
          <rPr>
            <b/>
            <sz val="8"/>
            <color indexed="81"/>
            <rFont val="Tahoma"/>
            <family val="2"/>
          </rPr>
          <t>MinhHieu:</t>
        </r>
        <r>
          <rPr>
            <sz val="8"/>
            <color indexed="81"/>
            <rFont val="Tahoma"/>
            <family val="2"/>
          </rPr>
          <t xml:space="preserve">
So Thanh dam bi cat</t>
        </r>
      </text>
    </comment>
    <comment ref="Y476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Z47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6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B476" authorId="1" shapeId="0" xr:uid="{00000000-0006-0000-0400-00000F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6" authorId="1" shapeId="0" xr:uid="{00000000-0006-0000-0400-000010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D476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E476" authorId="1" shapeId="0" xr:uid="{00000000-0006-0000-0400-000012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F476" authorId="1" shapeId="0" xr:uid="{00000000-0006-0000-0400-00001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Hieu Tieu Minh</author>
    <author>TieuMinhHieu</author>
    <author>Tieu Minh Hieu</author>
    <author>MinhHieu</author>
  </authors>
  <commentList>
    <comment ref="E73" authorId="0" shapeId="0" xr:uid="{00000000-0006-0000-0800-000001000000}">
      <text>
        <r>
          <rPr>
            <sz val="8"/>
            <color indexed="81"/>
            <rFont val="Tahoma"/>
            <family val="2"/>
          </rPr>
          <t xml:space="preserve">
Kiểm tra lớp đfất yếu dưới đáy móng</t>
        </r>
      </text>
    </comment>
    <comment ref="C74" authorId="0" shapeId="0" xr:uid="{00000000-0006-0000-0800-000002000000}">
      <text>
        <r>
          <rPr>
            <sz val="8"/>
            <color indexed="81"/>
            <rFont val="Tahoma"/>
            <family val="2"/>
          </rPr>
          <t xml:space="preserve">
của lớp đất yếu cần kiểm tra</t>
        </r>
      </text>
    </comment>
    <comment ref="Y471" authorId="1" shapeId="0" xr:uid="{00000000-0006-0000-0800-00000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Z471" authorId="1" shapeId="0" xr:uid="{00000000-0006-0000-0800-000004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1" authorId="1" shapeId="0" xr:uid="{00000000-0006-0000-0800-000005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B471" authorId="1" shapeId="0" xr:uid="{00000000-0006-0000-0800-000006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1" authorId="1" shapeId="0" xr:uid="{00000000-0006-0000-0800-000007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D471" authorId="2" shapeId="0" xr:uid="{00000000-0006-0000-0800-000008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AE471" authorId="1" shapeId="0" xr:uid="{00000000-0006-0000-0800-000009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F471" authorId="2" shapeId="0" xr:uid="{00000000-0006-0000-0800-00000A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P473" authorId="3" shapeId="0" xr:uid="{00000000-0006-0000-0800-00000B000000}">
      <text>
        <r>
          <rPr>
            <b/>
            <sz val="8"/>
            <color indexed="81"/>
            <rFont val="Tahoma"/>
            <family val="2"/>
          </rPr>
          <t>MinhHieu:</t>
        </r>
        <r>
          <rPr>
            <sz val="8"/>
            <color indexed="81"/>
            <rFont val="Tahoma"/>
            <family val="2"/>
          </rPr>
          <t xml:space="preserve">
So Thanh dam bi cat</t>
        </r>
      </text>
    </comment>
    <comment ref="Y476" authorId="1" shapeId="0" xr:uid="{00000000-0006-0000-0800-00000C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Z476" authorId="1" shapeId="0" xr:uid="{00000000-0006-0000-0800-00000D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6" authorId="1" shapeId="0" xr:uid="{00000000-0006-0000-0800-00000E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B476" authorId="1" shapeId="0" xr:uid="{00000000-0006-0000-0800-00000F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6" authorId="1" shapeId="0" xr:uid="{00000000-0006-0000-0800-000010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D476" authorId="1" shapeId="0" xr:uid="{00000000-0006-0000-0800-00001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E476" authorId="1" shapeId="0" xr:uid="{00000000-0006-0000-0800-000012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F476" authorId="1" shapeId="0" xr:uid="{00000000-0006-0000-0800-00001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Hieu Tieu Minh</author>
    <author>TieuMinhHieu</author>
    <author>Tieu Minh Hieu</author>
    <author>MinhHieu</author>
  </authors>
  <commentList>
    <comment ref="E73" authorId="0" shapeId="0" xr:uid="{C23EF23F-AFB3-4CB3-BEDC-E2DE33E2BC45}">
      <text>
        <r>
          <rPr>
            <sz val="8"/>
            <color indexed="81"/>
            <rFont val="Tahoma"/>
            <family val="2"/>
          </rPr>
          <t xml:space="preserve">
Kiểm tra lớp đfất yếu dưới đáy móng</t>
        </r>
      </text>
    </comment>
    <comment ref="C74" authorId="0" shapeId="0" xr:uid="{FFFAFE55-69B6-4C89-B1C9-77FC90596D54}">
      <text>
        <r>
          <rPr>
            <sz val="8"/>
            <color indexed="81"/>
            <rFont val="Tahoma"/>
            <family val="2"/>
          </rPr>
          <t xml:space="preserve">
của lớp đất yếu cần kiểm tra</t>
        </r>
      </text>
    </comment>
    <comment ref="Y471" authorId="1" shapeId="0" xr:uid="{AC4B8659-61BB-4716-BB57-2AEE1F9B1528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Z471" authorId="1" shapeId="0" xr:uid="{441810F6-8711-4AA1-AC0C-CD49C447643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1" authorId="1" shapeId="0" xr:uid="{3C70F150-2C5E-4466-97F9-AA88A5547B3F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B471" authorId="1" shapeId="0" xr:uid="{C69DB872-DCEC-4B92-8200-B77FC4EB099C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1" authorId="1" shapeId="0" xr:uid="{9EC5CC1B-797C-40DD-B940-EF6965CE2608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D471" authorId="2" shapeId="0" xr:uid="{A5E4CE3B-087D-4731-8A50-22803AAC28E6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AE471" authorId="1" shapeId="0" xr:uid="{2F7B3F37-C0EC-4348-BC66-3CCE213269E3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F471" authorId="2" shapeId="0" xr:uid="{CB3613CB-CAAA-425E-929C-34FBC0C3127A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P473" authorId="3" shapeId="0" xr:uid="{BC7ADE08-297A-49F2-980B-6D23B8295A07}">
      <text>
        <r>
          <rPr>
            <b/>
            <sz val="8"/>
            <color indexed="81"/>
            <rFont val="Tahoma"/>
            <family val="2"/>
          </rPr>
          <t>MinhHieu:</t>
        </r>
        <r>
          <rPr>
            <sz val="8"/>
            <color indexed="81"/>
            <rFont val="Tahoma"/>
            <family val="2"/>
          </rPr>
          <t xml:space="preserve">
So Thanh dam bi cat</t>
        </r>
      </text>
    </comment>
    <comment ref="Y476" authorId="1" shapeId="0" xr:uid="{654160E7-7DE3-4F33-A500-CEFDE116261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Z476" authorId="1" shapeId="0" xr:uid="{40BAAAF0-B43A-42AC-8EF2-69798E852DFE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6" authorId="1" shapeId="0" xr:uid="{69B5EEDD-74BE-40F6-8091-00609A8C3B8C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B476" authorId="1" shapeId="0" xr:uid="{B4E93E17-2D24-41C1-BD95-7F28A68DA5DF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6" authorId="1" shapeId="0" xr:uid="{179F6157-8A2E-45FB-9F4B-DD3A3F184685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D476" authorId="1" shapeId="0" xr:uid="{1BDCDAB1-CEB1-4CEF-A7C7-5F6806F2502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E476" authorId="1" shapeId="0" xr:uid="{71FF2C7B-D4E9-4110-A145-0073B1CA3348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F476" authorId="1" shapeId="0" xr:uid="{F29C7097-3FDF-4AE4-8C28-F2B03BF1908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Hieu Tieu Minh</author>
    <author>TieuMinhHieu</author>
    <author>Tieu Minh Hieu</author>
    <author>MinhHieu</author>
  </authors>
  <commentList>
    <comment ref="E73" authorId="0" shapeId="0" xr:uid="{32E2D6BE-192C-489E-BDFD-2CC75D66AD89}">
      <text>
        <r>
          <rPr>
            <sz val="8"/>
            <color indexed="81"/>
            <rFont val="Tahoma"/>
            <family val="2"/>
          </rPr>
          <t xml:space="preserve">
Kiểm tra lớp đfất yếu dưới đáy móng</t>
        </r>
      </text>
    </comment>
    <comment ref="C74" authorId="0" shapeId="0" xr:uid="{3381E31D-4A14-4B74-8ECC-FF06E58303AB}">
      <text>
        <r>
          <rPr>
            <sz val="8"/>
            <color indexed="81"/>
            <rFont val="Tahoma"/>
            <family val="2"/>
          </rPr>
          <t xml:space="preserve">
của lớp đất yếu cần kiểm tra</t>
        </r>
      </text>
    </comment>
    <comment ref="Y471" authorId="1" shapeId="0" xr:uid="{E04E4C39-CD63-4B5B-81EA-2C30C39AEBD2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Z471" authorId="1" shapeId="0" xr:uid="{26B112A6-4BA3-4A95-9A40-FE0038164292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1" authorId="1" shapeId="0" xr:uid="{93DB4C57-DC40-455D-8377-36C9BEE5707A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B471" authorId="1" shapeId="0" xr:uid="{EA3FBDCA-B269-4149-92EB-A9BFAF558201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1" authorId="1" shapeId="0" xr:uid="{3B8CD74F-4883-4FA9-956B-AC4ED583E8A6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D471" authorId="2" shapeId="0" xr:uid="{F92C33DC-351C-42C1-AA38-25786DF40587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AE471" authorId="1" shapeId="0" xr:uid="{2003ACF0-4CA8-4E81-8A42-EFA8CF513559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F471" authorId="2" shapeId="0" xr:uid="{0BEE17E6-047C-4597-AF4F-485834AEECAA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P473" authorId="3" shapeId="0" xr:uid="{F6B7F96A-0DC0-42D7-95F1-BA59AB93C0FC}">
      <text>
        <r>
          <rPr>
            <b/>
            <sz val="8"/>
            <color indexed="81"/>
            <rFont val="Tahoma"/>
            <family val="2"/>
          </rPr>
          <t>MinhHieu:</t>
        </r>
        <r>
          <rPr>
            <sz val="8"/>
            <color indexed="81"/>
            <rFont val="Tahoma"/>
            <family val="2"/>
          </rPr>
          <t xml:space="preserve">
So Thanh dam bi cat</t>
        </r>
      </text>
    </comment>
    <comment ref="Y476" authorId="1" shapeId="0" xr:uid="{F4202F61-8588-4D35-B8B1-E169C22C330F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Z476" authorId="1" shapeId="0" xr:uid="{7AE97FF4-7916-4311-9248-DF42FEBCB84D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476" authorId="1" shapeId="0" xr:uid="{47646611-82B1-4C32-86C9-CB5245740916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B476" authorId="1" shapeId="0" xr:uid="{A03B3E19-AD3B-42FC-A334-A7E791A1A793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476" authorId="1" shapeId="0" xr:uid="{B85484DD-174E-4C18-A6DC-F1A82F481024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D476" authorId="1" shapeId="0" xr:uid="{13A96AE7-79CA-48F9-819B-B2D3B56970B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E476" authorId="1" shapeId="0" xr:uid="{E25E5B66-F457-4B60-BCA2-0DC1027EAC99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F476" authorId="1" shapeId="0" xr:uid="{FE5D9EDC-95CA-41FE-904F-BCCD14F658C7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TieuMinhHieu</author>
    <author>Tieu Minh Hieu</author>
    <author>MinhHieu</author>
  </authors>
  <commentList>
    <comment ref="Y307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Z307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307" authorId="0" shapeId="0" xr:uid="{00000000-0006-0000-0C00-000003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B307" authorId="0" shapeId="0" xr:uid="{00000000-0006-0000-0C00-000004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307" authorId="0" shapeId="0" xr:uid="{00000000-0006-0000-0C00-000005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D307" authorId="1" shapeId="0" xr:uid="{00000000-0006-0000-0C00-000006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AE307" authorId="0" shapeId="0" xr:uid="{00000000-0006-0000-0C00-000007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F307" authorId="1" shapeId="0" xr:uid="{00000000-0006-0000-0C00-000008000000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P309" authorId="2" shapeId="0" xr:uid="{00000000-0006-0000-0C00-000009000000}">
      <text>
        <r>
          <rPr>
            <b/>
            <sz val="8"/>
            <color indexed="81"/>
            <rFont val="Tahoma"/>
            <family val="2"/>
          </rPr>
          <t>MinhHieu:</t>
        </r>
        <r>
          <rPr>
            <sz val="8"/>
            <color indexed="81"/>
            <rFont val="Tahoma"/>
            <family val="2"/>
          </rPr>
          <t xml:space="preserve">
So Thanh dam bi cat</t>
        </r>
      </text>
    </comment>
    <comment ref="Y312" authorId="0" shapeId="0" xr:uid="{00000000-0006-0000-0C00-00000A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Z312" authorId="0" shapeId="0" xr:uid="{00000000-0006-0000-0C00-00000B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312" authorId="0" shapeId="0" xr:uid="{00000000-0006-0000-0C00-00000C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B312" authorId="0" shapeId="0" xr:uid="{00000000-0006-0000-0C00-00000D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312" authorId="0" shapeId="0" xr:uid="{00000000-0006-0000-0C00-00000E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D312" authorId="0" shapeId="0" xr:uid="{00000000-0006-0000-0C00-00000F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E312" authorId="0" shapeId="0" xr:uid="{00000000-0006-0000-0C00-000010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F312" authorId="0" shapeId="0" xr:uid="{00000000-0006-0000-0C00-00001100000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  <author>TieuMinhHieu</author>
    <author>Tieu Minh Hieu</author>
  </authors>
  <commentList>
    <comment ref="K39" authorId="0" shapeId="0" xr:uid="{B2DC7AAB-16F3-43E8-9040-4D1B82CA15C9}">
      <text>
        <r>
          <rPr>
            <b/>
            <sz val="9"/>
            <color indexed="81"/>
            <rFont val="Tahoma"/>
            <family val="2"/>
          </rPr>
          <t>X:</t>
        </r>
        <r>
          <rPr>
            <sz val="9"/>
            <color indexed="81"/>
            <rFont val="Tahoma"/>
            <family val="2"/>
          </rPr>
          <t xml:space="preserve">
tùy trường hợp móng có thể có đệm cát hoặc không có đệm cát
</t>
        </r>
      </text>
    </comment>
    <comment ref="K41" authorId="0" shapeId="0" xr:uid="{A869A6BD-ED4C-4560-8158-1740CFDC82B2}">
      <text>
        <r>
          <rPr>
            <b/>
            <sz val="9"/>
            <color indexed="81"/>
            <rFont val="Tahoma"/>
            <family val="2"/>
          </rPr>
          <t>X:</t>
        </r>
        <r>
          <rPr>
            <sz val="9"/>
            <color indexed="81"/>
            <rFont val="Tahoma"/>
            <family val="2"/>
          </rPr>
          <t xml:space="preserve">
nếu 0.3: dim bê tông lót 100, dim thêm tới mép hố đào là 200
nếu 0.6: dim bê tông lót 100, dim thêm tới mép hố đào là 500</t>
        </r>
      </text>
    </comment>
    <comment ref="Y310" authorId="1" shapeId="0" xr:uid="{7DC75F79-25F4-440B-A8F5-2741FABF9E37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Z310" authorId="1" shapeId="0" xr:uid="{6C5B5730-CA34-4BC0-85F2-EE0AE9F62D51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310" authorId="1" shapeId="0" xr:uid="{DFF9C83C-3E57-4D93-9018-7B6FAE6F6C0F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B310" authorId="1" shapeId="0" xr:uid="{DA9AC72A-44D4-4249-A796-A8E2F9030A4E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310" authorId="1" shapeId="0" xr:uid="{084E32BB-F4F6-4DE2-B964-E6190BBC12C8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D310" authorId="2" shapeId="0" xr:uid="{7ECBE122-0457-4C95-851F-107D61E85235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AE310" authorId="1" shapeId="0" xr:uid="{DC4BD884-BD2E-4C99-9C9F-20883EB4945A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Tang cuong phia ngoai
</t>
        </r>
      </text>
    </comment>
    <comment ref="AF310" authorId="2" shapeId="0" xr:uid="{641BEDDD-4D82-4CC5-A6D8-F77B2B566841}">
      <text>
        <r>
          <rPr>
            <b/>
            <sz val="8"/>
            <color indexed="81"/>
            <rFont val="Tahoma"/>
            <family val="2"/>
          </rPr>
          <t>Tieu Minh Hieu:</t>
        </r>
        <r>
          <rPr>
            <sz val="8"/>
            <color indexed="81"/>
            <rFont val="Tahoma"/>
            <family val="2"/>
          </rPr>
          <t xml:space="preserve">
Chỉ tăng cường cho đoạn giữa phuong canh dai
</t>
        </r>
      </text>
    </comment>
    <comment ref="Y315" authorId="1" shapeId="0" xr:uid="{6F931851-16C2-4F2C-B858-F7944DADE170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Phía ngoai
</t>
        </r>
      </text>
    </comment>
    <comment ref="Z315" authorId="1" shapeId="0" xr:uid="{3EDE28B0-9BB3-4F7B-829C-F13071C24E7B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A315" authorId="1" shapeId="0" xr:uid="{400994AE-8991-40C4-B1E7-E2D51AB1B671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B315" authorId="1" shapeId="0" xr:uid="{479E25DA-C304-473B-8238-1D4352230B5A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C315" authorId="1" shapeId="0" xr:uid="{2AEDBA8F-86F7-4A23-AA5E-4637CBFE5A9D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
</t>
        </r>
      </text>
    </comment>
    <comment ref="AD315" authorId="1" shapeId="0" xr:uid="{5480B88D-027D-4A9C-9363-35258BA313FE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  <comment ref="AE315" authorId="1" shapeId="0" xr:uid="{DD3C7682-25A6-42EF-8452-B09BC5EF1441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ngoai</t>
        </r>
      </text>
    </comment>
    <comment ref="AF315" authorId="1" shapeId="0" xr:uid="{8759D31F-F84E-4A25-BF10-022869B71AEF}">
      <text>
        <r>
          <rPr>
            <b/>
            <sz val="8"/>
            <color indexed="81"/>
            <rFont val="Tahoma"/>
            <family val="2"/>
          </rPr>
          <t>TieuMinhHieu:</t>
        </r>
        <r>
          <rPr>
            <sz val="8"/>
            <color indexed="81"/>
            <rFont val="Tahoma"/>
            <family val="2"/>
          </rPr>
          <t xml:space="preserve">
Phia trong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0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Chú ý: Khi khối lượng thép dầm &gt;=10 thì nên chọn số lượng thép dầm là số chẵn ( 10,12,14,16…)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NgMinhNg</author>
  </authors>
  <commentList>
    <comment ref="I1" authorId="0" shapeId="0" xr:uid="{4F7EBA5C-1087-449B-AB8A-C5A48ED96F9F}">
      <text>
        <r>
          <rPr>
            <b/>
            <sz val="9"/>
            <color indexed="81"/>
            <rFont val="Tahoma"/>
            <family val="2"/>
          </rPr>
          <t>Bang:</t>
        </r>
        <r>
          <rPr>
            <sz val="9"/>
            <color indexed="81"/>
            <rFont val="Tahoma"/>
            <family val="2"/>
          </rPr>
          <t xml:space="preserve">
từ mép dầm trở lên</t>
        </r>
      </text>
    </comment>
  </commentList>
</comments>
</file>

<file path=xl/sharedStrings.xml><?xml version="1.0" encoding="utf-8"?>
<sst xmlns="http://schemas.openxmlformats.org/spreadsheetml/2006/main" count="5622" uniqueCount="1173">
  <si>
    <t>(m)</t>
  </si>
  <si>
    <t>(m³)</t>
  </si>
  <si>
    <t>(m²)</t>
  </si>
  <si>
    <t>(T)</t>
  </si>
  <si>
    <t>(T.m)</t>
  </si>
  <si>
    <t>M200</t>
  </si>
  <si>
    <t>=</t>
  </si>
  <si>
    <t>Ptb</t>
  </si>
  <si>
    <t>Pmax</t>
  </si>
  <si>
    <t>Pmin</t>
  </si>
  <si>
    <t>(T/m²)</t>
  </si>
  <si>
    <t>x= PmaxL/(Pmax+Pmin)</t>
  </si>
  <si>
    <t>Px</t>
  </si>
  <si>
    <t>P4</t>
  </si>
  <si>
    <t>P3</t>
  </si>
  <si>
    <t>P1</t>
  </si>
  <si>
    <t>P2</t>
  </si>
  <si>
    <t>(kg.cm)</t>
  </si>
  <si>
    <t>(cm)</t>
  </si>
  <si>
    <t>&lt; Ao =0.428</t>
  </si>
  <si>
    <t>(cm²)</t>
  </si>
  <si>
    <t>(kg)</t>
  </si>
  <si>
    <t>P5</t>
  </si>
  <si>
    <t>P6</t>
  </si>
  <si>
    <t>(T/m³)</t>
  </si>
  <si>
    <t>C</t>
  </si>
  <si>
    <t>E</t>
  </si>
  <si>
    <t>2z/b</t>
  </si>
  <si>
    <t>z(m)</t>
  </si>
  <si>
    <t>K</t>
  </si>
  <si>
    <t>(mm)</t>
  </si>
  <si>
    <t>(Tm)</t>
  </si>
  <si>
    <t>q1  =</t>
  </si>
  <si>
    <t>q2  =</t>
  </si>
  <si>
    <t>P   =</t>
  </si>
  <si>
    <t>x</t>
  </si>
  <si>
    <t>Giaù trò heä soá k</t>
  </si>
  <si>
    <t>Tæ soá 2 caïnh</t>
  </si>
  <si>
    <t>n=l/b :</t>
  </si>
  <si>
    <t>∆</t>
  </si>
  <si>
    <t>L</t>
  </si>
  <si>
    <t>x-L/2</t>
  </si>
  <si>
    <t>A=</t>
  </si>
  <si>
    <t>L1 =</t>
  </si>
  <si>
    <t>L2 =</t>
  </si>
  <si>
    <t>Soá lieäu tính toaùn</t>
  </si>
  <si>
    <t>Beâtoâng Maùc</t>
  </si>
  <si>
    <t>Rn=</t>
  </si>
  <si>
    <t>Ra=</t>
  </si>
  <si>
    <t>Rk=</t>
  </si>
  <si>
    <t>AII</t>
  </si>
  <si>
    <t xml:space="preserve">Nhoùm coát theùp baûn </t>
  </si>
  <si>
    <t>Kg/cm²</t>
  </si>
  <si>
    <t>BTBV</t>
  </si>
  <si>
    <t>cm</t>
  </si>
  <si>
    <t>Nhoùm coát theùp daàm</t>
  </si>
  <si>
    <t>AIII</t>
  </si>
  <si>
    <t>Þ</t>
  </si>
  <si>
    <t>==&gt; Fa=</t>
  </si>
  <si>
    <t>A =</t>
  </si>
  <si>
    <t>(kg/m)</t>
  </si>
  <si>
    <t>Fa=</t>
  </si>
  <si>
    <t>cm²</t>
  </si>
  <si>
    <t>Σ M</t>
  </si>
  <si>
    <t>β = 0.8</t>
  </si>
  <si>
    <t>==&gt;</t>
  </si>
  <si>
    <t>(kg/cm²)</t>
  </si>
  <si>
    <t>M =</t>
  </si>
  <si>
    <t>a =</t>
  </si>
  <si>
    <t>h =</t>
  </si>
  <si>
    <t>ho =</t>
  </si>
  <si>
    <t xml:space="preserve">Ghi chuù </t>
  </si>
  <si>
    <t>W(kg/m)</t>
  </si>
  <si>
    <t>F(cm²)</t>
  </si>
  <si>
    <t>b =</t>
  </si>
  <si>
    <t>H =</t>
  </si>
  <si>
    <t>e =</t>
  </si>
  <si>
    <t>e' =</t>
  </si>
  <si>
    <t>N =</t>
  </si>
  <si>
    <t>Q =</t>
  </si>
  <si>
    <t>S =</t>
  </si>
  <si>
    <t>µ =</t>
  </si>
  <si>
    <t>Tính</t>
  </si>
  <si>
    <t>Ea =</t>
  </si>
  <si>
    <t>Eb =</t>
  </si>
  <si>
    <t>(kG/cm²)</t>
  </si>
  <si>
    <t>x= N/(Rn.b) =</t>
  </si>
  <si>
    <t xml:space="preserve">Fa = F'a = </t>
  </si>
  <si>
    <t>==&gt; µ =</t>
  </si>
  <si>
    <t>Tính x'</t>
  </si>
  <si>
    <t>x'=</t>
  </si>
  <si>
    <t>Tính theùp</t>
  </si>
  <si>
    <t>Fa = F'a =</t>
  </si>
  <si>
    <t>Ne-Rnbx'(ho-0.5x')</t>
  </si>
  <si>
    <t>R'a(ho-a')</t>
  </si>
  <si>
    <t xml:space="preserve">eo = </t>
  </si>
  <si>
    <t>eo =  M/N</t>
  </si>
  <si>
    <t>0.5h-a =</t>
  </si>
  <si>
    <t xml:space="preserve">e = </t>
  </si>
  <si>
    <t xml:space="preserve">e' = </t>
  </si>
  <si>
    <t>F'a =</t>
  </si>
  <si>
    <t>Ne</t>
  </si>
  <si>
    <t>Fa =</t>
  </si>
  <si>
    <t>Ne'</t>
  </si>
  <si>
    <t>Ra(ho-a)</t>
  </si>
  <si>
    <t>e = 0.5h-eo-a</t>
  </si>
  <si>
    <t>e' = 0.5h+eo-a'</t>
  </si>
  <si>
    <t>e = eo-0.5h+a</t>
  </si>
  <si>
    <t>F'a = Fa =</t>
  </si>
  <si>
    <t>e' = eo+0.5h-a</t>
  </si>
  <si>
    <t>Ra(ho-a')</t>
  </si>
  <si>
    <t>Fa min   = 0.1%bho=</t>
  </si>
  <si>
    <t>B =</t>
  </si>
  <si>
    <t>L =</t>
  </si>
  <si>
    <t>h1 =</t>
  </si>
  <si>
    <t>c =</t>
  </si>
  <si>
    <t>a2 =</t>
  </si>
  <si>
    <t>V =</t>
  </si>
  <si>
    <t>F =</t>
  </si>
  <si>
    <t>V1 =</t>
  </si>
  <si>
    <t>φ =</t>
  </si>
  <si>
    <t>D =</t>
  </si>
  <si>
    <t>a = a' =</t>
  </si>
  <si>
    <t xml:space="preserve">L/B = </t>
  </si>
  <si>
    <t>(1)</t>
  </si>
  <si>
    <t>(2)</t>
  </si>
  <si>
    <t>(3)</t>
  </si>
  <si>
    <t>(4)</t>
  </si>
  <si>
    <t>(5)</t>
  </si>
  <si>
    <t>(6)</t>
  </si>
  <si>
    <t>(7)</t>
  </si>
  <si>
    <t>(8)</t>
  </si>
  <si>
    <t>L2/L1</t>
  </si>
  <si>
    <t>m1</t>
  </si>
  <si>
    <t>m2</t>
  </si>
  <si>
    <t>k1</t>
  </si>
  <si>
    <t>k2</t>
  </si>
  <si>
    <t>Δm2</t>
  </si>
  <si>
    <t>Δk1</t>
  </si>
  <si>
    <t>Δk2</t>
  </si>
  <si>
    <t>STT</t>
  </si>
  <si>
    <t>Lqu =</t>
  </si>
  <si>
    <t>Hqu =</t>
  </si>
  <si>
    <t>Wxqu=</t>
  </si>
  <si>
    <t>Wyqu=</t>
  </si>
  <si>
    <t>Rtc =</t>
  </si>
  <si>
    <t>(T/m²) &lt;1.2Rtc =</t>
  </si>
  <si>
    <t>(T/m²) &lt;   Rtc  =</t>
  </si>
  <si>
    <t>&gt;0</t>
  </si>
  <si>
    <t>Qx</t>
  </si>
  <si>
    <t>Qy</t>
  </si>
  <si>
    <t>N</t>
  </si>
  <si>
    <t>Mx</t>
  </si>
  <si>
    <t>My</t>
  </si>
  <si>
    <t>P7</t>
  </si>
  <si>
    <t>q'1 =</t>
  </si>
  <si>
    <t>q'2 =</t>
  </si>
  <si>
    <t>l7=</t>
  </si>
  <si>
    <t>q'3 =</t>
  </si>
  <si>
    <t>L'1 =</t>
  </si>
  <si>
    <t>L'2 =</t>
  </si>
  <si>
    <t>L'3 =</t>
  </si>
  <si>
    <t>M=</t>
  </si>
  <si>
    <r>
      <t xml:space="preserve">  γ</t>
    </r>
    <r>
      <rPr>
        <vertAlign val="subscript"/>
        <sz val="10"/>
        <rFont val="Times New Roman"/>
        <family val="1"/>
      </rPr>
      <t>w</t>
    </r>
  </si>
  <si>
    <t>No =</t>
  </si>
  <si>
    <t>&lt; Rtc  =</t>
  </si>
  <si>
    <r>
      <t>Σ M = M</t>
    </r>
    <r>
      <rPr>
        <vertAlign val="subscript"/>
        <sz val="10"/>
        <rFont val="Times New Roman"/>
        <family val="1"/>
      </rPr>
      <t>tt</t>
    </r>
    <r>
      <rPr>
        <sz val="10"/>
        <rFont val="Times New Roman"/>
        <family val="1"/>
      </rPr>
      <t>+Q</t>
    </r>
    <r>
      <rPr>
        <vertAlign val="subscript"/>
        <sz val="10"/>
        <rFont val="Times New Roman"/>
        <family val="1"/>
      </rPr>
      <t>n</t>
    </r>
    <r>
      <rPr>
        <sz val="10"/>
        <rFont val="Times New Roman"/>
        <family val="1"/>
      </rPr>
      <t>H</t>
    </r>
  </si>
  <si>
    <r>
      <t>P</t>
    </r>
    <r>
      <rPr>
        <vertAlign val="subscript"/>
        <sz val="10"/>
        <rFont val="Times New Roman"/>
        <family val="1"/>
      </rPr>
      <t>tb1</t>
    </r>
    <r>
      <rPr>
        <sz val="10"/>
        <rFont val="Times New Roman"/>
        <family val="1"/>
      </rPr>
      <t xml:space="preserve">   =</t>
    </r>
  </si>
  <si>
    <r>
      <t>P</t>
    </r>
    <r>
      <rPr>
        <vertAlign val="subscript"/>
        <sz val="10"/>
        <rFont val="Times New Roman"/>
        <family val="1"/>
      </rPr>
      <t>tb2</t>
    </r>
    <r>
      <rPr>
        <sz val="10"/>
        <rFont val="Times New Roman"/>
        <family val="1"/>
      </rPr>
      <t xml:space="preserve">   =</t>
    </r>
  </si>
  <si>
    <r>
      <t>M     =   P</t>
    </r>
    <r>
      <rPr>
        <vertAlign val="subscript"/>
        <sz val="10"/>
        <rFont val="Times New Roman"/>
        <family val="1"/>
      </rPr>
      <t>tb</t>
    </r>
    <r>
      <rPr>
        <sz val="10"/>
        <rFont val="Times New Roman"/>
        <family val="1"/>
      </rPr>
      <t>l²/2</t>
    </r>
  </si>
  <si>
    <r>
      <t>M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=</t>
    </r>
  </si>
  <si>
    <r>
      <t>M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=</t>
    </r>
  </si>
  <si>
    <r>
      <t>==&gt;h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>=</t>
    </r>
  </si>
  <si>
    <r>
      <t>A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=</t>
    </r>
  </si>
  <si>
    <r>
      <t>&lt; A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>=0.428</t>
    </r>
  </si>
  <si>
    <r>
      <t>A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=</t>
    </r>
  </si>
  <si>
    <r>
      <t>γ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=</t>
    </r>
  </si>
  <si>
    <r>
      <t>γ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=</t>
    </r>
  </si>
  <si>
    <r>
      <t>F</t>
    </r>
    <r>
      <rPr>
        <vertAlign val="subscript"/>
        <sz val="10"/>
        <rFont val="Times New Roman"/>
        <family val="1"/>
      </rPr>
      <t>a1</t>
    </r>
    <r>
      <rPr>
        <sz val="10"/>
        <rFont val="Times New Roman"/>
        <family val="1"/>
      </rPr>
      <t>=</t>
    </r>
  </si>
  <si>
    <r>
      <t>F</t>
    </r>
    <r>
      <rPr>
        <vertAlign val="subscript"/>
        <sz val="10"/>
        <rFont val="Times New Roman"/>
        <family val="1"/>
      </rPr>
      <t>a2</t>
    </r>
    <r>
      <rPr>
        <sz val="10"/>
        <rFont val="Times New Roman"/>
        <family val="1"/>
      </rPr>
      <t>=</t>
    </r>
  </si>
  <si>
    <r>
      <t>L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 xml:space="preserve"> =</t>
    </r>
  </si>
  <si>
    <r>
      <t>L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 xml:space="preserve"> =</t>
    </r>
  </si>
  <si>
    <r>
      <t>k</t>
    </r>
    <r>
      <rPr>
        <vertAlign val="subscript"/>
        <sz val="10"/>
        <rFont val="Times New Roman"/>
        <family val="1"/>
      </rPr>
      <t xml:space="preserve">1 </t>
    </r>
    <r>
      <rPr>
        <sz val="10"/>
        <rFont val="Times New Roman"/>
        <family val="1"/>
      </rPr>
      <t>=</t>
    </r>
  </si>
  <si>
    <r>
      <t>m</t>
    </r>
    <r>
      <rPr>
        <vertAlign val="subscript"/>
        <sz val="10"/>
        <rFont val="Times New Roman"/>
        <family val="1"/>
      </rPr>
      <t xml:space="preserve">1 </t>
    </r>
    <r>
      <rPr>
        <sz val="10"/>
        <rFont val="Times New Roman"/>
        <family val="1"/>
      </rPr>
      <t>=</t>
    </r>
  </si>
  <si>
    <r>
      <t>k</t>
    </r>
    <r>
      <rPr>
        <vertAlign val="subscript"/>
        <sz val="10"/>
        <rFont val="Times New Roman"/>
        <family val="1"/>
      </rPr>
      <t xml:space="preserve">2 </t>
    </r>
    <r>
      <rPr>
        <sz val="10"/>
        <rFont val="Times New Roman"/>
        <family val="1"/>
      </rPr>
      <t>=</t>
    </r>
  </si>
  <si>
    <r>
      <t>m</t>
    </r>
    <r>
      <rPr>
        <vertAlign val="subscript"/>
        <sz val="10"/>
        <rFont val="Times New Roman"/>
        <family val="1"/>
      </rPr>
      <t xml:space="preserve">2 </t>
    </r>
    <r>
      <rPr>
        <sz val="10"/>
        <rFont val="Times New Roman"/>
        <family val="1"/>
      </rPr>
      <t>=</t>
    </r>
  </si>
  <si>
    <r>
      <t>P</t>
    </r>
    <r>
      <rPr>
        <vertAlign val="subscript"/>
        <sz val="10"/>
        <rFont val="Times New Roman"/>
        <family val="1"/>
      </rPr>
      <t>tb</t>
    </r>
    <r>
      <rPr>
        <sz val="10"/>
        <rFont val="Times New Roman"/>
        <family val="1"/>
      </rPr>
      <t xml:space="preserve">   =</t>
    </r>
  </si>
  <si>
    <r>
      <t>M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=</t>
    </r>
  </si>
  <si>
    <r>
      <t>M</t>
    </r>
    <r>
      <rPr>
        <vertAlign val="subscript"/>
        <sz val="10"/>
        <rFont val="Times New Roman"/>
        <family val="1"/>
      </rPr>
      <t>II</t>
    </r>
    <r>
      <rPr>
        <sz val="10"/>
        <rFont val="Times New Roman"/>
        <family val="1"/>
      </rPr>
      <t>=</t>
    </r>
  </si>
  <si>
    <r>
      <t>a</t>
    </r>
    <r>
      <rPr>
        <vertAlign val="subscript"/>
        <sz val="10"/>
        <rFont val="Times New Roman"/>
        <family val="1"/>
      </rPr>
      <t xml:space="preserve">bv </t>
    </r>
    <r>
      <rPr>
        <sz val="10"/>
        <rFont val="Times New Roman"/>
        <family val="1"/>
      </rPr>
      <t>=</t>
    </r>
  </si>
  <si>
    <t xml:space="preserve">a = a' = </t>
  </si>
  <si>
    <r>
      <t>N</t>
    </r>
    <r>
      <rPr>
        <vertAlign val="subscript"/>
        <sz val="10"/>
        <rFont val="Times New Roman"/>
        <family val="1"/>
      </rPr>
      <t>dh</t>
    </r>
    <r>
      <rPr>
        <sz val="10"/>
        <rFont val="Times New Roman"/>
        <family val="1"/>
      </rPr>
      <t xml:space="preserve"> =</t>
    </r>
  </si>
  <si>
    <r>
      <t>M</t>
    </r>
    <r>
      <rPr>
        <vertAlign val="subscript"/>
        <sz val="10"/>
        <rFont val="Times New Roman"/>
        <family val="1"/>
      </rPr>
      <t>dh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</si>
  <si>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ng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</si>
  <si>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01</t>
    </r>
    <r>
      <rPr>
        <sz val="10"/>
        <rFont val="Times New Roman"/>
        <family val="1"/>
      </rPr>
      <t xml:space="preserve"> =</t>
    </r>
  </si>
  <si>
    <r>
      <t xml:space="preserve"> e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 xml:space="preserve"> = </t>
    </r>
  </si>
  <si>
    <r>
      <t>e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>/h=</t>
    </r>
  </si>
  <si>
    <r>
      <t>K</t>
    </r>
    <r>
      <rPr>
        <vertAlign val="subscript"/>
        <sz val="10"/>
        <rFont val="Times New Roman"/>
        <family val="1"/>
      </rPr>
      <t xml:space="preserve">dh </t>
    </r>
    <r>
      <rPr>
        <sz val="10"/>
        <rFont val="Times New Roman"/>
        <family val="1"/>
      </rPr>
      <t>=</t>
    </r>
  </si>
  <si>
    <r>
      <t>J</t>
    </r>
    <r>
      <rPr>
        <vertAlign val="subscript"/>
        <sz val="10"/>
        <rFont val="Times New Roman"/>
        <family val="1"/>
      </rPr>
      <t>a</t>
    </r>
    <r>
      <rPr>
        <sz val="10"/>
        <rFont val="Times New Roman"/>
        <family val="1"/>
      </rPr>
      <t xml:space="preserve"> = </t>
    </r>
  </si>
  <si>
    <r>
      <t>(cm</t>
    </r>
    <r>
      <rPr>
        <vertAlign val="superscript"/>
        <sz val="10"/>
        <rFont val="Times New Roman"/>
        <family val="1"/>
      </rPr>
      <t>4</t>
    </r>
    <r>
      <rPr>
        <sz val="10"/>
        <rFont val="Times New Roman"/>
        <family val="1"/>
      </rPr>
      <t>)</t>
    </r>
  </si>
  <si>
    <r>
      <t>J</t>
    </r>
    <r>
      <rPr>
        <vertAlign val="subscript"/>
        <sz val="10"/>
        <rFont val="Times New Roman"/>
        <family val="1"/>
      </rPr>
      <t>a</t>
    </r>
    <r>
      <rPr>
        <sz val="10"/>
        <rFont val="Times New Roman"/>
        <family val="1"/>
      </rPr>
      <t xml:space="preserve"> =  µbho(0.5h-a)²</t>
    </r>
  </si>
  <si>
    <r>
      <t>J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 </t>
    </r>
  </si>
  <si>
    <r>
      <t>J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  bh³/12</t>
    </r>
  </si>
  <si>
    <r>
      <t>e = ηe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>+h/2-a</t>
    </r>
  </si>
  <si>
    <r>
      <t>e' = /ηe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>-h/2+a'/</t>
    </r>
  </si>
  <si>
    <r>
      <t>α</t>
    </r>
    <r>
      <rPr>
        <vertAlign val="subscript"/>
        <sz val="10"/>
        <rFont val="Times New Roman"/>
        <family val="1"/>
      </rPr>
      <t xml:space="preserve">0 </t>
    </r>
    <r>
      <rPr>
        <sz val="10"/>
        <rFont val="Times New Roman"/>
        <family val="1"/>
      </rPr>
      <t>h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>=</t>
    </r>
  </si>
  <si>
    <r>
      <t>e</t>
    </r>
    <r>
      <rPr>
        <vertAlign val="subscript"/>
        <sz val="10"/>
        <rFont val="Times New Roman"/>
        <family val="1"/>
      </rPr>
      <t>ogh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</si>
  <si>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ogh</t>
    </r>
    <r>
      <rPr>
        <sz val="10"/>
        <rFont val="Times New Roman"/>
        <family val="1"/>
      </rPr>
      <t xml:space="preserve"> = 0.4(1.25h-αo ho)</t>
    </r>
  </si>
  <si>
    <r>
      <t>ηe</t>
    </r>
    <r>
      <rPr>
        <vertAlign val="subscript"/>
        <sz val="10"/>
        <rFont val="Times New Roman"/>
        <family val="1"/>
      </rPr>
      <t xml:space="preserve">o </t>
    </r>
    <r>
      <rPr>
        <sz val="10"/>
        <rFont val="Times New Roman"/>
        <family val="1"/>
      </rPr>
      <t>=</t>
    </r>
  </si>
  <si>
    <r>
      <t>0.2h</t>
    </r>
    <r>
      <rPr>
        <vertAlign val="subscript"/>
        <sz val="10"/>
        <rFont val="Times New Roman"/>
        <family val="1"/>
      </rPr>
      <t xml:space="preserve">o </t>
    </r>
    <r>
      <rPr>
        <sz val="10"/>
        <rFont val="Times New Roman"/>
        <family val="1"/>
      </rPr>
      <t>=</t>
    </r>
  </si>
  <si>
    <r>
      <t>Q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>=</t>
    </r>
  </si>
  <si>
    <t>Kích thước chân cột</t>
  </si>
  <si>
    <t>Chiều sâu chôn móng</t>
  </si>
  <si>
    <t>Giá trị tính toán</t>
  </si>
  <si>
    <t>Ô bản 1</t>
  </si>
  <si>
    <t>Ô bản 2</t>
  </si>
  <si>
    <t>Lớp</t>
  </si>
  <si>
    <t>Tên lớp</t>
  </si>
  <si>
    <t>Chiều dày</t>
  </si>
  <si>
    <t>(độ)</t>
  </si>
  <si>
    <r>
      <t>ε</t>
    </r>
    <r>
      <rPr>
        <vertAlign val="subscript"/>
        <sz val="10"/>
        <rFont val="Times New Roman"/>
        <family val="1"/>
      </rPr>
      <t>0</t>
    </r>
  </si>
  <si>
    <t>φ</t>
  </si>
  <si>
    <t>1. Kiểm tra khả năng chịu tải của nền</t>
  </si>
  <si>
    <t>Chọn trường hợp tính lún</t>
  </si>
  <si>
    <t>Tại độ sâu cách đáy móng       Z =</t>
  </si>
  <si>
    <t>Chiều sâu ảnh hưởng lún cách đáy móng Z      =</t>
  </si>
  <si>
    <t>Mômen tiêu chuẩn tại đáy móng chế độ trung bình hàng năm</t>
  </si>
  <si>
    <t>Mômen gây ra do ngoại tải tại đáy móng</t>
  </si>
  <si>
    <t>Xác định vị trí ngoại lực gây ra ứng suất nền bằng 0</t>
  </si>
  <si>
    <t>Xác định các ứng suất cần thiết tại các điểm để tính móng</t>
  </si>
  <si>
    <t xml:space="preserve"> - Ô bản 1 : Loại ô bản ngàm 02 phương</t>
  </si>
  <si>
    <t>Có 02 loại bản móng : bản ngàm 2 phương và bản ngàm 3 phương</t>
  </si>
  <si>
    <t>1./Bản kê 02 cạnh và các kích thước</t>
  </si>
  <si>
    <t>Áp lực phân bố theo 2 phương, cắt ô bản 1m dài để tính</t>
  </si>
  <si>
    <t>Ứng suất trung bình</t>
  </si>
  <si>
    <t>(T/m²/mdài)</t>
  </si>
  <si>
    <r>
      <t>h</t>
    </r>
    <r>
      <rPr>
        <vertAlign val="subscript"/>
        <sz val="10"/>
        <rFont val="Times New Roman"/>
        <family val="1"/>
      </rPr>
      <t>bản</t>
    </r>
    <r>
      <rPr>
        <sz val="10"/>
        <rFont val="Times New Roman"/>
        <family val="1"/>
      </rPr>
      <t>=</t>
    </r>
  </si>
  <si>
    <t>Cường độ tính toán  Ra=</t>
  </si>
  <si>
    <t>Mômen tại gối</t>
  </si>
  <si>
    <t>Tính toán cốt thép</t>
  </si>
  <si>
    <t>Đặt thép   Ø</t>
  </si>
  <si>
    <t>2./Bản kê 3 cạnh có kích thước</t>
  </si>
  <si>
    <t>Ứng suất trung bình để tính</t>
  </si>
  <si>
    <t>Mômen lớn nhất    M =</t>
  </si>
  <si>
    <t>Cốt thép bản móng nhóm</t>
  </si>
  <si>
    <t>Các hệ số :</t>
  </si>
  <si>
    <t>Mômen tính toán :   M=</t>
  </si>
  <si>
    <t>(kg.m/m dài)</t>
  </si>
  <si>
    <t>Mômen tại nhịp</t>
  </si>
  <si>
    <t>Kích thước dầm</t>
  </si>
  <si>
    <t>1./Tính cốt thép tại gối</t>
  </si>
  <si>
    <t>Đặt thép</t>
  </si>
  <si>
    <t>2./Tính cốt thép tại nhịp</t>
  </si>
  <si>
    <t>Cốt thép dầm móng nhóm</t>
  </si>
  <si>
    <t>Nội lực tính toán :</t>
  </si>
  <si>
    <t>Kích thước cổ móng</t>
  </si>
  <si>
    <t>Mômen tại tiết diện dầm móng</t>
  </si>
  <si>
    <t>Độ lệch tâm ngẫu nhiên</t>
  </si>
  <si>
    <t>1./ Trường hợp nén lệch tâm</t>
  </si>
  <si>
    <t>Độ lệch tâm do nội lực</t>
  </si>
  <si>
    <r>
      <t>Độ lệch tâm  e</t>
    </r>
    <r>
      <rPr>
        <vertAlign val="subscript"/>
        <sz val="10"/>
        <rFont val="Times New Roman"/>
        <family val="1"/>
      </rPr>
      <t>0</t>
    </r>
    <r>
      <rPr>
        <sz val="10"/>
        <rFont val="Times New Roman"/>
        <family val="1"/>
      </rPr>
      <t xml:space="preserve"> = e</t>
    </r>
    <r>
      <rPr>
        <vertAlign val="subscript"/>
        <sz val="10"/>
        <rFont val="Times New Roman"/>
        <family val="1"/>
      </rPr>
      <t>o1</t>
    </r>
    <r>
      <rPr>
        <sz val="10"/>
        <rFont val="Times New Roman"/>
        <family val="1"/>
      </rPr>
      <t xml:space="preserve"> + e</t>
    </r>
    <r>
      <rPr>
        <vertAlign val="subscript"/>
        <sz val="10"/>
        <rFont val="Times New Roman"/>
        <family val="1"/>
      </rPr>
      <t>ng</t>
    </r>
  </si>
  <si>
    <t>S là hệ số kể đến độ lệch tâm</t>
  </si>
  <si>
    <t>Kdh  là hệ số kể đến tính chất dài hạn của tải trọng</t>
  </si>
  <si>
    <t>Giả thuyết</t>
  </si>
  <si>
    <t>Lực dọc tới hạn</t>
  </si>
  <si>
    <t>hệ số uốn dọc</t>
  </si>
  <si>
    <t>Độ lệch tâm tính toán</t>
  </si>
  <si>
    <t>Chiều cao vùng nén</t>
  </si>
  <si>
    <t>Tính thép cho trường hợp nén lệch tâm lớn</t>
  </si>
  <si>
    <t>hide</t>
  </si>
  <si>
    <t>==&gt; giả thuyết</t>
  </si>
  <si>
    <t>Tính thép cho trường hợp nén lệch tâm bé</t>
  </si>
  <si>
    <t>Cốt thép cổ móng nhóm</t>
  </si>
  <si>
    <t>2./ Trường hợp kéo lệch tâm</t>
  </si>
  <si>
    <t>Độ lệch tâm</t>
  </si>
  <si>
    <t xml:space="preserve">Tính thép cho trường hợp kéo lệch tâm bé </t>
  </si>
  <si>
    <t>Lực cắt Q =</t>
  </si>
  <si>
    <r>
      <t>Khả năng chịu cắt của bêtông Q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 xml:space="preserve"> = k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R</t>
    </r>
    <r>
      <rPr>
        <vertAlign val="subscript"/>
        <sz val="10"/>
        <rFont val="Times New Roman"/>
        <family val="1"/>
      </rPr>
      <t>k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 xml:space="preserve"> </t>
    </r>
  </si>
  <si>
    <t>Tính thép cho trường hợp kéo lệch tâm lớn</t>
  </si>
  <si>
    <r>
      <t>Tỉ lệ 2 cạnh L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/L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 xml:space="preserve"> =</t>
    </r>
  </si>
  <si>
    <t>r =</t>
  </si>
  <si>
    <t>m</t>
  </si>
  <si>
    <t>x1=x-L/2=</t>
  </si>
  <si>
    <t>a1/2=</t>
  </si>
  <si>
    <t>P1= Pmax(x-b2)/x</t>
  </si>
  <si>
    <t>P2= Pmax(x-b2-a)/x</t>
  </si>
  <si>
    <t>P4=/Pmin/(L-x-b2)/(L-x)</t>
  </si>
  <si>
    <t>P4=/Pmin/(L-x-b2-a)/(L-x)</t>
  </si>
  <si>
    <t>Px=Pmax*x1/x</t>
  </si>
  <si>
    <t>P6=Pmax(x-L/2+c/2)/x</t>
  </si>
  <si>
    <t>P7=Pmax(x-r)/x</t>
  </si>
  <si>
    <t>3./ Tính cốt đai</t>
  </si>
  <si>
    <t>Lưc cắt lớn nhất tại vị trí cổ móng</t>
  </si>
  <si>
    <r>
      <t>Q</t>
    </r>
    <r>
      <rPr>
        <vertAlign val="subscript"/>
        <sz val="10"/>
        <rFont val="Times New Roman"/>
        <family val="1"/>
      </rPr>
      <t xml:space="preserve">BT </t>
    </r>
    <r>
      <rPr>
        <sz val="10"/>
        <rFont val="Times New Roman"/>
        <family val="1"/>
      </rPr>
      <t>=</t>
    </r>
  </si>
  <si>
    <t>Cốt đai Ø =</t>
  </si>
  <si>
    <t>fđ =</t>
  </si>
  <si>
    <t>n =</t>
  </si>
  <si>
    <t>u =</t>
  </si>
  <si>
    <t>(kg) &gt; Q</t>
  </si>
  <si>
    <t>P5=Pmax(x-2a2-a)/x</t>
  </si>
  <si>
    <t>&lt; Q ==&gt;</t>
  </si>
  <si>
    <t>MOÙNG BAÛN :</t>
  </si>
  <si>
    <t>MB</t>
  </si>
  <si>
    <t>Buloâng</t>
  </si>
  <si>
    <t>kg</t>
  </si>
  <si>
    <t>Ngoaøi</t>
  </si>
  <si>
    <t>Trong</t>
  </si>
  <si>
    <t>H baûn</t>
  </si>
  <si>
    <t>Baûn</t>
  </si>
  <si>
    <t>N1</t>
  </si>
  <si>
    <t>N2</t>
  </si>
  <si>
    <t>H daàm</t>
  </si>
  <si>
    <t>KCCT</t>
  </si>
  <si>
    <t>Ngang</t>
  </si>
  <si>
    <t>H moùng</t>
  </si>
  <si>
    <t>Doïc</t>
  </si>
  <si>
    <t>B coå coät</t>
  </si>
  <si>
    <t xml:space="preserve">CTTC </t>
  </si>
  <si>
    <t>B daàm</t>
  </si>
  <si>
    <t>KC thanh 1</t>
  </si>
  <si>
    <t>Vaùt daàm</t>
  </si>
  <si>
    <t>Theùp giaù</t>
  </si>
  <si>
    <t>2 DAM</t>
  </si>
  <si>
    <t>Theùp ñai 1</t>
  </si>
  <si>
    <t>Theùp löôùi</t>
  </si>
  <si>
    <t>Theùp Baûn</t>
  </si>
  <si>
    <t>Tang cuong 1</t>
  </si>
  <si>
    <t>Tang cuong 2</t>
  </si>
  <si>
    <t>Theùp</t>
  </si>
  <si>
    <t>Coät</t>
  </si>
  <si>
    <t>Daàm1</t>
  </si>
  <si>
    <t>Daàm TC 1</t>
  </si>
  <si>
    <t>Daàm 2</t>
  </si>
  <si>
    <t>Daàm TC 2</t>
  </si>
  <si>
    <t>TCN 1</t>
  </si>
  <si>
    <t>TCN 2</t>
  </si>
  <si>
    <t>TCD 1</t>
  </si>
  <si>
    <t>TCD 2</t>
  </si>
  <si>
    <t>TC1</t>
  </si>
  <si>
    <t>TC2</t>
  </si>
  <si>
    <t>KC</t>
  </si>
  <si>
    <t>SL</t>
  </si>
  <si>
    <t>TCD</t>
  </si>
  <si>
    <t>CD thanh</t>
  </si>
  <si>
    <t xml:space="preserve">MOÙNG BAÛN </t>
  </si>
  <si>
    <t>A</t>
  </si>
  <si>
    <t>B</t>
  </si>
  <si>
    <t>A1</t>
  </si>
  <si>
    <t>B1</t>
  </si>
  <si>
    <t>H</t>
  </si>
  <si>
    <t>KET QUA</t>
  </si>
  <si>
    <t xml:space="preserve">S.Hieäu </t>
  </si>
  <si>
    <t>lenght</t>
  </si>
  <si>
    <t>Quantity</t>
  </si>
  <si>
    <t>Total</t>
  </si>
  <si>
    <t>O  BAN</t>
  </si>
  <si>
    <t>Coå coät</t>
  </si>
  <si>
    <t>DAM  MONG</t>
  </si>
  <si>
    <t>Daàm ngang</t>
  </si>
  <si>
    <t>VAT  DAM</t>
  </si>
  <si>
    <t>2a</t>
  </si>
  <si>
    <t>Tang cuong dam</t>
  </si>
  <si>
    <t>COÅÅ COÄT</t>
  </si>
  <si>
    <t>3a</t>
  </si>
  <si>
    <t>BE TONG MONG TONG CONG  M200</t>
  </si>
  <si>
    <t>BT LOT M100</t>
  </si>
  <si>
    <t>TBN1</t>
  </si>
  <si>
    <t>CAT DEM</t>
  </si>
  <si>
    <t>4a</t>
  </si>
  <si>
    <t>TBN2</t>
  </si>
  <si>
    <t>DAT DAO</t>
  </si>
  <si>
    <t>4b</t>
  </si>
  <si>
    <t>TT 1 phia ngoai</t>
  </si>
  <si>
    <t>DAT DAP CO</t>
  </si>
  <si>
    <t>4c</t>
  </si>
  <si>
    <t>TT 1 phia trong</t>
  </si>
  <si>
    <t xml:space="preserve">DAT DAP </t>
  </si>
  <si>
    <t>4d</t>
  </si>
  <si>
    <t>TT 2 phia ngoai</t>
  </si>
  <si>
    <t>4e</t>
  </si>
  <si>
    <t>TT 2 phia trong</t>
  </si>
  <si>
    <t>Toång hôïp coát theùp</t>
  </si>
  <si>
    <t>TBN3</t>
  </si>
  <si>
    <t>Kg/m</t>
  </si>
  <si>
    <t>Weight</t>
  </si>
  <si>
    <t>Haøm löôïng</t>
  </si>
  <si>
    <t>TBD1</t>
  </si>
  <si>
    <t>TBD2</t>
  </si>
  <si>
    <t>6a</t>
  </si>
  <si>
    <t>6b</t>
  </si>
  <si>
    <t>6c</t>
  </si>
  <si>
    <t>TBD3</t>
  </si>
  <si>
    <t>TC</t>
  </si>
  <si>
    <t>TÑD</t>
  </si>
  <si>
    <t>9a</t>
  </si>
  <si>
    <t>TÑD2</t>
  </si>
  <si>
    <t>9b</t>
  </si>
  <si>
    <t>Ñôõ theùp daàm</t>
  </si>
  <si>
    <t>Stub-bar</t>
  </si>
  <si>
    <t>OÂ Baûn</t>
  </si>
  <si>
    <t>Daàm Moùng</t>
  </si>
  <si>
    <t>SUM</t>
  </si>
  <si>
    <t>Tính ñaát ñaøo</t>
  </si>
  <si>
    <t>R</t>
  </si>
  <si>
    <t>KQ1</t>
  </si>
  <si>
    <t>Khoâng caùt ñeäm</t>
  </si>
  <si>
    <t>Coù caùt ñeäm</t>
  </si>
  <si>
    <t>Ñaát ñaáp bôø bao</t>
  </si>
  <si>
    <t>S</t>
  </si>
  <si>
    <t>B'</t>
  </si>
  <si>
    <t>L'</t>
  </si>
  <si>
    <t>KQ2</t>
  </si>
  <si>
    <t>Ñaát laáp moùng</t>
  </si>
  <si>
    <r>
      <t>V</t>
    </r>
    <r>
      <rPr>
        <vertAlign val="subscript"/>
        <sz val="10"/>
        <rFont val="VNI-Times"/>
      </rPr>
      <t>BT</t>
    </r>
  </si>
  <si>
    <t>KQ3</t>
  </si>
  <si>
    <t>taluy</t>
  </si>
  <si>
    <t>H ñaøo</t>
  </si>
  <si>
    <t>L1</t>
  </si>
  <si>
    <t>V(m³)</t>
  </si>
  <si>
    <t>x4</t>
  </si>
  <si>
    <t>48-250</t>
  </si>
  <si>
    <t>6d</t>
  </si>
  <si>
    <t>Chieàu cao</t>
  </si>
  <si>
    <t>Ren raên</t>
  </si>
  <si>
    <t>01 chieác</t>
  </si>
  <si>
    <t>Khoái löôïng</t>
  </si>
  <si>
    <t>Cho 4T</t>
  </si>
  <si>
    <t>Cho 8T</t>
  </si>
  <si>
    <t>Cho 12T</t>
  </si>
  <si>
    <t>36-250</t>
  </si>
  <si>
    <t>36-282</t>
  </si>
  <si>
    <t>42-250</t>
  </si>
  <si>
    <t>42-282</t>
  </si>
  <si>
    <t>48-282</t>
  </si>
  <si>
    <t>56-250</t>
  </si>
  <si>
    <t>Doc</t>
  </si>
  <si>
    <t>Boá trí theùp baûn theo baûn tính</t>
  </si>
  <si>
    <t>ΣEi  Zi</t>
  </si>
  <si>
    <t>ΣZ</t>
  </si>
  <si>
    <t>Δm1</t>
  </si>
  <si>
    <t>Bố trí thép bản theo bảng tính</t>
  </si>
  <si>
    <t>Ngoài</t>
  </si>
  <si>
    <t>MÓNG BẢN</t>
  </si>
  <si>
    <t>H bản</t>
  </si>
  <si>
    <t>H dầm</t>
  </si>
  <si>
    <t>H móng</t>
  </si>
  <si>
    <t>B cổ cột</t>
  </si>
  <si>
    <t>B dầm</t>
  </si>
  <si>
    <t>Vát dầm</t>
  </si>
  <si>
    <t>Hàm lượng</t>
  </si>
  <si>
    <t>Tổng hợp thép</t>
  </si>
  <si>
    <t>No</t>
  </si>
  <si>
    <t>Ø</t>
  </si>
  <si>
    <t>CỔ CỘT</t>
  </si>
  <si>
    <t>Dam TC 1</t>
  </si>
  <si>
    <t>Dam1</t>
  </si>
  <si>
    <t>Dam 2</t>
  </si>
  <si>
    <t>Dam TC 2</t>
  </si>
  <si>
    <t>Cot</t>
  </si>
  <si>
    <t>CD Ren</t>
  </si>
  <si>
    <t>Bulong</t>
  </si>
  <si>
    <t>01 chiec</t>
  </si>
  <si>
    <t>Khoi Luong</t>
  </si>
  <si>
    <t>Co Cot</t>
  </si>
  <si>
    <t>Dam ngang</t>
  </si>
  <si>
    <t>Ban</t>
  </si>
  <si>
    <t>O ban</t>
  </si>
  <si>
    <t>Dam Mong</t>
  </si>
  <si>
    <t>Do thep dam</t>
  </si>
  <si>
    <t>TĐD</t>
  </si>
  <si>
    <t>TĐD2</t>
  </si>
  <si>
    <t>Thep luoi</t>
  </si>
  <si>
    <t>Thep dai</t>
  </si>
  <si>
    <t>Thep giang</t>
  </si>
  <si>
    <t>KHỐI LƯỢNG CỐT THÉP (kg)</t>
  </si>
  <si>
    <t>K.LƯỢNG
THÉP TỔNG CỘNG (kg)</t>
  </si>
  <si>
    <t>BU LÔNG
NEO (kg)</t>
  </si>
  <si>
    <t>M100</t>
  </si>
  <si>
    <t>BL 90</t>
  </si>
  <si>
    <t>THỂ TÍCH BÊ TÔNG (m³)</t>
  </si>
  <si>
    <t>BL 36-250</t>
  </si>
  <si>
    <t>BL 36-282</t>
  </si>
  <si>
    <t>BL 42-250</t>
  </si>
  <si>
    <t>BL 42-282</t>
  </si>
  <si>
    <t>BL 48-250</t>
  </si>
  <si>
    <t>BL 48-282</t>
  </si>
  <si>
    <t>BL 56-250</t>
  </si>
  <si>
    <t>BL 56</t>
  </si>
  <si>
    <t>BL 64</t>
  </si>
  <si>
    <t>BL 72</t>
  </si>
  <si>
    <t>BL 80</t>
  </si>
  <si>
    <t>25AIII</t>
  </si>
  <si>
    <t>14AIII</t>
  </si>
  <si>
    <t>12AIII</t>
  </si>
  <si>
    <t>10AI</t>
  </si>
  <si>
    <t>22AIII</t>
  </si>
  <si>
    <t>20AIII</t>
  </si>
  <si>
    <t>18AIII</t>
  </si>
  <si>
    <t>16AIII</t>
  </si>
  <si>
    <t>8AI</t>
  </si>
  <si>
    <t>SỐ HIỆU</t>
  </si>
  <si>
    <t>HÌNH DÁNH THANH</t>
  </si>
  <si>
    <t>SỐ LƯỢNG</t>
  </si>
  <si>
    <t>Ø 
(mm)</t>
  </si>
  <si>
    <t>CHIỀU DÀI 
01 THANH (mm)</t>
  </si>
  <si>
    <t>CHIỀU DÀI 
TỔNG CỘNG (m)</t>
  </si>
  <si>
    <t>5b</t>
  </si>
  <si>
    <t>5c</t>
  </si>
  <si>
    <t>5d</t>
  </si>
  <si>
    <t>5e</t>
  </si>
  <si>
    <t>5a</t>
  </si>
  <si>
    <t>KHỐI LƯỢNG
(kg)</t>
  </si>
  <si>
    <t>KHỐI LƯỢNG TỔNG CỘNG
(kg)</t>
  </si>
  <si>
    <t>TỔNG HỢP KHỐI LƯỢNG THÉP CHO 01 MÓNG</t>
  </si>
  <si>
    <t>CHIỀU DÀI
(m)</t>
  </si>
  <si>
    <t>Lớp 2</t>
  </si>
  <si>
    <t>D. Tính cốt đai cho cổ móng</t>
  </si>
  <si>
    <t>C. Tính cốt thép cổ móng</t>
  </si>
  <si>
    <t>B. Tính toán cốt thép dầm móng</t>
  </si>
  <si>
    <t>A. Tính toán cốt thép bản móng</t>
  </si>
  <si>
    <t>a/ Tính theo bản ngàm 3 cạnh</t>
  </si>
  <si>
    <t>b/ Tính theo bản console</t>
  </si>
  <si>
    <t>Tính toán kết cấu móng</t>
  </si>
  <si>
    <t>Độ nghiêng của móng</t>
  </si>
  <si>
    <t>M250</t>
  </si>
  <si>
    <t xml:space="preserve"> - Ô bản 2 : Loại ô bản ngàm 03 phương</t>
  </si>
  <si>
    <t>L    =</t>
  </si>
  <si>
    <t>L2   =</t>
  </si>
  <si>
    <t>BẢNG TỔNG HỢP VẬT LIỆU MÓNG CỘT CỔNG 500KV</t>
  </si>
  <si>
    <t>CHO 01 MÓNG</t>
  </si>
  <si>
    <t>Ø ≥ 18</t>
  </si>
  <si>
    <t>18 &gt; Ø &gt; 10</t>
  </si>
  <si>
    <t>Ø ≤ 10</t>
  </si>
  <si>
    <t>CHO 12 MÓNG</t>
  </si>
  <si>
    <t>S   =</t>
  </si>
  <si>
    <t>Z   =</t>
  </si>
  <si>
    <t>Đệm cát</t>
  </si>
  <si>
    <t>Bêtông đúc móng:</t>
  </si>
  <si>
    <t>(CB400-V)</t>
  </si>
  <si>
    <t>==&gt; γ  =</t>
  </si>
  <si>
    <t>Cốt thép móng</t>
  </si>
  <si>
    <t>Cường độ tính toán chịu nén  Rn    =</t>
  </si>
  <si>
    <t>Cường độ tính toán chịu kéo  Rk    =</t>
  </si>
  <si>
    <t>Cường độ tính toán Ra  =</t>
  </si>
  <si>
    <t>==&gt;  A =</t>
  </si>
  <si>
    <t>==&gt;  γ  =</t>
  </si>
  <si>
    <t>Sơ đồ tính</t>
  </si>
  <si>
    <t>==&gt; Fa = F'a =</t>
  </si>
  <si>
    <t>HK TK</t>
  </si>
  <si>
    <t>Sự cố max</t>
  </si>
  <si>
    <t>Đơn vị</t>
  </si>
  <si>
    <t>Bu lông neo</t>
  </si>
  <si>
    <t>Loại cột</t>
  </si>
  <si>
    <t>Chiều dài móng</t>
  </si>
  <si>
    <t>mm</t>
  </si>
  <si>
    <t>Chiều rộng móng</t>
  </si>
  <si>
    <t>Chiều cao bản móng</t>
  </si>
  <si>
    <t>Chiều cao dầm</t>
  </si>
  <si>
    <t>Chiều rộng dầm</t>
  </si>
  <si>
    <t>Chiều dày đệm cát</t>
  </si>
  <si>
    <t>Đường kính thép bản</t>
  </si>
  <si>
    <t>Đường kính thép chống</t>
  </si>
  <si>
    <t>thanh</t>
  </si>
  <si>
    <t>Tên cột</t>
  </si>
  <si>
    <t>Lực nhổ max</t>
  </si>
  <si>
    <t>Lực nén máx</t>
  </si>
  <si>
    <t>`</t>
  </si>
  <si>
    <t>L1=</t>
  </si>
  <si>
    <t>L2=</t>
  </si>
  <si>
    <t>Không xóa số này</t>
  </si>
  <si>
    <t>bản 4 cạnh ngàm thuộc sơ đồ 9</t>
  </si>
  <si>
    <t>LOẠI CỘT</t>
  </si>
  <si>
    <t>Từng chân</t>
  </si>
  <si>
    <t>Cả cột</t>
  </si>
  <si>
    <r>
      <t>90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 xml:space="preserve"> max</t>
    </r>
  </si>
  <si>
    <r>
      <t>45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 xml:space="preserve"> max</t>
    </r>
  </si>
  <si>
    <t>Tên móng</t>
  </si>
  <si>
    <t>m1=</t>
  </si>
  <si>
    <t>m2=</t>
  </si>
  <si>
    <t>ktc=</t>
  </si>
  <si>
    <t>Bảng hệ số m1 và m2</t>
  </si>
  <si>
    <t>Loại đất</t>
  </si>
  <si>
    <t>Đất hòn lớn có chất nhét 
là cát và đất cát không kể đất phấn và bụ</t>
  </si>
  <si>
    <t>hệ số m1</t>
  </si>
  <si>
    <t>Cát mịn</t>
  </si>
  <si>
    <t>Khô và ít ẩm</t>
  </si>
  <si>
    <t>Cát bụi</t>
  </si>
  <si>
    <t>Is&lt;=0.5</t>
  </si>
  <si>
    <t>Is&gt;0.5</t>
  </si>
  <si>
    <t>hệ số m2</t>
  </si>
  <si>
    <t>l/h&gt;=4</t>
  </si>
  <si>
    <t>l/h&lt;=7.5</t>
  </si>
  <si>
    <t>T</t>
  </si>
  <si>
    <t>Trong đó</t>
  </si>
  <si>
    <r>
      <t>N</t>
    </r>
    <r>
      <rPr>
        <vertAlign val="superscript"/>
        <sz val="11"/>
        <color theme="1"/>
        <rFont val="Times New Roman"/>
        <family val="1"/>
      </rPr>
      <t>tt</t>
    </r>
    <r>
      <rPr>
        <sz val="11"/>
        <color theme="1"/>
        <rFont val="Times New Roman"/>
        <family val="1"/>
      </rPr>
      <t>: Tổng tải trọng thẳng đứng tác dụng tại đáy</t>
    </r>
  </si>
  <si>
    <r>
      <t>n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: hệ số vượt tải của tải trọng thằng đứng(n&lt;1)</t>
    </r>
  </si>
  <si>
    <t xml:space="preserve">f: hệ số ma sát giữa đất và nền phụ thuộc vào độ </t>
  </si>
  <si>
    <t>nhám của đáy móng và loại đất</t>
  </si>
  <si>
    <t>&gt;1.5</t>
  </si>
  <si>
    <t>&gt; 1.5</t>
  </si>
  <si>
    <t>T/m</t>
  </si>
  <si>
    <t>&lt;[Smax]=</t>
  </si>
  <si>
    <t>CÔNG TRÌNH</t>
  </si>
  <si>
    <t>HẠNG MỤC</t>
  </si>
  <si>
    <t xml:space="preserve">Cột </t>
  </si>
  <si>
    <t>Loại móng</t>
  </si>
  <si>
    <t>Chọn kích thước móng</t>
  </si>
  <si>
    <t>Chiều cao móng</t>
  </si>
  <si>
    <t>Dầm móng</t>
  </si>
  <si>
    <t>Bản móng</t>
  </si>
  <si>
    <t>Cổ móng</t>
  </si>
  <si>
    <t>Các kích thước khác</t>
  </si>
  <si>
    <t>Thể tích bê tông móng</t>
  </si>
  <si>
    <t>1.Tổ hợp lực chân cột truyền xuống móng</t>
  </si>
  <si>
    <t>Diện tích đáy móng</t>
  </si>
  <si>
    <t>Mômen kháng đáy móng theo phương  Y</t>
  </si>
  <si>
    <t>Mômen kháng đáy móng theo phương  X</t>
  </si>
  <si>
    <t xml:space="preserve">Chiều cao móng trên mặt đất </t>
  </si>
  <si>
    <t>Thể tích đất lấp móng</t>
  </si>
  <si>
    <t>Đấp móng</t>
  </si>
  <si>
    <t>Thể tích đất đối trọng</t>
  </si>
  <si>
    <t>Bêtông đối trọng</t>
  </si>
  <si>
    <t>Mômen đối trọng</t>
  </si>
  <si>
    <t>2. Tính toán kết cấu móng</t>
  </si>
  <si>
    <t>Bêtông đúc móng</t>
  </si>
  <si>
    <t>Cường độ tính toán chịu nén</t>
  </si>
  <si>
    <t>Cường độ tính toán chịu kéo</t>
  </si>
  <si>
    <t>2.1. Tính toán cốt thép bản móng</t>
  </si>
  <si>
    <t>Có 03 loại bản móng : bản ngàm 2 cạnh ,  bản ngàm 3 cạnh và 4 cạnh</t>
  </si>
  <si>
    <t xml:space="preserve"> - Ô bản 1 : Loại ô bản ngàm 02 cạnh</t>
  </si>
  <si>
    <t xml:space="preserve"> - Ô bản 2 : Loại ô bản ngàm 03 cạnh</t>
  </si>
  <si>
    <t xml:space="preserve"> - Ô bản 3 : Loại ô bản ngàm 04 cạnh</t>
  </si>
  <si>
    <t xml:space="preserve">   Ô bản 1</t>
  </si>
  <si>
    <t>Ô bản 3</t>
  </si>
  <si>
    <t>(cm²/m dài)</t>
  </si>
  <si>
    <t>Mômen lớn nhất  M =</t>
  </si>
  <si>
    <t xml:space="preserve">b/ Tính theo bản console </t>
  </si>
  <si>
    <t>Mômen tính toán M=</t>
  </si>
  <si>
    <t>3./Bản kê 4 cạnh có kích thước</t>
  </si>
  <si>
    <t>Mômen lớn nhất M =</t>
  </si>
  <si>
    <t>4.Kiểm tra khả năng chịu cắt của sàn</t>
  </si>
  <si>
    <t>Khả năng chịu cắt của bê tông</t>
  </si>
  <si>
    <t>=&gt; Bê tông đủ khả năng chịu cắt, cốt đai được bố trí cấu tạo</t>
  </si>
  <si>
    <t>2.2. Tính toán cốt thép dầm móng</t>
  </si>
  <si>
    <t xml:space="preserve">Lưc cắt lớn nhất </t>
  </si>
  <si>
    <t>Bê tông đủ khả năng chịu cắt cốt đai được bố trí cấu tạo</t>
  </si>
  <si>
    <t>2.3. Tính cốt thép cổ móng</t>
  </si>
  <si>
    <t>Nội lực tính toán</t>
  </si>
  <si>
    <t>Hệ số uốn dọc</t>
  </si>
  <si>
    <t xml:space="preserve">Khả năng chịu cắt của bêtông: </t>
  </si>
  <si>
    <t>2.4. Tính cốt đai cho cổ móng</t>
  </si>
  <si>
    <t>Bảng tổng hợp nội lực</t>
  </si>
  <si>
    <t>Trường hợp</t>
  </si>
  <si>
    <t>Qx(T)</t>
  </si>
  <si>
    <t>Qy(T)</t>
  </si>
  <si>
    <t>N(T)</t>
  </si>
  <si>
    <t>Mx(T.m)</t>
  </si>
  <si>
    <t>My(T.m)</t>
  </si>
  <si>
    <t>Mz(T.m)</t>
  </si>
  <si>
    <t>Lực nén max</t>
  </si>
  <si>
    <t>90 độ max</t>
  </si>
  <si>
    <t>45 độ max</t>
  </si>
  <si>
    <t>Thường xuyên tiêu chuẩn</t>
  </si>
  <si>
    <t>Giá trị tiêu chuẩn</t>
  </si>
  <si>
    <t>Địa chất công trình</t>
  </si>
  <si>
    <t>1.1 Kiểm tra khả năng chịu tải của đất nền dưới đáy móng</t>
  </si>
  <si>
    <t>Bảng 14 - TCVN9362:2012</t>
  </si>
  <si>
    <t>Áp lực tiêu chuẩn của nền đất</t>
  </si>
  <si>
    <t>Trong đó :</t>
  </si>
  <si>
    <t>Tải trọng</t>
  </si>
  <si>
    <t>Trường hợp mực nước ngầm sát mặt đất</t>
  </si>
  <si>
    <t>Trường hợp mực nước ngầm sát mặt đáy móng</t>
  </si>
  <si>
    <t>1.2 Kiểm tra khả năng chịu tải của nền dưới đáy đệm cát</t>
  </si>
  <si>
    <t>Áp lực tiêu chuẩn của móng</t>
  </si>
  <si>
    <t>Vậy kích thước móng chọn thoả mãn theo khả năng chịu tải đất nền</t>
  </si>
  <si>
    <t>2. Kiểm tra nền móng theo trạng thái giới hạn 2</t>
  </si>
  <si>
    <t>Độ lún của móng được tính theo phương pháp cộng lún từng lớp</t>
  </si>
  <si>
    <t>Ứng suất gây lún (mực nước ngầm sát mặt đất)</t>
  </si>
  <si>
    <t>Ứng suất gây lún (mực nước ngầm sát mặt đáy móng)</t>
  </si>
  <si>
    <t>Hệ số nở hông</t>
  </si>
  <si>
    <t>Chiều sâu vùng ảnh hưởng lún có</t>
  </si>
  <si>
    <t>Độ lún của nền</t>
  </si>
  <si>
    <t xml:space="preserve"> Tham khảo bảng 22 -Biến dạng giới hạn của nền trụ tải điện</t>
  </si>
  <si>
    <t>S=</t>
  </si>
  <si>
    <t>3. Tính toán khả năng chống trượt và chống lật của móng</t>
  </si>
  <si>
    <t>3.1 Tính toán khả năng chống trượt</t>
  </si>
  <si>
    <t>Hệ số áp lực chủ động theo công thức của Rankine</t>
  </si>
  <si>
    <t xml:space="preserve">Áp lực chủ động </t>
  </si>
  <si>
    <t>Hệ số áp lực bị động theo công thức của Rankine</t>
  </si>
  <si>
    <t>Áp lực bị động</t>
  </si>
  <si>
    <t xml:space="preserve">Tổng lực gây trượt </t>
  </si>
  <si>
    <t xml:space="preserve">Tổng lực chống trượt </t>
  </si>
  <si>
    <t>3.2 Tính toán khả năng chống lật</t>
  </si>
  <si>
    <t>Lớp đệm cát dưới đáy móng nên f = 0.45</t>
  </si>
  <si>
    <t xml:space="preserve"> cm²</t>
  </si>
  <si>
    <t>Momen theo 3 TH</t>
  </si>
  <si>
    <t>90 max</t>
  </si>
  <si>
    <t>45 max</t>
  </si>
  <si>
    <t>Sự cố</t>
  </si>
  <si>
    <t>Mmax</t>
  </si>
  <si>
    <t>Qtn =</t>
  </si>
  <si>
    <t>Qtnh=</t>
  </si>
  <si>
    <t>Tính Max, Min theo cách 2:</t>
  </si>
  <si>
    <t>M1 =</t>
  </si>
  <si>
    <t>T.m</t>
  </si>
  <si>
    <t>M3 =</t>
  </si>
  <si>
    <t>Thường xuyên</t>
  </si>
  <si>
    <t>KÍCH THƯỚC MÓNG BẢN</t>
  </si>
  <si>
    <t>CỐT THÉP BẢN MÓNG</t>
  </si>
  <si>
    <t>Nội dung</t>
  </si>
  <si>
    <t>Kích thước</t>
  </si>
  <si>
    <t>Tâm móng</t>
  </si>
  <si>
    <t>Khoảng cách s1</t>
  </si>
  <si>
    <t>Khoảng cách s2</t>
  </si>
  <si>
    <t>CỐT THÉP DẦM MÓNG</t>
  </si>
  <si>
    <t>Đường kính thép chủ</t>
  </si>
  <si>
    <t>Chiêu cao cổ móng</t>
  </si>
  <si>
    <t>Đường kính thép giá</t>
  </si>
  <si>
    <t>Chiều rộng cổ móng</t>
  </si>
  <si>
    <t>Số lượng Top</t>
  </si>
  <si>
    <t>Chiêu sâu móng</t>
  </si>
  <si>
    <t>Đường kính cốt đai</t>
  </si>
  <si>
    <t>Hệ số mở mái</t>
  </si>
  <si>
    <t>Khoảng cách đai 1</t>
  </si>
  <si>
    <t>Khoảng cách đai 2</t>
  </si>
  <si>
    <t>VẬT LIỆU</t>
  </si>
  <si>
    <t>Chiều dài cắt thép dầm</t>
  </si>
  <si>
    <t>Bê tông kết cấu</t>
  </si>
  <si>
    <t>CỐT THÉP CỔ MÓNG</t>
  </si>
  <si>
    <t>Bê tông lót</t>
  </si>
  <si>
    <t>B7.5</t>
  </si>
  <si>
    <t>Bê tông đối trọng</t>
  </si>
  <si>
    <t>Đường kính thép đai</t>
  </si>
  <si>
    <t>Chiều cao đối trọng</t>
  </si>
  <si>
    <t>Số lượng thép chủ</t>
  </si>
  <si>
    <t>Khoảng cách đai</t>
  </si>
  <si>
    <t>THÔNG TIN MÓNG</t>
  </si>
  <si>
    <t>Link khung tên</t>
  </si>
  <si>
    <t>Giai đoạn thiết kế</t>
  </si>
  <si>
    <t>Số mạch</t>
  </si>
  <si>
    <t>Ghi chú</t>
  </si>
  <si>
    <t>B20</t>
  </si>
  <si>
    <t>w</t>
  </si>
  <si>
    <t>l</t>
  </si>
  <si>
    <t>R1 =R2</t>
  </si>
  <si>
    <t>V1</t>
  </si>
  <si>
    <t>V1 = V2</t>
  </si>
  <si>
    <t>M1 = M2</t>
  </si>
  <si>
    <t xml:space="preserve">M3 </t>
  </si>
  <si>
    <t>a</t>
  </si>
  <si>
    <t>b</t>
  </si>
  <si>
    <t xml:space="preserve">c </t>
  </si>
  <si>
    <t>2b</t>
  </si>
  <si>
    <t>2c</t>
  </si>
  <si>
    <t>2w</t>
  </si>
  <si>
    <t>Vdd</t>
  </si>
  <si>
    <t>Gbt</t>
  </si>
  <si>
    <t xml:space="preserve">Hàm lượng thép </t>
  </si>
  <si>
    <t>%  &gt; μmin = 0.1 %</t>
  </si>
  <si>
    <t xml:space="preserve">(cm²) </t>
  </si>
  <si>
    <t>Tổng N</t>
  </si>
  <si>
    <t>USTB</t>
  </si>
  <si>
    <t>USMax</t>
  </si>
  <si>
    <t>USMin</t>
  </si>
  <si>
    <t>kg.cm</t>
  </si>
  <si>
    <t>Q</t>
  </si>
  <si>
    <t>90 độ</t>
  </si>
  <si>
    <t>45 độ</t>
  </si>
  <si>
    <t>Tx tc</t>
  </si>
  <si>
    <t xml:space="preserve">Copy giá trị nội lực </t>
  </si>
  <si>
    <t>B12.5</t>
  </si>
  <si>
    <t>B15</t>
  </si>
  <si>
    <t>B25</t>
  </si>
  <si>
    <t>B30</t>
  </si>
  <si>
    <t>B35</t>
  </si>
  <si>
    <t>B40</t>
  </si>
  <si>
    <t>Modun đàn hồi của bê tông Eb (10^3 Mpa)</t>
  </si>
  <si>
    <t>(T.m/m)</t>
  </si>
  <si>
    <t>Theo cạnh ngắn</t>
  </si>
  <si>
    <t>b-2(b2+c/2)</t>
  </si>
  <si>
    <t>T/m2</t>
  </si>
  <si>
    <t>Eb</t>
  </si>
  <si>
    <t>Etc =3.Eo</t>
  </si>
  <si>
    <t xml:space="preserve">Điều kiện : </t>
  </si>
  <si>
    <t xml:space="preserve">Trong đó : </t>
  </si>
  <si>
    <t>b=</t>
  </si>
  <si>
    <t>b2=</t>
  </si>
  <si>
    <t>h1=</t>
  </si>
  <si>
    <t>a2=</t>
  </si>
  <si>
    <t>c1=</t>
  </si>
  <si>
    <t>Vế trái  =</t>
  </si>
  <si>
    <t>Vế phải =</t>
  </si>
  <si>
    <t>&lt;</t>
  </si>
  <si>
    <t>(T/m2)</t>
  </si>
  <si>
    <t>Độ cứng của móng đối với cạnh ngắn của bản</t>
  </si>
  <si>
    <t>Độ cứng của móng đối với cạnh dài của bản</t>
  </si>
  <si>
    <t>Tên</t>
  </si>
  <si>
    <t>Mác</t>
  </si>
  <si>
    <t>E(Mpa)</t>
  </si>
  <si>
    <t>Rbt(Mpa)</t>
  </si>
  <si>
    <t>Rb(Mpa)</t>
  </si>
  <si>
    <t>B22.5</t>
  </si>
  <si>
    <t>M300</t>
  </si>
  <si>
    <t>M350</t>
  </si>
  <si>
    <t>M400</t>
  </si>
  <si>
    <t>M450</t>
  </si>
  <si>
    <t>M500</t>
  </si>
  <si>
    <t>B45</t>
  </si>
  <si>
    <t>M600</t>
  </si>
  <si>
    <t>B50</t>
  </si>
  <si>
    <t>M700</t>
  </si>
  <si>
    <t>B55</t>
  </si>
  <si>
    <t>B60</t>
  </si>
  <si>
    <t>M800</t>
  </si>
  <si>
    <t>Chú ý: 1MPa = 100T/m2</t>
  </si>
  <si>
    <t>1Mpa =100T/m2</t>
  </si>
  <si>
    <t>Bê tông</t>
  </si>
  <si>
    <t>Rs (Mpa)</t>
  </si>
  <si>
    <t>Rsc (Mpa)</t>
  </si>
  <si>
    <t>Rsw (Mpa)</t>
  </si>
  <si>
    <t>E (Mpa)</t>
  </si>
  <si>
    <t>CB240-T</t>
  </si>
  <si>
    <t>CB300-V</t>
  </si>
  <si>
    <t>CB400-V</t>
  </si>
  <si>
    <t>CB500-V</t>
  </si>
  <si>
    <t>Cốt thép</t>
  </si>
  <si>
    <t>@(cm)</t>
  </si>
  <si>
    <t>Đặt thép Ø(mm)</t>
  </si>
  <si>
    <t>Chiều đối trọng</t>
  </si>
  <si>
    <t>Số lượng</t>
  </si>
  <si>
    <t>TXTC</t>
  </si>
  <si>
    <t>Qx (T)</t>
  </si>
  <si>
    <t>Qy (T)</t>
  </si>
  <si>
    <t>N (T)</t>
  </si>
  <si>
    <t>Mx (T.m)</t>
  </si>
  <si>
    <t>My (T.m)</t>
  </si>
  <si>
    <t>Mz (T.m)</t>
  </si>
  <si>
    <t>Điều kiện</t>
  </si>
  <si>
    <t>TỔ HỢP LỰC TÍNH TOÁN (ĐƠN VỊ: T-Tm)</t>
  </si>
  <si>
    <t xml:space="preserve">Lấy giá trị moment lớn nhất trong các trường hợp để tính toán </t>
  </si>
  <si>
    <t>với :</t>
  </si>
  <si>
    <t>Tinhs toán theo cách cũ</t>
  </si>
  <si>
    <r>
      <t>Q</t>
    </r>
    <r>
      <rPr>
        <vertAlign val="subscript"/>
        <sz val="10"/>
        <color rgb="FFFFFF00"/>
        <rFont val="Times New Roman"/>
        <family val="1"/>
      </rPr>
      <t>max</t>
    </r>
  </si>
  <si>
    <t>Ko xóa</t>
  </si>
  <si>
    <t>Hệ số: chỉ dùng khi là móng trong trạm(4-5)</t>
  </si>
  <si>
    <t>Mômen kháng đáy móng theo phương X</t>
  </si>
  <si>
    <t>Bổ sung</t>
  </si>
  <si>
    <t>Đục lổ</t>
  </si>
  <si>
    <t>Mômen kháng đáy móng theo phương Y</t>
  </si>
  <si>
    <t>Tính toán lực ngang</t>
  </si>
  <si>
    <t>Momen theo 4 TH</t>
  </si>
  <si>
    <t>T.hợp/ Moment</t>
  </si>
  <si>
    <t>Copy địa chất vào bảng này</t>
  </si>
  <si>
    <t>T.hợp/Moment</t>
  </si>
  <si>
    <t>c  =</t>
  </si>
  <si>
    <r>
      <t>Gió 90</t>
    </r>
    <r>
      <rPr>
        <vertAlign val="super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max</t>
    </r>
  </si>
  <si>
    <r>
      <t>N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=</t>
    </r>
  </si>
  <si>
    <r>
      <t>Q</t>
    </r>
    <r>
      <rPr>
        <vertAlign val="superscript"/>
        <sz val="12"/>
        <rFont val="Times New Roman"/>
        <family val="1"/>
      </rPr>
      <t>tc</t>
    </r>
    <r>
      <rPr>
        <vertAlign val="subscript"/>
        <sz val="12"/>
        <rFont val="Times New Roman"/>
        <family val="1"/>
      </rPr>
      <t>x</t>
    </r>
    <r>
      <rPr>
        <sz val="12"/>
        <rFont val="Times New Roman"/>
        <family val="1"/>
      </rPr>
      <t xml:space="preserve"> =</t>
    </r>
  </si>
  <si>
    <r>
      <t>Q</t>
    </r>
    <r>
      <rPr>
        <vertAlign val="superscript"/>
        <sz val="12"/>
        <rFont val="Times New Roman"/>
        <family val="1"/>
      </rPr>
      <t>tc</t>
    </r>
    <r>
      <rPr>
        <vertAlign val="subscript"/>
        <sz val="12"/>
        <rFont val="Times New Roman"/>
        <family val="1"/>
      </rPr>
      <t>y</t>
    </r>
    <r>
      <rPr>
        <sz val="12"/>
        <rFont val="Times New Roman"/>
        <family val="1"/>
      </rPr>
      <t xml:space="preserve"> =</t>
    </r>
  </si>
  <si>
    <r>
      <t>M</t>
    </r>
    <r>
      <rPr>
        <vertAlign val="superscript"/>
        <sz val="12"/>
        <rFont val="Times New Roman"/>
        <family val="1"/>
      </rPr>
      <t>tc</t>
    </r>
    <r>
      <rPr>
        <vertAlign val="subscript"/>
        <sz val="12"/>
        <rFont val="Times New Roman"/>
        <family val="1"/>
      </rPr>
      <t>y</t>
    </r>
    <r>
      <rPr>
        <sz val="12"/>
        <rFont val="Times New Roman"/>
        <family val="1"/>
      </rPr>
      <t xml:space="preserve"> =</t>
    </r>
  </si>
  <si>
    <r>
      <t>M</t>
    </r>
    <r>
      <rPr>
        <vertAlign val="superscript"/>
        <sz val="12"/>
        <rFont val="Times New Roman"/>
        <family val="1"/>
      </rPr>
      <t>tc</t>
    </r>
    <r>
      <rPr>
        <vertAlign val="subscript"/>
        <sz val="12"/>
        <rFont val="Times New Roman"/>
        <family val="1"/>
      </rPr>
      <t>x</t>
    </r>
    <r>
      <rPr>
        <sz val="12"/>
        <rFont val="Times New Roman"/>
        <family val="1"/>
      </rPr>
      <t xml:space="preserve"> =</t>
    </r>
  </si>
  <si>
    <r>
      <t>Gió 45</t>
    </r>
    <r>
      <rPr>
        <vertAlign val="super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max</t>
    </r>
  </si>
  <si>
    <r>
      <t>h</t>
    </r>
    <r>
      <rPr>
        <vertAlign val="subscript"/>
        <sz val="12"/>
        <rFont val="Times New Roman"/>
        <family val="1"/>
      </rPr>
      <t>đđ</t>
    </r>
    <r>
      <rPr>
        <sz val="12"/>
        <rFont val="Times New Roman"/>
        <family val="1"/>
      </rPr>
      <t xml:space="preserve"> =</t>
    </r>
  </si>
  <si>
    <r>
      <t xml:space="preserve"> V</t>
    </r>
    <r>
      <rPr>
        <vertAlign val="subscript"/>
        <sz val="12"/>
        <rFont val="Times New Roman"/>
        <family val="1"/>
      </rPr>
      <t>đđ</t>
    </r>
    <r>
      <rPr>
        <sz val="12"/>
        <rFont val="Times New Roman"/>
        <family val="1"/>
      </rPr>
      <t xml:space="preserve"> =</t>
    </r>
  </si>
  <si>
    <r>
      <t>Bêtông đối trọng V</t>
    </r>
    <r>
      <rPr>
        <vertAlign val="subscript"/>
        <sz val="12"/>
        <rFont val="Times New Roman"/>
        <family val="1"/>
      </rPr>
      <t>bt</t>
    </r>
    <r>
      <rPr>
        <sz val="12"/>
        <rFont val="Times New Roman"/>
        <family val="1"/>
      </rPr>
      <t xml:space="preserve"> =</t>
    </r>
  </si>
  <si>
    <r>
      <t>Mômen đối trọng M</t>
    </r>
    <r>
      <rPr>
        <vertAlign val="subscript"/>
        <sz val="12"/>
        <rFont val="Times New Roman"/>
        <family val="1"/>
      </rPr>
      <t>bt</t>
    </r>
    <r>
      <rPr>
        <sz val="12"/>
        <rFont val="Times New Roman"/>
        <family val="1"/>
      </rPr>
      <t xml:space="preserve"> =</t>
    </r>
  </si>
  <si>
    <r>
      <t>N</t>
    </r>
    <r>
      <rPr>
        <vertAlign val="superscript"/>
        <sz val="12"/>
        <rFont val="Times New Roman"/>
        <family val="1"/>
      </rPr>
      <t>tt</t>
    </r>
    <r>
      <rPr>
        <sz val="12"/>
        <rFont val="Times New Roman"/>
        <family val="1"/>
      </rPr>
      <t xml:space="preserve"> =</t>
    </r>
  </si>
  <si>
    <r>
      <t>Q</t>
    </r>
    <r>
      <rPr>
        <vertAlign val="superscript"/>
        <sz val="12"/>
        <rFont val="Times New Roman"/>
        <family val="1"/>
      </rPr>
      <t>tt</t>
    </r>
    <r>
      <rPr>
        <vertAlign val="subscript"/>
        <sz val="12"/>
        <rFont val="Times New Roman"/>
        <family val="1"/>
      </rPr>
      <t>x</t>
    </r>
    <r>
      <rPr>
        <sz val="12"/>
        <rFont val="Times New Roman"/>
        <family val="1"/>
      </rPr>
      <t xml:space="preserve"> =</t>
    </r>
  </si>
  <si>
    <r>
      <t>M</t>
    </r>
    <r>
      <rPr>
        <vertAlign val="superscript"/>
        <sz val="12"/>
        <rFont val="Times New Roman"/>
        <family val="1"/>
      </rPr>
      <t>tt</t>
    </r>
    <r>
      <rPr>
        <vertAlign val="subscript"/>
        <sz val="12"/>
        <rFont val="Times New Roman"/>
        <family val="1"/>
      </rPr>
      <t>y</t>
    </r>
    <r>
      <rPr>
        <sz val="12"/>
        <rFont val="Times New Roman"/>
        <family val="1"/>
      </rPr>
      <t xml:space="preserve"> =</t>
    </r>
  </si>
  <si>
    <r>
      <t>N</t>
    </r>
    <r>
      <rPr>
        <vertAlign val="superscript"/>
        <sz val="12"/>
        <rFont val="Times New Roman"/>
        <family val="1"/>
      </rPr>
      <t>tt</t>
    </r>
    <r>
      <rPr>
        <sz val="12"/>
        <rFont val="Times New Roman"/>
        <family val="1"/>
      </rPr>
      <t>.nén =</t>
    </r>
  </si>
  <si>
    <r>
      <t>N</t>
    </r>
    <r>
      <rPr>
        <vertAlign val="superscript"/>
        <sz val="12"/>
        <rFont val="Times New Roman"/>
        <family val="1"/>
      </rPr>
      <t>tt</t>
    </r>
    <r>
      <rPr>
        <sz val="12"/>
        <rFont val="Times New Roman"/>
        <family val="1"/>
      </rPr>
      <t>.nh =</t>
    </r>
  </si>
  <si>
    <r>
      <t>Q</t>
    </r>
    <r>
      <rPr>
        <vertAlign val="superscript"/>
        <sz val="12"/>
        <rFont val="Times New Roman"/>
        <family val="1"/>
      </rPr>
      <t>tt</t>
    </r>
    <r>
      <rPr>
        <vertAlign val="subscript"/>
        <sz val="12"/>
        <rFont val="Times New Roman"/>
        <family val="1"/>
      </rPr>
      <t>y</t>
    </r>
    <r>
      <rPr>
        <sz val="12"/>
        <rFont val="Times New Roman"/>
        <family val="1"/>
      </rPr>
      <t xml:space="preserve"> =</t>
    </r>
  </si>
  <si>
    <r>
      <t>E</t>
    </r>
    <r>
      <rPr>
        <vertAlign val="subscript"/>
        <sz val="12"/>
        <rFont val="Times New Roman"/>
        <family val="1"/>
      </rPr>
      <t xml:space="preserve">b </t>
    </r>
    <r>
      <rPr>
        <sz val="12"/>
        <rFont val="Times New Roman"/>
        <family val="1"/>
      </rPr>
      <t>=</t>
    </r>
  </si>
  <si>
    <r>
      <t>E</t>
    </r>
    <r>
      <rPr>
        <vertAlign val="subscript"/>
        <sz val="12"/>
        <rFont val="Times New Roman"/>
        <family val="1"/>
      </rPr>
      <t>d</t>
    </r>
    <r>
      <rPr>
        <vertAlign val="superscript"/>
        <sz val="12"/>
        <rFont val="Times New Roman"/>
        <family val="1"/>
      </rPr>
      <t xml:space="preserve">tc </t>
    </r>
    <r>
      <rPr>
        <sz val="12"/>
        <rFont val="Times New Roman"/>
        <family val="1"/>
      </rPr>
      <t>= 3*Eo =</t>
    </r>
  </si>
  <si>
    <r>
      <t>(T/m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);    E</t>
    </r>
    <r>
      <rPr>
        <vertAlign val="subscript"/>
        <sz val="12"/>
        <rFont val="Times New Roman"/>
        <family val="1"/>
      </rPr>
      <t>d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= 3*E</t>
    </r>
    <r>
      <rPr>
        <vertAlign val="subscript"/>
        <sz val="12"/>
        <rFont val="Times New Roman"/>
        <family val="1"/>
      </rPr>
      <t>o</t>
    </r>
    <r>
      <rPr>
        <sz val="12"/>
        <rFont val="Times New Roman"/>
        <family val="1"/>
      </rPr>
      <t xml:space="preserve"> =</t>
    </r>
  </si>
  <si>
    <r>
      <t>R</t>
    </r>
    <r>
      <rPr>
        <vertAlign val="subscript"/>
        <sz val="12"/>
        <rFont val="Times New Roman"/>
        <family val="1"/>
      </rPr>
      <t>n</t>
    </r>
    <r>
      <rPr>
        <sz val="12"/>
        <rFont val="Times New Roman"/>
        <family val="1"/>
      </rPr>
      <t xml:space="preserve"> (R</t>
    </r>
    <r>
      <rPr>
        <vertAlign val="subscript"/>
        <sz val="12"/>
        <rFont val="Times New Roman"/>
        <family val="1"/>
      </rPr>
      <t>b</t>
    </r>
    <r>
      <rPr>
        <sz val="12"/>
        <rFont val="Times New Roman"/>
        <family val="1"/>
      </rPr>
      <t>) =</t>
    </r>
  </si>
  <si>
    <r>
      <t>Cường độ tính toán R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 =</t>
    </r>
  </si>
  <si>
    <r>
      <t>R</t>
    </r>
    <r>
      <rPr>
        <vertAlign val="subscript"/>
        <sz val="12"/>
        <rFont val="Times New Roman"/>
        <family val="1"/>
      </rPr>
      <t>k</t>
    </r>
    <r>
      <rPr>
        <sz val="12"/>
        <rFont val="Times New Roman"/>
        <family val="1"/>
      </rPr>
      <t xml:space="preserve"> (R</t>
    </r>
    <r>
      <rPr>
        <vertAlign val="subscript"/>
        <sz val="12"/>
        <rFont val="Times New Roman"/>
        <family val="1"/>
      </rPr>
      <t>bt</t>
    </r>
    <r>
      <rPr>
        <sz val="12"/>
        <rFont val="Times New Roman"/>
        <family val="1"/>
      </rPr>
      <t>) =</t>
    </r>
  </si>
  <si>
    <r>
      <t>Σ M = M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>+Q</t>
    </r>
    <r>
      <rPr>
        <vertAlign val="subscript"/>
        <sz val="12"/>
        <rFont val="Times New Roman"/>
        <family val="1"/>
      </rPr>
      <t>n</t>
    </r>
    <r>
      <rPr>
        <sz val="12"/>
        <rFont val="Times New Roman"/>
        <family val="1"/>
      </rPr>
      <t>H</t>
    </r>
  </si>
  <si>
    <r>
      <t>P</t>
    </r>
    <r>
      <rPr>
        <vertAlign val="subscript"/>
        <sz val="12"/>
        <rFont val="Times New Roman"/>
        <family val="1"/>
      </rPr>
      <t>tb1</t>
    </r>
    <r>
      <rPr>
        <sz val="12"/>
        <rFont val="Times New Roman"/>
        <family val="1"/>
      </rPr>
      <t xml:space="preserve">   =</t>
    </r>
  </si>
  <si>
    <r>
      <t>P</t>
    </r>
    <r>
      <rPr>
        <vertAlign val="subscript"/>
        <sz val="12"/>
        <rFont val="Times New Roman"/>
        <family val="1"/>
      </rPr>
      <t>tb2</t>
    </r>
    <r>
      <rPr>
        <sz val="12"/>
        <rFont val="Times New Roman"/>
        <family val="1"/>
      </rPr>
      <t xml:space="preserve">   =</t>
    </r>
  </si>
  <si>
    <r>
      <t>M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=</t>
    </r>
  </si>
  <si>
    <r>
      <t>h</t>
    </r>
    <r>
      <rPr>
        <vertAlign val="subscript"/>
        <sz val="12"/>
        <rFont val="Times New Roman"/>
        <family val="1"/>
      </rPr>
      <t>bản</t>
    </r>
    <r>
      <rPr>
        <sz val="12"/>
        <rFont val="Times New Roman"/>
        <family val="1"/>
      </rPr>
      <t>=</t>
    </r>
  </si>
  <si>
    <r>
      <t>M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>=</t>
    </r>
  </si>
  <si>
    <r>
      <t>==&gt;h</t>
    </r>
    <r>
      <rPr>
        <vertAlign val="subscript"/>
        <sz val="12"/>
        <rFont val="Times New Roman"/>
        <family val="1"/>
      </rPr>
      <t>o</t>
    </r>
    <r>
      <rPr>
        <sz val="12"/>
        <rFont val="Times New Roman"/>
        <family val="1"/>
      </rPr>
      <t>=</t>
    </r>
  </si>
  <si>
    <r>
      <t>&lt; A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=0.428</t>
    </r>
  </si>
  <si>
    <r>
      <t>F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>=</t>
    </r>
  </si>
  <si>
    <r>
      <t>==&gt; F</t>
    </r>
    <r>
      <rPr>
        <vertAlign val="subscript"/>
        <sz val="12"/>
        <rFont val="Times New Roman"/>
        <family val="1"/>
      </rPr>
      <t>chọn</t>
    </r>
    <r>
      <rPr>
        <sz val="12"/>
        <rFont val="Times New Roman"/>
        <family val="1"/>
      </rPr>
      <t>=</t>
    </r>
  </si>
  <si>
    <r>
      <t>L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</si>
  <si>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>L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=</t>
    </r>
  </si>
  <si>
    <r>
      <t>Tỉ lệ 2 cạnh L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/L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=</t>
    </r>
  </si>
  <si>
    <r>
      <t>Các hệ số</t>
    </r>
    <r>
      <rPr>
        <i/>
        <sz val="12"/>
        <color indexed="30"/>
        <rFont val="Times New Roman"/>
        <family val="1"/>
      </rPr>
      <t>:</t>
    </r>
  </si>
  <si>
    <r>
      <t>k</t>
    </r>
    <r>
      <rPr>
        <vertAlign val="subscript"/>
        <sz val="12"/>
        <rFont val="Times New Roman"/>
        <family val="1"/>
      </rPr>
      <t xml:space="preserve">1 </t>
    </r>
    <r>
      <rPr>
        <sz val="12"/>
        <rFont val="Times New Roman"/>
        <family val="1"/>
      </rPr>
      <t>=</t>
    </r>
  </si>
  <si>
    <r>
      <t>m</t>
    </r>
    <r>
      <rPr>
        <vertAlign val="subscript"/>
        <sz val="12"/>
        <rFont val="Times New Roman"/>
        <family val="1"/>
      </rPr>
      <t xml:space="preserve">1 </t>
    </r>
    <r>
      <rPr>
        <sz val="12"/>
        <rFont val="Times New Roman"/>
        <family val="1"/>
      </rPr>
      <t>=</t>
    </r>
  </si>
  <si>
    <r>
      <t>k</t>
    </r>
    <r>
      <rPr>
        <vertAlign val="subscript"/>
        <sz val="12"/>
        <rFont val="Times New Roman"/>
        <family val="1"/>
      </rPr>
      <t xml:space="preserve">2 </t>
    </r>
    <r>
      <rPr>
        <sz val="12"/>
        <rFont val="Times New Roman"/>
        <family val="1"/>
      </rPr>
      <t>=</t>
    </r>
  </si>
  <si>
    <r>
      <t>m</t>
    </r>
    <r>
      <rPr>
        <vertAlign val="subscript"/>
        <sz val="12"/>
        <rFont val="Times New Roman"/>
        <family val="1"/>
      </rPr>
      <t xml:space="preserve">2 </t>
    </r>
    <r>
      <rPr>
        <sz val="12"/>
        <rFont val="Times New Roman"/>
        <family val="1"/>
      </rPr>
      <t>=</t>
    </r>
  </si>
  <si>
    <r>
      <t>P</t>
    </r>
    <r>
      <rPr>
        <vertAlign val="subscript"/>
        <sz val="12"/>
        <rFont val="Times New Roman"/>
        <family val="1"/>
      </rPr>
      <t>tb</t>
    </r>
    <r>
      <rPr>
        <sz val="12"/>
        <rFont val="Times New Roman"/>
        <family val="1"/>
      </rPr>
      <t xml:space="preserve">   =</t>
    </r>
  </si>
  <si>
    <r>
      <t>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=</t>
    </r>
  </si>
  <si>
    <r>
      <t>M</t>
    </r>
    <r>
      <rPr>
        <vertAlign val="subscript"/>
        <sz val="12"/>
        <rFont val="Times New Roman"/>
        <family val="1"/>
      </rPr>
      <t>II</t>
    </r>
    <r>
      <rPr>
        <sz val="12"/>
        <rFont val="Times New Roman"/>
        <family val="1"/>
      </rPr>
      <t>=</t>
    </r>
  </si>
  <si>
    <r>
      <t xml:space="preserve">Các hệ số </t>
    </r>
    <r>
      <rPr>
        <i/>
        <sz val="12"/>
        <color indexed="30"/>
        <rFont val="Times New Roman"/>
        <family val="1"/>
      </rPr>
      <t>:</t>
    </r>
  </si>
  <si>
    <r>
      <t>k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=</t>
    </r>
  </si>
  <si>
    <r>
      <t>k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>=</t>
    </r>
  </si>
  <si>
    <r>
      <t>M</t>
    </r>
    <r>
      <rPr>
        <vertAlign val="subscript"/>
        <sz val="12"/>
        <rFont val="Times New Roman"/>
        <family val="1"/>
      </rPr>
      <t>max</t>
    </r>
    <r>
      <rPr>
        <sz val="12"/>
        <rFont val="Times New Roman"/>
        <family val="1"/>
      </rPr>
      <t xml:space="preserve"> =</t>
    </r>
  </si>
  <si>
    <r>
      <t>Q</t>
    </r>
    <r>
      <rPr>
        <b/>
        <i/>
        <vertAlign val="subscript"/>
        <sz val="12"/>
        <color theme="1"/>
        <rFont val="Times New Roman"/>
        <family val="1"/>
      </rPr>
      <t>max</t>
    </r>
    <r>
      <rPr>
        <b/>
        <i/>
        <sz val="12"/>
        <color theme="1"/>
        <rFont val="Times New Roman"/>
        <family val="1"/>
      </rPr>
      <t xml:space="preserve"> =</t>
    </r>
  </si>
  <si>
    <t>=&gt; γ  =</t>
  </si>
  <si>
    <r>
      <t>=&gt; F</t>
    </r>
    <r>
      <rPr>
        <vertAlign val="subscript"/>
        <sz val="12"/>
        <rFont val="Times New Roman"/>
        <family val="1"/>
      </rPr>
      <t>chọn</t>
    </r>
    <r>
      <rPr>
        <sz val="12"/>
        <rFont val="Times New Roman"/>
        <family val="1"/>
      </rPr>
      <t>=</t>
    </r>
  </si>
  <si>
    <r>
      <t>(T)  =&gt; Q &gt; Q</t>
    </r>
    <r>
      <rPr>
        <vertAlign val="subscript"/>
        <sz val="12"/>
        <rFont val="Times New Roman"/>
        <family val="1"/>
      </rPr>
      <t>max</t>
    </r>
  </si>
  <si>
    <r>
      <t>a</t>
    </r>
    <r>
      <rPr>
        <vertAlign val="subscript"/>
        <sz val="12"/>
        <rFont val="Times New Roman"/>
        <family val="1"/>
      </rPr>
      <t xml:space="preserve">bv </t>
    </r>
    <r>
      <rPr>
        <sz val="12"/>
        <rFont val="Times New Roman"/>
        <family val="1"/>
      </rPr>
      <t>=</t>
    </r>
  </si>
  <si>
    <r>
      <t>1.</t>
    </r>
    <r>
      <rPr>
        <u/>
        <sz val="12"/>
        <rFont val="Times New Roman"/>
        <family val="1"/>
      </rPr>
      <t>/Tính cốt thép tại gối</t>
    </r>
  </si>
  <si>
    <r>
      <t>Q</t>
    </r>
    <r>
      <rPr>
        <vertAlign val="subscript"/>
        <sz val="12"/>
        <rFont val="Times New Roman"/>
        <family val="1"/>
      </rPr>
      <t>max</t>
    </r>
    <r>
      <rPr>
        <sz val="12"/>
        <rFont val="Times New Roman"/>
        <family val="1"/>
      </rPr>
      <t xml:space="preserve"> =</t>
    </r>
  </si>
  <si>
    <r>
      <t>Q&gt;Q</t>
    </r>
    <r>
      <rPr>
        <vertAlign val="subscript"/>
        <sz val="12"/>
        <rFont val="Times New Roman"/>
        <family val="1"/>
      </rPr>
      <t>max</t>
    </r>
  </si>
  <si>
    <t>=&gt;  A =</t>
  </si>
  <si>
    <t>=&gt;  γ  =</t>
  </si>
  <si>
    <r>
      <t>N</t>
    </r>
    <r>
      <rPr>
        <vertAlign val="subscript"/>
        <sz val="12"/>
        <rFont val="Times New Roman"/>
        <family val="1"/>
      </rPr>
      <t>dh</t>
    </r>
    <r>
      <rPr>
        <sz val="12"/>
        <rFont val="Times New Roman"/>
        <family val="1"/>
      </rPr>
      <t xml:space="preserve"> =</t>
    </r>
  </si>
  <si>
    <r>
      <t>M</t>
    </r>
    <r>
      <rPr>
        <vertAlign val="subscript"/>
        <sz val="12"/>
        <rFont val="Times New Roman"/>
        <family val="1"/>
      </rPr>
      <t>dh</t>
    </r>
    <r>
      <rPr>
        <sz val="12"/>
        <rFont val="Times New Roman"/>
        <family val="1"/>
      </rPr>
      <t xml:space="preserve"> =</t>
    </r>
  </si>
  <si>
    <r>
      <t>Độ lệch tâm  e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= e</t>
    </r>
    <r>
      <rPr>
        <vertAlign val="subscript"/>
        <sz val="12"/>
        <rFont val="Times New Roman"/>
        <family val="1"/>
      </rPr>
      <t>o1</t>
    </r>
    <r>
      <rPr>
        <sz val="12"/>
        <rFont val="Times New Roman"/>
        <family val="1"/>
      </rPr>
      <t xml:space="preserve"> + e</t>
    </r>
    <r>
      <rPr>
        <vertAlign val="subscript"/>
        <sz val="12"/>
        <rFont val="Times New Roman"/>
        <family val="1"/>
      </rPr>
      <t>ng</t>
    </r>
  </si>
  <si>
    <r>
      <t>e</t>
    </r>
    <r>
      <rPr>
        <vertAlign val="subscript"/>
        <sz val="12"/>
        <rFont val="Times New Roman"/>
        <family val="1"/>
      </rPr>
      <t>ng</t>
    </r>
    <r>
      <rPr>
        <sz val="12"/>
        <rFont val="Times New Roman"/>
        <family val="1"/>
      </rPr>
      <t xml:space="preserve"> =</t>
    </r>
  </si>
  <si>
    <r>
      <t>e</t>
    </r>
    <r>
      <rPr>
        <vertAlign val="subscript"/>
        <sz val="12"/>
        <rFont val="Times New Roman"/>
        <family val="1"/>
      </rPr>
      <t>01</t>
    </r>
    <r>
      <rPr>
        <sz val="12"/>
        <rFont val="Times New Roman"/>
        <family val="1"/>
      </rPr>
      <t xml:space="preserve"> =</t>
    </r>
  </si>
  <si>
    <r>
      <t xml:space="preserve"> e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= </t>
    </r>
  </si>
  <si>
    <r>
      <t>e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/h=</t>
    </r>
  </si>
  <si>
    <r>
      <t>(cm</t>
    </r>
    <r>
      <rPr>
        <vertAlign val="superscript"/>
        <sz val="12"/>
        <rFont val="Times New Roman"/>
        <family val="1"/>
      </rPr>
      <t>4</t>
    </r>
    <r>
      <rPr>
        <sz val="12"/>
        <rFont val="Times New Roman"/>
        <family val="1"/>
      </rPr>
      <t>)</t>
    </r>
  </si>
  <si>
    <r>
      <t>e = ηe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+h/2-a</t>
    </r>
  </si>
  <si>
    <r>
      <t>e' = /ηe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-h/2+a'/</t>
    </r>
  </si>
  <si>
    <r>
      <t>α</t>
    </r>
    <r>
      <rPr>
        <vertAlign val="subscript"/>
        <sz val="12"/>
        <rFont val="Times New Roman"/>
        <family val="1"/>
      </rPr>
      <t xml:space="preserve">0 </t>
    </r>
    <r>
      <rPr>
        <sz val="12"/>
        <rFont val="Times New Roman"/>
        <family val="1"/>
      </rPr>
      <t>h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=</t>
    </r>
  </si>
  <si>
    <r>
      <t>F</t>
    </r>
    <r>
      <rPr>
        <vertAlign val="subscript"/>
        <sz val="12"/>
        <rFont val="Times New Roman"/>
        <family val="1"/>
      </rPr>
      <t xml:space="preserve">tt </t>
    </r>
    <r>
      <rPr>
        <sz val="12"/>
        <rFont val="Times New Roman"/>
        <family val="1"/>
      </rPr>
      <t>= F'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 xml:space="preserve"> = </t>
    </r>
  </si>
  <si>
    <r>
      <t>e</t>
    </r>
    <r>
      <rPr>
        <vertAlign val="subscript"/>
        <sz val="12"/>
        <rFont val="Times New Roman"/>
        <family val="1"/>
      </rPr>
      <t>ogh</t>
    </r>
    <r>
      <rPr>
        <sz val="12"/>
        <rFont val="Times New Roman"/>
        <family val="1"/>
      </rPr>
      <t xml:space="preserve"> =</t>
    </r>
  </si>
  <si>
    <r>
      <t>e</t>
    </r>
    <r>
      <rPr>
        <vertAlign val="subscript"/>
        <sz val="12"/>
        <rFont val="Times New Roman"/>
        <family val="1"/>
      </rPr>
      <t>ogh</t>
    </r>
    <r>
      <rPr>
        <sz val="12"/>
        <rFont val="Times New Roman"/>
        <family val="1"/>
      </rPr>
      <t xml:space="preserve"> = 0.4(1.25h-αo ho)</t>
    </r>
  </si>
  <si>
    <r>
      <t>ηe</t>
    </r>
    <r>
      <rPr>
        <vertAlign val="subscript"/>
        <sz val="12"/>
        <rFont val="Times New Roman"/>
        <family val="1"/>
      </rPr>
      <t xml:space="preserve">o </t>
    </r>
    <r>
      <rPr>
        <sz val="12"/>
        <rFont val="Times New Roman"/>
        <family val="1"/>
      </rPr>
      <t>=</t>
    </r>
  </si>
  <si>
    <r>
      <t>0.2h</t>
    </r>
    <r>
      <rPr>
        <vertAlign val="subscript"/>
        <sz val="12"/>
        <rFont val="Times New Roman"/>
        <family val="1"/>
      </rPr>
      <t xml:space="preserve">o </t>
    </r>
    <r>
      <rPr>
        <sz val="12"/>
        <rFont val="Times New Roman"/>
        <family val="1"/>
      </rPr>
      <t>=</t>
    </r>
  </si>
  <si>
    <r>
      <t>F'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 xml:space="preserve"> =</t>
    </r>
  </si>
  <si>
    <r>
      <t>F'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 xml:space="preserve"> = F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 xml:space="preserve"> =</t>
    </r>
  </si>
  <si>
    <r>
      <t>F</t>
    </r>
    <r>
      <rPr>
        <vertAlign val="subscript"/>
        <sz val="12"/>
        <rFont val="Times New Roman"/>
        <family val="1"/>
      </rPr>
      <t>tt</t>
    </r>
    <r>
      <rPr>
        <sz val="12"/>
        <rFont val="Times New Roman"/>
        <family val="1"/>
      </rPr>
      <t xml:space="preserve"> =</t>
    </r>
  </si>
  <si>
    <r>
      <t>Q</t>
    </r>
    <r>
      <rPr>
        <vertAlign val="subscript"/>
        <sz val="12"/>
        <rFont val="Times New Roman"/>
        <family val="1"/>
      </rPr>
      <t>BT</t>
    </r>
    <r>
      <rPr>
        <sz val="12"/>
        <rFont val="Times New Roman"/>
        <family val="1"/>
      </rPr>
      <t xml:space="preserve"> &gt; Q</t>
    </r>
    <r>
      <rPr>
        <vertAlign val="subscript"/>
        <sz val="12"/>
        <rFont val="Times New Roman"/>
        <family val="1"/>
      </rPr>
      <t>max</t>
    </r>
  </si>
  <si>
    <r>
      <t>b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=</t>
    </r>
  </si>
  <si>
    <r>
      <t>b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</si>
  <si>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>a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=</t>
    </r>
  </si>
  <si>
    <r>
      <t>a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</si>
  <si>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>W</t>
    </r>
    <r>
      <rPr>
        <vertAlign val="subscript"/>
        <sz val="12"/>
        <rFont val="Times New Roman"/>
        <family val="1"/>
      </rPr>
      <t>x</t>
    </r>
    <r>
      <rPr>
        <sz val="12"/>
        <rFont val="Times New Roman"/>
        <family val="1"/>
      </rPr>
      <t xml:space="preserve"> =</t>
    </r>
  </si>
  <si>
    <r>
      <t>W</t>
    </r>
    <r>
      <rPr>
        <vertAlign val="subscript"/>
        <sz val="12"/>
        <rFont val="Times New Roman"/>
        <family val="1"/>
      </rPr>
      <t>y</t>
    </r>
    <r>
      <rPr>
        <sz val="12"/>
        <rFont val="Times New Roman"/>
        <family val="1"/>
      </rPr>
      <t xml:space="preserve"> =</t>
    </r>
  </si>
  <si>
    <r>
      <t>H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=</t>
    </r>
  </si>
  <si>
    <r>
      <t>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</si>
  <si>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>M</t>
    </r>
    <r>
      <rPr>
        <vertAlign val="subscript"/>
        <sz val="12"/>
        <rFont val="Times New Roman"/>
        <family val="1"/>
      </rPr>
      <t>dd</t>
    </r>
    <r>
      <rPr>
        <sz val="12"/>
        <rFont val="Times New Roman"/>
        <family val="1"/>
      </rPr>
      <t xml:space="preserve"> = </t>
    </r>
  </si>
  <si>
    <r>
      <t>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</si>
  <si>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>V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</si>
  <si>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 xml:space="preserve">Vị trí </t>
    </r>
    <r>
      <rPr>
        <b/>
        <i/>
        <sz val="12"/>
        <rFont val="Times New Roman"/>
        <family val="1"/>
      </rPr>
      <t>:</t>
    </r>
  </si>
  <si>
    <r>
      <t xml:space="preserve">  γ</t>
    </r>
    <r>
      <rPr>
        <vertAlign val="subscript"/>
        <sz val="12"/>
        <rFont val="Times New Roman"/>
        <family val="1"/>
      </rPr>
      <t>w</t>
    </r>
  </si>
  <si>
    <r>
      <t>ε</t>
    </r>
    <r>
      <rPr>
        <vertAlign val="subscript"/>
        <sz val="12"/>
        <rFont val="Times New Roman"/>
        <family val="1"/>
      </rPr>
      <t>0</t>
    </r>
  </si>
  <si>
    <r>
      <t xml:space="preserve">  γ</t>
    </r>
    <r>
      <rPr>
        <vertAlign val="subscript"/>
        <sz val="12"/>
        <rFont val="Times New Roman"/>
        <family val="1"/>
      </rPr>
      <t>đn</t>
    </r>
  </si>
  <si>
    <r>
      <t>R</t>
    </r>
    <r>
      <rPr>
        <vertAlign val="superscript"/>
        <sz val="12"/>
        <rFont val="Times New Roman"/>
        <family val="1"/>
      </rPr>
      <t xml:space="preserve">tc </t>
    </r>
    <r>
      <rPr>
        <sz val="12"/>
        <rFont val="Times New Roman"/>
        <family val="1"/>
      </rPr>
      <t>= m(A x b x γ</t>
    </r>
    <r>
      <rPr>
        <vertAlign val="subscript"/>
        <sz val="12"/>
        <rFont val="Times New Roman"/>
        <family val="1"/>
      </rPr>
      <t xml:space="preserve">dm </t>
    </r>
    <r>
      <rPr>
        <sz val="12"/>
        <rFont val="Times New Roman"/>
        <family val="1"/>
      </rPr>
      <t>+ B x h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x γ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+C x D)</t>
    </r>
  </si>
  <si>
    <r>
      <t>m=m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>.m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/k</t>
    </r>
    <r>
      <rPr>
        <vertAlign val="subscript"/>
        <sz val="12"/>
        <color theme="1"/>
        <rFont val="Times New Roman"/>
        <family val="1"/>
      </rPr>
      <t>tc=</t>
    </r>
  </si>
  <si>
    <r>
      <t>M</t>
    </r>
    <r>
      <rPr>
        <vertAlign val="subscript"/>
        <sz val="12"/>
        <rFont val="Times New Roman"/>
        <family val="1"/>
      </rPr>
      <t>x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= M</t>
    </r>
    <r>
      <rPr>
        <vertAlign val="subscript"/>
        <sz val="12"/>
        <rFont val="Times New Roman"/>
        <family val="1"/>
      </rPr>
      <t>ox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 + Q</t>
    </r>
    <r>
      <rPr>
        <vertAlign val="subscript"/>
        <sz val="12"/>
        <rFont val="Times New Roman"/>
        <family val="1"/>
      </rPr>
      <t>oy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x H =</t>
    </r>
  </si>
  <si>
    <r>
      <t>M</t>
    </r>
    <r>
      <rPr>
        <vertAlign val="subscript"/>
        <sz val="12"/>
        <rFont val="Times New Roman"/>
        <family val="1"/>
      </rPr>
      <t>y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= M</t>
    </r>
    <r>
      <rPr>
        <vertAlign val="subscript"/>
        <sz val="12"/>
        <rFont val="Times New Roman"/>
        <family val="1"/>
      </rPr>
      <t>oy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 + Q</t>
    </r>
    <r>
      <rPr>
        <vertAlign val="subscript"/>
        <sz val="12"/>
        <rFont val="Times New Roman"/>
        <family val="1"/>
      </rPr>
      <t>ox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x H =</t>
    </r>
  </si>
  <si>
    <r>
      <t>σ</t>
    </r>
    <r>
      <rPr>
        <vertAlign val="subscript"/>
        <sz val="12"/>
        <rFont val="Times New Roman"/>
        <family val="1"/>
      </rPr>
      <t xml:space="preserve">max </t>
    </r>
    <r>
      <rPr>
        <sz val="12"/>
        <rFont val="Times New Roman"/>
        <family val="1"/>
      </rPr>
      <t>=</t>
    </r>
  </si>
  <si>
    <r>
      <t>σ</t>
    </r>
    <r>
      <rPr>
        <vertAlign val="subscript"/>
        <sz val="12"/>
        <rFont val="Times New Roman"/>
        <family val="1"/>
      </rPr>
      <t xml:space="preserve">tb </t>
    </r>
    <r>
      <rPr>
        <sz val="12"/>
        <rFont val="Times New Roman"/>
        <family val="1"/>
      </rPr>
      <t>=</t>
    </r>
  </si>
  <si>
    <r>
      <t>σ</t>
    </r>
    <r>
      <rPr>
        <vertAlign val="subscript"/>
        <sz val="12"/>
        <rFont val="Times New Roman"/>
        <family val="1"/>
      </rPr>
      <t xml:space="preserve">min </t>
    </r>
    <r>
      <rPr>
        <sz val="12"/>
        <rFont val="Times New Roman"/>
        <family val="1"/>
      </rPr>
      <t>=</t>
    </r>
  </si>
  <si>
    <r>
      <t>b</t>
    </r>
    <r>
      <rPr>
        <vertAlign val="subscript"/>
        <sz val="12"/>
        <rFont val="Times New Roman"/>
        <family val="1"/>
      </rPr>
      <t>qu</t>
    </r>
    <r>
      <rPr>
        <sz val="12"/>
        <rFont val="Times New Roman"/>
        <family val="1"/>
      </rPr>
      <t xml:space="preserve"> =</t>
    </r>
  </si>
  <si>
    <r>
      <t>R</t>
    </r>
    <r>
      <rPr>
        <vertAlign val="superscript"/>
        <sz val="12"/>
        <rFont val="Times New Roman"/>
        <family val="1"/>
      </rPr>
      <t xml:space="preserve">tc </t>
    </r>
    <r>
      <rPr>
        <sz val="12"/>
        <rFont val="Times New Roman"/>
        <family val="1"/>
      </rPr>
      <t>= m(A x bqu x γ</t>
    </r>
    <r>
      <rPr>
        <vertAlign val="subscript"/>
        <sz val="12"/>
        <rFont val="Times New Roman"/>
        <family val="1"/>
      </rPr>
      <t xml:space="preserve">dm </t>
    </r>
    <r>
      <rPr>
        <sz val="12"/>
        <rFont val="Times New Roman"/>
        <family val="1"/>
      </rPr>
      <t>+ B x hy x γ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+C x D)</t>
    </r>
  </si>
  <si>
    <r>
      <t>M</t>
    </r>
    <r>
      <rPr>
        <vertAlign val="subscript"/>
        <sz val="12"/>
        <rFont val="Times New Roman"/>
        <family val="1"/>
      </rPr>
      <t>x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= M</t>
    </r>
    <r>
      <rPr>
        <vertAlign val="subscript"/>
        <sz val="12"/>
        <rFont val="Times New Roman"/>
        <family val="1"/>
      </rPr>
      <t>ox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 + Q</t>
    </r>
    <r>
      <rPr>
        <vertAlign val="subscript"/>
        <sz val="12"/>
        <rFont val="Times New Roman"/>
        <family val="1"/>
      </rPr>
      <t>oy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x H  =</t>
    </r>
  </si>
  <si>
    <r>
      <t>M</t>
    </r>
    <r>
      <rPr>
        <vertAlign val="subscript"/>
        <sz val="12"/>
        <rFont val="Times New Roman"/>
        <family val="1"/>
      </rPr>
      <t>y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= M</t>
    </r>
    <r>
      <rPr>
        <vertAlign val="subscript"/>
        <sz val="12"/>
        <rFont val="Times New Roman"/>
        <family val="1"/>
      </rPr>
      <t>oy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 + Q</t>
    </r>
    <r>
      <rPr>
        <vertAlign val="subscript"/>
        <sz val="12"/>
        <rFont val="Times New Roman"/>
        <family val="1"/>
      </rPr>
      <t>ox</t>
    </r>
    <r>
      <rPr>
        <vertAlign val="superscript"/>
        <sz val="12"/>
        <rFont val="Times New Roman"/>
        <family val="1"/>
      </rPr>
      <t>tc</t>
    </r>
    <r>
      <rPr>
        <sz val="12"/>
        <rFont val="Times New Roman"/>
        <family val="1"/>
      </rPr>
      <t xml:space="preserve"> x H  =</t>
    </r>
  </si>
  <si>
    <r>
      <t>σ</t>
    </r>
    <r>
      <rPr>
        <vertAlign val="subscript"/>
        <sz val="12"/>
        <rFont val="Times New Roman"/>
        <family val="1"/>
      </rPr>
      <t>o</t>
    </r>
    <r>
      <rPr>
        <sz val="12"/>
        <rFont val="Times New Roman"/>
        <family val="1"/>
      </rPr>
      <t xml:space="preserve"> =σ</t>
    </r>
    <r>
      <rPr>
        <vertAlign val="subscript"/>
        <sz val="12"/>
        <rFont val="Times New Roman"/>
        <family val="1"/>
      </rPr>
      <t>tb</t>
    </r>
    <r>
      <rPr>
        <sz val="12"/>
        <rFont val="Times New Roman"/>
        <family val="1"/>
      </rPr>
      <t>-γ x h =</t>
    </r>
  </si>
  <si>
    <r>
      <t>σ</t>
    </r>
    <r>
      <rPr>
        <vertAlign val="subscript"/>
        <sz val="12"/>
        <rFont val="Times New Roman"/>
        <family val="1"/>
      </rPr>
      <t>o</t>
    </r>
    <r>
      <rPr>
        <sz val="12"/>
        <rFont val="Times New Roman"/>
        <family val="1"/>
      </rPr>
      <t xml:space="preserve"> = </t>
    </r>
  </si>
  <si>
    <r>
      <t>Chiều sâu hết ảnh hưởng lún khi σ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≤ 0.2 </t>
    </r>
    <r>
      <rPr>
        <sz val="12"/>
        <rFont val="Arial"/>
        <family val="2"/>
      </rPr>
      <t>Σ</t>
    </r>
    <r>
      <rPr>
        <sz val="12"/>
        <rFont val="Times New Roman"/>
        <family val="1"/>
      </rPr>
      <t xml:space="preserve"> γ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x h</t>
    </r>
    <r>
      <rPr>
        <vertAlign val="subscript"/>
        <sz val="12"/>
        <rFont val="Times New Roman"/>
        <family val="1"/>
      </rPr>
      <t>i</t>
    </r>
  </si>
  <si>
    <r>
      <t>E</t>
    </r>
    <r>
      <rPr>
        <vertAlign val="subscript"/>
        <sz val="12"/>
        <rFont val="Times New Roman"/>
        <family val="1"/>
      </rPr>
      <t xml:space="preserve">i </t>
    </r>
    <r>
      <rPr>
        <sz val="12"/>
        <rFont val="Times New Roman"/>
        <family val="1"/>
      </rPr>
      <t>(T/m2)</t>
    </r>
  </si>
  <si>
    <r>
      <t>σ</t>
    </r>
    <r>
      <rPr>
        <vertAlign val="subscript"/>
        <sz val="12"/>
        <rFont val="Times New Roman"/>
        <family val="1"/>
      </rPr>
      <t xml:space="preserve">i </t>
    </r>
    <r>
      <rPr>
        <sz val="12"/>
        <rFont val="Times New Roman"/>
        <family val="1"/>
      </rPr>
      <t>= Kxσ</t>
    </r>
    <r>
      <rPr>
        <vertAlign val="subscript"/>
        <sz val="12"/>
        <rFont val="Times New Roman"/>
        <family val="1"/>
      </rPr>
      <t xml:space="preserve">o </t>
    </r>
    <r>
      <rPr>
        <sz val="12"/>
        <rFont val="Times New Roman"/>
        <family val="1"/>
      </rPr>
      <t>(T/m²)</t>
    </r>
  </si>
  <si>
    <r>
      <t>∑ γ</t>
    </r>
    <r>
      <rPr>
        <vertAlign val="subscript"/>
        <sz val="12"/>
        <rFont val="Times New Roman"/>
        <family val="1"/>
      </rPr>
      <t xml:space="preserve">i </t>
    </r>
    <r>
      <rPr>
        <sz val="12"/>
        <rFont val="Times New Roman"/>
        <family val="1"/>
      </rPr>
      <t>x h</t>
    </r>
    <r>
      <rPr>
        <vertAlign val="subscript"/>
        <sz val="12"/>
        <rFont val="Times New Roman"/>
        <family val="1"/>
      </rPr>
      <t xml:space="preserve">i </t>
    </r>
    <r>
      <rPr>
        <sz val="12"/>
        <rFont val="Times New Roman"/>
        <family val="1"/>
      </rPr>
      <t>(T/m²)</t>
    </r>
  </si>
  <si>
    <r>
      <t>s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
(mm)</t>
    </r>
  </si>
  <si>
    <r>
      <rPr>
        <sz val="12"/>
        <rFont val="Symbol"/>
        <family val="1"/>
        <charset val="2"/>
      </rPr>
      <t>s</t>
    </r>
    <r>
      <rPr>
        <vertAlign val="subscript"/>
        <sz val="12"/>
        <rFont val="Times New Roman"/>
        <family val="1"/>
      </rPr>
      <t xml:space="preserve">bt </t>
    </r>
    <r>
      <rPr>
        <sz val="12"/>
        <rFont val="Times New Roman"/>
        <family val="1"/>
      </rPr>
      <t xml:space="preserve">/ </t>
    </r>
    <r>
      <rPr>
        <sz val="12"/>
        <rFont val="Symbol"/>
        <family val="1"/>
        <charset val="2"/>
      </rPr>
      <t>s</t>
    </r>
    <r>
      <rPr>
        <vertAlign val="subscript"/>
        <sz val="12"/>
        <rFont val="Times New Roman"/>
        <family val="1"/>
      </rPr>
      <t>gl</t>
    </r>
    <r>
      <rPr>
        <sz val="12"/>
        <rFont val="Times New Roman"/>
        <family val="1"/>
      </rPr>
      <t xml:space="preserve">  &gt;</t>
    </r>
  </si>
  <si>
    <r>
      <t>σ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= </t>
    </r>
  </si>
  <si>
    <r>
      <t>&lt; 0.1xΣ γ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x h</t>
    </r>
    <r>
      <rPr>
        <vertAlign val="subscript"/>
        <sz val="12"/>
        <rFont val="Times New Roman"/>
        <family val="1"/>
      </rPr>
      <t xml:space="preserve">i  </t>
    </r>
    <r>
      <rPr>
        <sz val="12"/>
        <rFont val="Times New Roman"/>
        <family val="1"/>
      </rPr>
      <t>=</t>
    </r>
  </si>
  <si>
    <r>
      <t>Môdun biến dạng trung bình  E</t>
    </r>
    <r>
      <rPr>
        <vertAlign val="subscript"/>
        <sz val="12"/>
        <rFont val="Times New Roman"/>
        <family val="1"/>
      </rPr>
      <t>tb</t>
    </r>
  </si>
  <si>
    <r>
      <t>E</t>
    </r>
    <r>
      <rPr>
        <vertAlign val="subscript"/>
        <sz val="12"/>
        <rFont val="Times New Roman"/>
        <family val="1"/>
      </rPr>
      <t>tb</t>
    </r>
    <r>
      <rPr>
        <sz val="12"/>
        <rFont val="Times New Roman"/>
        <family val="1"/>
      </rPr>
      <t xml:space="preserve"> =</t>
    </r>
  </si>
  <si>
    <r>
      <t>tgθ</t>
    </r>
    <r>
      <rPr>
        <vertAlign val="subscript"/>
        <sz val="12"/>
        <rFont val="Times New Roman"/>
        <family val="1"/>
      </rPr>
      <t>x</t>
    </r>
    <r>
      <rPr>
        <sz val="12"/>
        <rFont val="Times New Roman"/>
        <family val="1"/>
      </rPr>
      <t xml:space="preserve"> = </t>
    </r>
  </si>
  <si>
    <r>
      <t>K</t>
    </r>
    <r>
      <rPr>
        <vertAlign val="subscript"/>
        <sz val="11"/>
        <rFont val="Times New Roman"/>
        <family val="1"/>
      </rPr>
      <t>x</t>
    </r>
    <r>
      <rPr>
        <sz val="11"/>
        <rFont val="Times New Roman"/>
        <family val="1"/>
      </rPr>
      <t>(1-µ</t>
    </r>
    <r>
      <rPr>
        <vertAlign val="subscript"/>
        <sz val="11"/>
        <rFont val="Times New Roman"/>
        <family val="1"/>
      </rPr>
      <t>tb</t>
    </r>
    <r>
      <rPr>
        <sz val="11"/>
        <rFont val="Times New Roman"/>
        <family val="1"/>
      </rPr>
      <t>²)M</t>
    </r>
    <r>
      <rPr>
        <vertAlign val="subscript"/>
        <sz val="11"/>
        <rFont val="Times New Roman"/>
        <family val="1"/>
      </rPr>
      <t>y</t>
    </r>
    <r>
      <rPr>
        <vertAlign val="superscript"/>
        <sz val="11"/>
        <rFont val="Times New Roman"/>
        <family val="1"/>
      </rPr>
      <t>tc</t>
    </r>
  </si>
  <si>
    <r>
      <t>E</t>
    </r>
    <r>
      <rPr>
        <vertAlign val="subscript"/>
        <sz val="11"/>
        <rFont val="Times New Roman"/>
        <family val="1"/>
      </rPr>
      <t>tb</t>
    </r>
    <r>
      <rPr>
        <sz val="11"/>
        <rFont val="Times New Roman"/>
        <family val="1"/>
      </rPr>
      <t>(B/2)³</t>
    </r>
  </si>
  <si>
    <r>
      <t>=&gt; P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=</t>
    </r>
  </si>
  <si>
    <r>
      <t>=&gt; P</t>
    </r>
    <r>
      <rPr>
        <vertAlign val="subscript"/>
        <sz val="12"/>
        <rFont val="Times New Roman"/>
        <family val="1"/>
      </rPr>
      <t>p</t>
    </r>
    <r>
      <rPr>
        <sz val="12"/>
        <rFont val="Times New Roman"/>
        <family val="1"/>
      </rPr>
      <t xml:space="preserve"> =</t>
    </r>
  </si>
  <si>
    <r>
      <t>T= Q</t>
    </r>
    <r>
      <rPr>
        <vertAlign val="subscript"/>
        <sz val="12"/>
        <rFont val="Times New Roman"/>
        <family val="1"/>
      </rPr>
      <t>x</t>
    </r>
    <r>
      <rPr>
        <sz val="12"/>
        <rFont val="Times New Roman"/>
        <family val="1"/>
      </rPr>
      <t>+P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>=</t>
    </r>
  </si>
  <si>
    <r>
      <t>N</t>
    </r>
    <r>
      <rPr>
        <vertAlign val="superscript"/>
        <sz val="12"/>
        <color theme="1"/>
        <rFont val="Times New Roman"/>
        <family val="1"/>
      </rPr>
      <t>tt</t>
    </r>
    <r>
      <rPr>
        <sz val="12"/>
        <color theme="1"/>
        <rFont val="Times New Roman"/>
        <family val="1"/>
      </rPr>
      <t>: Tổng tải trọng thẳng đứng tác dụng tại đáy</t>
    </r>
  </si>
  <si>
    <r>
      <t>n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: hệ số vượt tải của tải trọng thằng đứng(n&lt;1), Chọn n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=0.9</t>
    </r>
  </si>
  <si>
    <t xml:space="preserve">Điều kiện k = </t>
  </si>
  <si>
    <t>M nhip</t>
  </si>
  <si>
    <t>Chú ý: có Ao hay ko, nếu có ghi Ao vào ô V3, Không có thì xóa ô V3 đi</t>
  </si>
  <si>
    <t>h=h1+h2+h3=</t>
  </si>
  <si>
    <t>Cách đáy móng</t>
  </si>
  <si>
    <t>MÃ DỰ ÁN:</t>
  </si>
  <si>
    <t>Luôn kiểm tra mã dự án</t>
  </si>
  <si>
    <t>Mở rộng đáy b</t>
  </si>
  <si>
    <t>Khoảng bố trí thép theo tim cột</t>
  </si>
  <si>
    <t>Khoảng bố trí theo vùng ngoài tim cột</t>
  </si>
  <si>
    <t>Dự trù KL Thép</t>
  </si>
  <si>
    <t>%</t>
  </si>
  <si>
    <t>GIAI ĐOẠN TK</t>
  </si>
  <si>
    <t>Chú ý chọn giai đoạn TK vì liên quan đến khối lượng</t>
  </si>
  <si>
    <t>Chú ý: Khi khối lượng thép dầm &gt;=10 thì nên chọn số lượng thép dầm là số chẵn ( 10,12,14,16…)</t>
  </si>
  <si>
    <t>Vị trí áp dụng</t>
  </si>
  <si>
    <t>Nếu cột đỡ thì nhân hệ số 0,2 cột néo nhân hệ số 0,5</t>
  </si>
  <si>
    <t>giá trị tính toán thường xuyên TC khi nhân hs</t>
  </si>
  <si>
    <t>Lớp BTBV</t>
  </si>
  <si>
    <t>Đáy móng</t>
  </si>
  <si>
    <t>Còn lại</t>
  </si>
  <si>
    <t>Bùn sét màu xám nâu- trạng thái chảy</t>
  </si>
  <si>
    <t>B: Chiều rộng móng</t>
  </si>
  <si>
    <t>L:Chiều dài móng</t>
  </si>
  <si>
    <t>Lớp 1</t>
  </si>
  <si>
    <t>Sét màu xám nâu, dẻo mềm.</t>
  </si>
  <si>
    <t>Bùn sét lẫn ít cát mịn màu xám đen, xám nâu, trạng thái nhão.</t>
  </si>
  <si>
    <t>Lớp 3</t>
  </si>
  <si>
    <t>G1</t>
  </si>
  <si>
    <t>TKBVTC</t>
  </si>
  <si>
    <r>
      <t>M =  P</t>
    </r>
    <r>
      <rPr>
        <vertAlign val="subscript"/>
        <sz val="12"/>
        <rFont val="Times New Roman"/>
        <family val="1"/>
      </rPr>
      <t>tb</t>
    </r>
    <r>
      <rPr>
        <sz val="12"/>
        <rFont val="Times New Roman"/>
        <family val="1"/>
      </rPr>
      <t>l²/2</t>
    </r>
  </si>
  <si>
    <r>
      <t>M</t>
    </r>
    <r>
      <rPr>
        <vertAlign val="subscript"/>
        <sz val="11.5"/>
        <rFont val="Times New Roman"/>
        <family val="1"/>
      </rPr>
      <t>y</t>
    </r>
    <r>
      <rPr>
        <vertAlign val="superscript"/>
        <sz val="11.5"/>
        <rFont val="Times New Roman"/>
        <family val="1"/>
      </rPr>
      <t xml:space="preserve">tc </t>
    </r>
    <r>
      <rPr>
        <sz val="11.5"/>
        <rFont val="Times New Roman"/>
        <family val="1"/>
      </rPr>
      <t>= M</t>
    </r>
    <r>
      <rPr>
        <vertAlign val="subscript"/>
        <sz val="11.5"/>
        <rFont val="Times New Roman"/>
        <family val="1"/>
      </rPr>
      <t>oy</t>
    </r>
    <r>
      <rPr>
        <vertAlign val="superscript"/>
        <sz val="11.5"/>
        <rFont val="Times New Roman"/>
        <family val="1"/>
      </rPr>
      <t xml:space="preserve">tc </t>
    </r>
    <r>
      <rPr>
        <sz val="11.5"/>
        <rFont val="Times New Roman"/>
        <family val="1"/>
      </rPr>
      <t>+ Q</t>
    </r>
    <r>
      <rPr>
        <vertAlign val="subscript"/>
        <sz val="11.5"/>
        <rFont val="Times New Roman"/>
        <family val="1"/>
      </rPr>
      <t>ox</t>
    </r>
    <r>
      <rPr>
        <vertAlign val="superscript"/>
        <sz val="11.5"/>
        <rFont val="Times New Roman"/>
        <family val="1"/>
      </rPr>
      <t xml:space="preserve">tc </t>
    </r>
    <r>
      <rPr>
        <sz val="11.5"/>
        <rFont val="Times New Roman"/>
        <family val="1"/>
      </rPr>
      <t>x H - Mđđ =</t>
    </r>
  </si>
  <si>
    <t>&lt; 1.2Rtc =</t>
  </si>
  <si>
    <t>f: hệ số ma sát giữa đất và nền phụ thuộc vào độ nhám của đáy móng và loại đất,</t>
  </si>
  <si>
    <t>Q=</t>
  </si>
  <si>
    <r>
      <t>I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 xml:space="preserve"> = </t>
    </r>
  </si>
  <si>
    <r>
      <t>I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 xml:space="preserve"> =  µbho(0.5h-a)²</t>
    </r>
  </si>
  <si>
    <r>
      <t xml:space="preserve"> k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 xml:space="preserve"> =</t>
    </r>
  </si>
  <si>
    <t xml:space="preserve">I = </t>
  </si>
  <si>
    <t>I =  bh³/12</t>
  </si>
  <si>
    <r>
      <t>j</t>
    </r>
    <r>
      <rPr>
        <vertAlign val="subscript"/>
        <sz val="12"/>
        <rFont val="Times New Roman"/>
        <family val="1"/>
      </rPr>
      <t>L</t>
    </r>
    <r>
      <rPr>
        <sz val="12"/>
        <rFont val="Times New Roman"/>
        <family val="1"/>
      </rPr>
      <t>=1+M</t>
    </r>
    <r>
      <rPr>
        <vertAlign val="subscript"/>
        <sz val="12"/>
        <rFont val="Times New Roman"/>
        <family val="1"/>
      </rPr>
      <t>L1</t>
    </r>
    <r>
      <rPr>
        <sz val="12"/>
        <rFont val="Times New Roman"/>
        <family val="1"/>
      </rPr>
      <t>/M</t>
    </r>
    <r>
      <rPr>
        <vertAlign val="subscript"/>
        <sz val="12"/>
        <rFont val="Times New Roman"/>
        <family val="1"/>
      </rPr>
      <t xml:space="preserve">L </t>
    </r>
    <r>
      <rPr>
        <sz val="12"/>
        <rFont val="Times New Roman"/>
        <family val="1"/>
      </rPr>
      <t>=</t>
    </r>
  </si>
  <si>
    <r>
      <t>E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 xml:space="preserve"> =</t>
    </r>
  </si>
  <si>
    <r>
      <t>k</t>
    </r>
    <r>
      <rPr>
        <vertAlign val="subscript"/>
        <sz val="12"/>
        <rFont val="Times New Roman"/>
        <family val="1"/>
      </rPr>
      <t>b</t>
    </r>
    <r>
      <rPr>
        <sz val="12"/>
        <rFont val="Times New Roman"/>
        <family val="1"/>
      </rPr>
      <t>=0.15/(</t>
    </r>
    <r>
      <rPr>
        <sz val="12"/>
        <rFont val="Symbol"/>
        <family val="1"/>
        <charset val="2"/>
      </rPr>
      <t>j</t>
    </r>
    <r>
      <rPr>
        <sz val="12"/>
        <rFont val="Times New Roman"/>
        <family val="1"/>
      </rPr>
      <t>L.(0.3+ẟe))=</t>
    </r>
  </si>
  <si>
    <r>
      <t>E</t>
    </r>
    <r>
      <rPr>
        <vertAlign val="subscript"/>
        <sz val="12"/>
        <rFont val="Times New Roman"/>
        <family val="1"/>
      </rPr>
      <t>b</t>
    </r>
    <r>
      <rPr>
        <sz val="12"/>
        <rFont val="Times New Roman"/>
        <family val="1"/>
      </rPr>
      <t xml:space="preserve"> =</t>
    </r>
  </si>
  <si>
    <r>
      <t>D = k</t>
    </r>
    <r>
      <rPr>
        <vertAlign val="subscript"/>
        <sz val="12"/>
        <rFont val="Times New Roman"/>
        <family val="1"/>
      </rPr>
      <t>b</t>
    </r>
    <r>
      <rPr>
        <sz val="12"/>
        <rFont val="Times New Roman"/>
        <family val="1"/>
      </rPr>
      <t>E</t>
    </r>
    <r>
      <rPr>
        <vertAlign val="subscript"/>
        <sz val="12"/>
        <rFont val="Times New Roman"/>
        <family val="1"/>
      </rPr>
      <t>b</t>
    </r>
    <r>
      <rPr>
        <sz val="12"/>
        <rFont val="Times New Roman"/>
        <family val="1"/>
      </rPr>
      <t>I + k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E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I</t>
    </r>
    <r>
      <rPr>
        <vertAlign val="subscript"/>
        <sz val="12"/>
        <rFont val="Times New Roman"/>
        <family val="1"/>
      </rPr>
      <t xml:space="preserve">s </t>
    </r>
    <r>
      <rPr>
        <sz val="12"/>
        <rFont val="Times New Roman"/>
        <family val="1"/>
      </rPr>
      <t>=</t>
    </r>
  </si>
  <si>
    <t>(T.m²)</t>
  </si>
  <si>
    <r>
      <t>N</t>
    </r>
    <r>
      <rPr>
        <vertAlign val="subscript"/>
        <sz val="12"/>
        <rFont val="Times New Roman"/>
        <family val="1"/>
      </rPr>
      <t>cr</t>
    </r>
    <r>
      <rPr>
        <sz val="12"/>
        <rFont val="Times New Roman"/>
        <family val="1"/>
      </rPr>
      <t>=π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.D/L</t>
    </r>
    <r>
      <rPr>
        <vertAlign val="subscript"/>
        <sz val="12"/>
        <rFont val="Times New Roman"/>
        <family val="1"/>
      </rPr>
      <t>o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=</t>
    </r>
  </si>
  <si>
    <r>
      <t>η = 1/(1-N/N</t>
    </r>
    <r>
      <rPr>
        <vertAlign val="subscript"/>
        <sz val="12"/>
        <rFont val="Times New Roman"/>
        <family val="1"/>
      </rPr>
      <t>cr</t>
    </r>
    <r>
      <rPr>
        <sz val="12"/>
        <rFont val="Times New Roman"/>
        <family val="1"/>
      </rPr>
      <t>)</t>
    </r>
  </si>
  <si>
    <t>Khối lượng 1m dài cốt thép</t>
  </si>
  <si>
    <t>Đường kính</t>
  </si>
  <si>
    <t>Khối lượng (kg/m)</t>
  </si>
  <si>
    <t>Dài</t>
  </si>
  <si>
    <t>Thép móng</t>
  </si>
  <si>
    <t>ô 4 cạnh ngàm</t>
  </si>
  <si>
    <t>Rộng</t>
  </si>
  <si>
    <t>Lỗ mở</t>
  </si>
  <si>
    <t>ô 2 cạnh ngàm</t>
  </si>
  <si>
    <t>Dày</t>
  </si>
  <si>
    <t>Thép dầm</t>
  </si>
  <si>
    <t>Dầm</t>
  </si>
  <si>
    <t xml:space="preserve">Rộng </t>
  </si>
  <si>
    <t>Thép cổ</t>
  </si>
  <si>
    <t>Cao</t>
  </si>
  <si>
    <t>Chân cột</t>
  </si>
  <si>
    <t>BẢNG THỐNG KÊ THÉP</t>
  </si>
  <si>
    <t>HÌNH DÁNG - KÍCH THƯỚC</t>
  </si>
  <si>
    <t>TỔNG KHỐI LƯỢNG (kg)</t>
  </si>
  <si>
    <t>T.HỢP KHỐI LƯỢNG THÉP CHO 01 MÓNG</t>
  </si>
  <si>
    <t>K.LƯỢNG T.CỘNG
(kg)</t>
  </si>
  <si>
    <t>Số lượng thanh thép</t>
  </si>
  <si>
    <t>A1 =</t>
  </si>
  <si>
    <t>A2 =</t>
  </si>
  <si>
    <t>B1 =</t>
  </si>
  <si>
    <t>B2 =</t>
  </si>
  <si>
    <t>C =</t>
  </si>
  <si>
    <t>dam</t>
  </si>
  <si>
    <t>Kích thước móng</t>
  </si>
  <si>
    <t>L ( tim móng)  =</t>
  </si>
  <si>
    <t>X =</t>
  </si>
  <si>
    <t>Y=</t>
  </si>
  <si>
    <t>KG</t>
  </si>
  <si>
    <t>X1 =</t>
  </si>
  <si>
    <t>Y1 =</t>
  </si>
  <si>
    <t>H (chiều cao toàn móng) =</t>
  </si>
  <si>
    <t>BẢNG TỔNG KÊ KHỐI LƯỢNG CHO 01 VỊ TRÍ MÓNG</t>
  </si>
  <si>
    <r>
      <t>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</si>
  <si>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B7.5(m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</si>
  <si>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TỔNG K.LƯỢNG THÉP(kg)</t>
  </si>
  <si>
    <r>
      <t>K.LƯỢNG ĐỆM CÁT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</si>
  <si>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DIỆN TÍCH VẢI ĐỊA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</si>
  <si>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BULONG NEO</t>
  </si>
  <si>
    <t>Đào đất (m³)</t>
  </si>
  <si>
    <t>Đắp đất(m³)</t>
  </si>
  <si>
    <t>Ván khuôn (m²)</t>
  </si>
  <si>
    <t>Rộng đền bù (m)</t>
  </si>
  <si>
    <t>Dài đền bù (m)</t>
  </si>
  <si>
    <t>Diện đền bù (m)</t>
  </si>
  <si>
    <t>Chiều sâu hố đào (m)</t>
  </si>
  <si>
    <t>Vị trí</t>
  </si>
  <si>
    <t>Cột</t>
  </si>
  <si>
    <t>Bề rộng chân cột H (m)</t>
  </si>
  <si>
    <t>Móng</t>
  </si>
  <si>
    <r>
      <t>Bề rộng móng B</t>
    </r>
    <r>
      <rPr>
        <b/>
        <vertAlign val="subscript"/>
        <sz val="12"/>
        <color indexed="8"/>
        <rFont val="Times New Roman"/>
        <family val="1"/>
      </rPr>
      <t>m</t>
    </r>
    <r>
      <rPr>
        <b/>
        <sz val="12"/>
        <color indexed="8"/>
        <rFont val="Times New Roman"/>
        <family val="1"/>
      </rPr>
      <t xml:space="preserve"> (m)</t>
    </r>
  </si>
  <si>
    <r>
      <t>Bề dài móng A</t>
    </r>
    <r>
      <rPr>
        <b/>
        <vertAlign val="subscript"/>
        <sz val="12"/>
        <color indexed="8"/>
        <rFont val="Times New Roman"/>
        <family val="1"/>
      </rPr>
      <t>m</t>
    </r>
    <r>
      <rPr>
        <b/>
        <sz val="12"/>
        <color indexed="8"/>
        <rFont val="Times New Roman"/>
        <family val="1"/>
      </rPr>
      <t xml:space="preserve"> (m)</t>
    </r>
  </si>
  <si>
    <r>
      <t>Bề dày bản móng B</t>
    </r>
    <r>
      <rPr>
        <b/>
        <vertAlign val="subscript"/>
        <sz val="12"/>
        <color indexed="8"/>
        <rFont val="Times New Roman"/>
        <family val="1"/>
      </rPr>
      <t>bm</t>
    </r>
    <r>
      <rPr>
        <b/>
        <sz val="12"/>
        <color indexed="8"/>
        <rFont val="Times New Roman"/>
        <family val="1"/>
      </rPr>
      <t xml:space="preserve"> (m)</t>
    </r>
  </si>
  <si>
    <r>
      <t>Kích thước trụ móng b</t>
    </r>
    <r>
      <rPr>
        <b/>
        <vertAlign val="subscript"/>
        <sz val="12"/>
        <color indexed="8"/>
        <rFont val="Times New Roman"/>
        <family val="1"/>
      </rPr>
      <t>t</t>
    </r>
    <r>
      <rPr>
        <b/>
        <sz val="12"/>
        <color indexed="8"/>
        <rFont val="Times New Roman"/>
        <family val="1"/>
      </rPr>
      <t xml:space="preserve"> (m)</t>
    </r>
  </si>
  <si>
    <r>
      <t>Chiều cao trụ móng h</t>
    </r>
    <r>
      <rPr>
        <b/>
        <vertAlign val="subscript"/>
        <sz val="12"/>
        <color indexed="8"/>
        <rFont val="Times New Roman"/>
        <family val="1"/>
      </rPr>
      <t>t</t>
    </r>
    <r>
      <rPr>
        <b/>
        <sz val="12"/>
        <color indexed="8"/>
        <rFont val="Times New Roman"/>
        <family val="1"/>
      </rPr>
      <t xml:space="preserve"> (m)</t>
    </r>
  </si>
  <si>
    <r>
      <t>Bề rộng dầm móng b</t>
    </r>
    <r>
      <rPr>
        <b/>
        <vertAlign val="subscript"/>
        <sz val="12"/>
        <color indexed="8"/>
        <rFont val="Times New Roman"/>
        <family val="1"/>
      </rPr>
      <t>d</t>
    </r>
    <r>
      <rPr>
        <b/>
        <sz val="12"/>
        <color indexed="8"/>
        <rFont val="Times New Roman"/>
        <family val="1"/>
      </rPr>
      <t xml:space="preserve"> (m)</t>
    </r>
  </si>
  <si>
    <r>
      <t>Chiều cao dầm móng h</t>
    </r>
    <r>
      <rPr>
        <b/>
        <vertAlign val="subscript"/>
        <sz val="12"/>
        <color indexed="8"/>
        <rFont val="Times New Roman"/>
        <family val="1"/>
      </rPr>
      <t>d</t>
    </r>
    <r>
      <rPr>
        <b/>
        <sz val="12"/>
        <color indexed="8"/>
        <rFont val="Times New Roman"/>
        <family val="1"/>
      </rPr>
      <t xml:space="preserve"> (m)</t>
    </r>
  </si>
  <si>
    <t>Bề rộng lỗ thoát nước b (m)</t>
  </si>
  <si>
    <r>
      <t>Chiều cao toàn phần móng H</t>
    </r>
    <r>
      <rPr>
        <b/>
        <vertAlign val="subscript"/>
        <sz val="12"/>
        <color indexed="8"/>
        <rFont val="Times New Roman"/>
        <family val="1"/>
      </rPr>
      <t>m</t>
    </r>
    <r>
      <rPr>
        <b/>
        <sz val="12"/>
        <color indexed="8"/>
        <rFont val="Times New Roman"/>
        <family val="1"/>
      </rPr>
      <t xml:space="preserve"> (m)</t>
    </r>
  </si>
  <si>
    <r>
      <t>Chiều sâu chôn móng H</t>
    </r>
    <r>
      <rPr>
        <b/>
        <vertAlign val="subscript"/>
        <sz val="12"/>
        <color indexed="8"/>
        <rFont val="Times New Roman"/>
        <family val="1"/>
      </rPr>
      <t>cm</t>
    </r>
    <r>
      <rPr>
        <b/>
        <sz val="12"/>
        <color indexed="8"/>
        <rFont val="Times New Roman"/>
        <family val="1"/>
      </rPr>
      <t xml:space="preserve"> (m)</t>
    </r>
  </si>
  <si>
    <t>Vát dầm (m)</t>
  </si>
  <si>
    <r>
      <t>Chiều cao cổ móng trên mặt đất</t>
    </r>
    <r>
      <rPr>
        <b/>
        <sz val="12"/>
        <color indexed="8"/>
        <rFont val="Times New Roman"/>
        <family val="1"/>
      </rPr>
      <t xml:space="preserve"> (m)</t>
    </r>
  </si>
  <si>
    <r>
      <t>Thể tích cổ móng trên mặt đất</t>
    </r>
    <r>
      <rPr>
        <b/>
        <sz val="12"/>
        <color indexed="8"/>
        <rFont val="Times New Roman"/>
        <family val="1"/>
      </rPr>
      <t xml:space="preserve"> (m)</t>
    </r>
  </si>
  <si>
    <t>Chiều sâu đến đáy HỐ MÓNG (m)</t>
  </si>
  <si>
    <r>
      <t>Thể tích bê tông móng (m</t>
    </r>
    <r>
      <rPr>
        <b/>
        <vertAlign val="superscript"/>
        <sz val="12"/>
        <color indexed="8"/>
        <rFont val="Times New Roman"/>
        <family val="1"/>
      </rPr>
      <t>3</t>
    </r>
    <r>
      <rPr>
        <b/>
        <sz val="12"/>
        <color indexed="8"/>
        <rFont val="Times New Roman"/>
        <family val="1"/>
      </rPr>
      <t>)</t>
    </r>
  </si>
  <si>
    <r>
      <t>Thể tích bê tông lót móng (m</t>
    </r>
    <r>
      <rPr>
        <b/>
        <vertAlign val="superscript"/>
        <sz val="12"/>
        <color indexed="8"/>
        <rFont val="Times New Roman"/>
        <family val="1"/>
      </rPr>
      <t>3</t>
    </r>
    <r>
      <rPr>
        <b/>
        <sz val="12"/>
        <color indexed="8"/>
        <rFont val="Times New Roman"/>
        <family val="1"/>
      </rPr>
      <t>)</t>
    </r>
  </si>
  <si>
    <t>A1 (m)</t>
  </si>
  <si>
    <t>A2 (m)</t>
  </si>
  <si>
    <t>B1 (m)</t>
  </si>
  <si>
    <t>B2 (m)</t>
  </si>
  <si>
    <t>C1 (m)</t>
  </si>
  <si>
    <t>C2 (m)</t>
  </si>
  <si>
    <r>
      <t>Đào đất (m</t>
    </r>
    <r>
      <rPr>
        <b/>
        <vertAlign val="superscript"/>
        <sz val="12"/>
        <color indexed="8"/>
        <rFont val="Times New Roman"/>
        <family val="1"/>
      </rPr>
      <t>3</t>
    </r>
    <r>
      <rPr>
        <b/>
        <sz val="12"/>
        <color indexed="8"/>
        <rFont val="Times New Roman"/>
        <family val="1"/>
      </rPr>
      <t>)</t>
    </r>
  </si>
  <si>
    <r>
      <t>Đắp đất (m</t>
    </r>
    <r>
      <rPr>
        <b/>
        <vertAlign val="superscript"/>
        <sz val="12"/>
        <color indexed="8"/>
        <rFont val="Times New Roman"/>
        <family val="1"/>
      </rPr>
      <t>3</t>
    </r>
    <r>
      <rPr>
        <b/>
        <sz val="12"/>
        <color indexed="8"/>
        <rFont val="Times New Roman"/>
        <family val="1"/>
      </rPr>
      <t>)</t>
    </r>
  </si>
  <si>
    <r>
      <t>Ván khuôn (m</t>
    </r>
    <r>
      <rPr>
        <b/>
        <vertAlign val="superscript"/>
        <sz val="12"/>
        <color indexed="8"/>
        <rFont val="Times New Roman"/>
        <family val="1"/>
      </rPr>
      <t>2</t>
    </r>
    <r>
      <rPr>
        <b/>
        <sz val="12"/>
        <color indexed="8"/>
        <rFont val="Times New Roman"/>
        <family val="1"/>
      </rPr>
      <t>)</t>
    </r>
  </si>
  <si>
    <r>
      <t>Vải địa (m</t>
    </r>
    <r>
      <rPr>
        <b/>
        <vertAlign val="superscript"/>
        <sz val="12"/>
        <color indexed="8"/>
        <rFont val="Times New Roman"/>
        <family val="1"/>
      </rPr>
      <t>2</t>
    </r>
    <r>
      <rPr>
        <b/>
        <sz val="12"/>
        <color indexed="8"/>
        <rFont val="Times New Roman"/>
        <family val="1"/>
      </rPr>
      <t>)</t>
    </r>
  </si>
  <si>
    <r>
      <t>Diện tích chiếm đất vĩnh viễn S1 (m</t>
    </r>
    <r>
      <rPr>
        <b/>
        <vertAlign val="superscript"/>
        <sz val="12"/>
        <color indexed="8"/>
        <rFont val="Times New Roman"/>
        <family val="1"/>
      </rPr>
      <t>2</t>
    </r>
    <r>
      <rPr>
        <b/>
        <sz val="12"/>
        <color indexed="8"/>
        <rFont val="Times New Roman"/>
        <family val="1"/>
      </rPr>
      <t>)</t>
    </r>
  </si>
  <si>
    <r>
      <t>Diện tích mượn tạm để thi công taluy móng S2 (m</t>
    </r>
    <r>
      <rPr>
        <b/>
        <vertAlign val="superscript"/>
        <sz val="12"/>
        <color indexed="8"/>
        <rFont val="Times New Roman"/>
        <family val="1"/>
      </rPr>
      <t>2</t>
    </r>
    <r>
      <rPr>
        <b/>
        <sz val="12"/>
        <color indexed="8"/>
        <rFont val="Times New Roman"/>
        <family val="1"/>
      </rPr>
      <t>)</t>
    </r>
  </si>
  <si>
    <r>
      <t>Diện tích mượn tạm để thi công móng S3 (m</t>
    </r>
    <r>
      <rPr>
        <b/>
        <vertAlign val="superscript"/>
        <sz val="12"/>
        <color indexed="8"/>
        <rFont val="Times New Roman"/>
        <family val="1"/>
      </rPr>
      <t>2</t>
    </r>
    <r>
      <rPr>
        <b/>
        <sz val="12"/>
        <color indexed="8"/>
        <rFont val="Times New Roman"/>
        <family val="1"/>
      </rPr>
      <t>)</t>
    </r>
  </si>
  <si>
    <t>(9)</t>
  </si>
  <si>
    <t>(10)</t>
  </si>
  <si>
    <t>(11)=(8)*(8)</t>
  </si>
  <si>
    <t>(12)=(9)*(9)</t>
  </si>
  <si>
    <t>(13)=(10)*(10)</t>
  </si>
  <si>
    <t>bề dày lớp cát đệm</t>
  </si>
  <si>
    <t>Lớp cát đệm</t>
  </si>
  <si>
    <t>Chôn móng</t>
  </si>
  <si>
    <t>HK</t>
  </si>
  <si>
    <t xml:space="preserve">    Ô bản 2</t>
  </si>
  <si>
    <t>HK2</t>
  </si>
  <si>
    <t>HK3</t>
  </si>
  <si>
    <t>Á sét, nâu vàng, dẻo mềm</t>
  </si>
  <si>
    <t>Á sét, xám xanh, nâu vàng, dẻo cứng</t>
  </si>
  <si>
    <t>Á sét, nâu vàng, xám xanh, dẻo cứng</t>
  </si>
  <si>
    <t>Á sét,  nâu đỏ, dẻo cứng</t>
  </si>
  <si>
    <t>XUẤT BẢN VẼ VÀ KHỐI LƯỢNG</t>
  </si>
  <si>
    <t>20193BTU.F.I1.C1.2</t>
  </si>
  <si>
    <t>Á cát, xám trắng, dẻo</t>
  </si>
  <si>
    <t>Á sét, xám trắng, xám vàng, dẻo cứng</t>
  </si>
  <si>
    <t>Á sét, xám trắng, xám vàng, nửa cứng</t>
  </si>
  <si>
    <t>Á sét, vàng nâu, dẻo cứng</t>
  </si>
  <si>
    <t>Lớp 4</t>
  </si>
  <si>
    <r>
      <t>Vữa M10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</si>
  <si>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NHÀ MÁY ĐIỆN GIÓ KHU DU LỊCH KHAI LONG - CÀ MAU GIAI ĐOẠN 1</t>
  </si>
  <si>
    <t>ĐƯỜNG DÂY ĐẤU NỐI</t>
  </si>
  <si>
    <t>Bùn sét</t>
  </si>
  <si>
    <t xml:space="preserve">Bùn sét </t>
  </si>
  <si>
    <t>k1 tương ứng gối cạnh ngắn</t>
  </si>
  <si>
    <t>m1 tương đương nhịp cạnh ngắn</t>
  </si>
  <si>
    <t>M1 momen gối cạnh ngắn</t>
  </si>
  <si>
    <t>MI momen nhịp cạnh ngắn</t>
  </si>
  <si>
    <t>Thép chống</t>
  </si>
  <si>
    <t>D122-42</t>
  </si>
  <si>
    <t>M56</t>
  </si>
  <si>
    <t>β= 0.8</t>
  </si>
  <si>
    <t>Bê tông móng:</t>
  </si>
  <si>
    <t>Bê tông lót:</t>
  </si>
  <si>
    <t>Mã bản vẽ Ghi chú chung:</t>
  </si>
  <si>
    <t>2511TNC2.F.NM.C.200</t>
  </si>
  <si>
    <t>H = H1 + H2 =</t>
  </si>
  <si>
    <r>
      <t>h</t>
    </r>
    <r>
      <rPr>
        <vertAlign val="subscript"/>
        <sz val="12"/>
        <rFont val="Times New Roman"/>
        <family val="1"/>
      </rPr>
      <t>đt</t>
    </r>
    <r>
      <rPr>
        <sz val="12"/>
        <rFont val="Times New Roman"/>
        <family val="1"/>
      </rPr>
      <t xml:space="preserve"> =</t>
    </r>
  </si>
  <si>
    <t>Thép bản móng</t>
  </si>
  <si>
    <t>đường kính</t>
  </si>
  <si>
    <t>bước thép</t>
  </si>
  <si>
    <t>Lớp dưới</t>
  </si>
  <si>
    <t>Thép cổ móng</t>
  </si>
  <si>
    <t>số lượng/ bước thép</t>
  </si>
  <si>
    <t>Thép chủ</t>
  </si>
  <si>
    <t>Thép đai</t>
  </si>
  <si>
    <t>Đai phụ</t>
  </si>
  <si>
    <t>Lưới đầu trụ</t>
  </si>
  <si>
    <t>02 lớp</t>
  </si>
  <si>
    <t>Khu vực ô 2 cạnh ngàm</t>
  </si>
  <si>
    <t>Khu vực ô 4 cạnh ngàm</t>
  </si>
  <si>
    <t>= Lớp trên</t>
  </si>
  <si>
    <t>Thép dầm móng</t>
  </si>
  <si>
    <t>Chiều dày lớp bê tông bảo vệ</t>
  </si>
  <si>
    <t>Vị trí còn lại</t>
  </si>
  <si>
    <r>
      <t xml:space="preserve">h </t>
    </r>
    <r>
      <rPr>
        <vertAlign val="subscript"/>
        <sz val="12"/>
        <rFont val="Times New Roman"/>
        <family val="1"/>
      </rPr>
      <t>đệm cát</t>
    </r>
  </si>
  <si>
    <t>Mở rộng đáy hố đào</t>
  </si>
  <si>
    <t>BLN-</t>
  </si>
  <si>
    <t>Thang leo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</si>
</sst>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#,##0.000"/>
    <numFmt numFmtId="168" formatCode="#,##0.0"/>
    <numFmt numFmtId="169" formatCode="#,##0.0000"/>
    <numFmt numFmtId="170" formatCode="#,##0.00000"/>
    <numFmt numFmtId="171" formatCode="0.0%"/>
    <numFmt numFmtId="172" formatCode="_(* #,##0.000_);_(* \(#,##0.000\);_(* &quot;-&quot;???_);_(@_)"/>
    <numFmt numFmtId="173" formatCode="\Ø#"/>
    <numFmt numFmtId="174" formatCode="\Ø##"/>
    <numFmt numFmtId="175" formatCode="\F\&amp;"/>
  </numFmts>
  <fonts count="117">
    <font>
      <sz val="10"/>
      <name val="VNI-Times"/>
    </font>
    <font>
      <sz val="10"/>
      <name val="VNI-Times"/>
    </font>
    <font>
      <sz val="8"/>
      <name val="VNI-Times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Times New Roman"/>
      <family val="1"/>
    </font>
    <font>
      <sz val="10"/>
      <color indexed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sz val="12"/>
      <color indexed="10"/>
      <name val="Times New Roman"/>
      <family val="1"/>
    </font>
    <font>
      <b/>
      <i/>
      <sz val="10"/>
      <name val="Times New Roman"/>
      <family val="1"/>
    </font>
    <font>
      <vertAlign val="superscript"/>
      <sz val="10"/>
      <name val="Times New Roman"/>
      <family val="1"/>
    </font>
    <font>
      <vertAlign val="subscript"/>
      <sz val="10"/>
      <name val="Times New Roman"/>
      <family val="1"/>
    </font>
    <font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Times New Roman"/>
      <family val="1"/>
    </font>
    <font>
      <u/>
      <sz val="10"/>
      <name val="Times New Roman"/>
      <family val="1"/>
    </font>
    <font>
      <b/>
      <u/>
      <sz val="10"/>
      <name val="Times New Roman"/>
      <family val="1"/>
    </font>
    <font>
      <i/>
      <u/>
      <sz val="10"/>
      <name val="Times New Roman"/>
      <family val="1"/>
    </font>
    <font>
      <b/>
      <sz val="10"/>
      <name val="VNI-Times"/>
    </font>
    <font>
      <b/>
      <sz val="12"/>
      <name val="VNI-Times"/>
    </font>
    <font>
      <b/>
      <sz val="10"/>
      <color indexed="10"/>
      <name val="VNI-Times"/>
    </font>
    <font>
      <sz val="10"/>
      <color indexed="10"/>
      <name val="VNI-Times"/>
    </font>
    <font>
      <b/>
      <i/>
      <sz val="10"/>
      <name val="VNI-Times"/>
    </font>
    <font>
      <b/>
      <sz val="12"/>
      <color indexed="10"/>
      <name val="VNI-Times"/>
    </font>
    <font>
      <sz val="9"/>
      <name val="VNI-Times"/>
    </font>
    <font>
      <b/>
      <sz val="9"/>
      <name val="VNI-Times"/>
    </font>
    <font>
      <sz val="9"/>
      <color indexed="10"/>
      <name val="VNI-Times"/>
    </font>
    <font>
      <b/>
      <sz val="9"/>
      <color indexed="10"/>
      <name val="VNI-Times"/>
    </font>
    <font>
      <sz val="12"/>
      <name val="VNI-Times"/>
    </font>
    <font>
      <vertAlign val="subscript"/>
      <sz val="10"/>
      <name val="VNI-Times"/>
    </font>
    <font>
      <sz val="11"/>
      <name val="VNI-Times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sz val="11"/>
      <name val="Times New Roman"/>
      <family val="1"/>
    </font>
    <font>
      <b/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9"/>
      <name val="Times New Roman"/>
      <family val="1"/>
    </font>
    <font>
      <sz val="9"/>
      <color indexed="10"/>
      <name val="Times New Roman"/>
      <family val="1"/>
    </font>
    <font>
      <b/>
      <sz val="9"/>
      <color indexed="10"/>
      <name val="Times New Roman"/>
      <family val="1"/>
    </font>
    <font>
      <sz val="12"/>
      <name val="Times New Roman"/>
      <family val="1"/>
    </font>
    <font>
      <sz val="14"/>
      <name val="Times New Roman"/>
      <family val="1"/>
    </font>
    <font>
      <sz val="11"/>
      <color indexed="12"/>
      <name val="Times New Roman"/>
      <family val="1"/>
    </font>
    <font>
      <sz val="12"/>
      <color indexed="12"/>
      <name val="Times New Roman"/>
      <family val="1"/>
    </font>
    <font>
      <b/>
      <sz val="16"/>
      <name val="Times New Roman"/>
      <family val="1"/>
    </font>
    <font>
      <b/>
      <sz val="20"/>
      <name val="Times New Roman"/>
      <family val="1"/>
    </font>
    <font>
      <sz val="10"/>
      <color rgb="FFFF0000"/>
      <name val="Times New Roman"/>
      <family val="1"/>
    </font>
    <font>
      <i/>
      <sz val="10"/>
      <color theme="3" tint="0.39997558519241921"/>
      <name val="Times New Roman"/>
      <family val="1"/>
    </font>
    <font>
      <i/>
      <sz val="10"/>
      <color rgb="FF0070C0"/>
      <name val="Times New Roman"/>
      <family val="1"/>
    </font>
    <font>
      <i/>
      <sz val="10"/>
      <color rgb="FF00B0F0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0"/>
      <color rgb="FFFF0000"/>
      <name val="Times New Roman"/>
      <family val="1"/>
    </font>
    <font>
      <sz val="10"/>
      <color rgb="FFFFFF00"/>
      <name val="Times New Roman"/>
      <family val="1"/>
    </font>
    <font>
      <sz val="10"/>
      <color rgb="FFFFFF00"/>
      <name val="VNI-Times"/>
    </font>
    <font>
      <sz val="10"/>
      <color rgb="FFFF0000"/>
      <name val="VNI-Times"/>
    </font>
    <font>
      <sz val="16"/>
      <name val="Times New Roman"/>
      <family val="1"/>
    </font>
    <font>
      <sz val="10"/>
      <color rgb="FF212529"/>
      <name val="Times New Roman"/>
      <family val="1"/>
    </font>
    <font>
      <vertAlign val="subscript"/>
      <sz val="10"/>
      <color rgb="FFFFFF00"/>
      <name val="Times New Roman"/>
      <family val="1"/>
    </font>
    <font>
      <b/>
      <sz val="13"/>
      <color theme="1"/>
      <name val="Arial"/>
      <family val="2"/>
    </font>
    <font>
      <b/>
      <sz val="13"/>
      <color rgb="FFFF0000"/>
      <name val="Arial"/>
      <family val="2"/>
    </font>
    <font>
      <sz val="13"/>
      <color theme="1"/>
      <name val="Arial"/>
      <family val="2"/>
    </font>
    <font>
      <sz val="13"/>
      <color rgb="FFFF0000"/>
      <name val="Arial"/>
      <family val="2"/>
    </font>
    <font>
      <vertAlign val="superscript"/>
      <sz val="11"/>
      <name val="Times New Roman"/>
      <family val="1"/>
    </font>
    <font>
      <vertAlign val="subscript"/>
      <sz val="11"/>
      <name val="Times New Roman"/>
      <family val="1"/>
    </font>
    <font>
      <i/>
      <sz val="11"/>
      <color rgb="FF0070C0"/>
      <name val="Times New Roman"/>
      <family val="1"/>
    </font>
    <font>
      <b/>
      <i/>
      <sz val="12"/>
      <name val="Times New Roman"/>
      <family val="1"/>
    </font>
    <font>
      <vertAlign val="superscript"/>
      <sz val="12"/>
      <name val="Times New Roman"/>
      <family val="1"/>
    </font>
    <font>
      <vertAlign val="subscript"/>
      <sz val="12"/>
      <name val="Times New Roman"/>
      <family val="1"/>
    </font>
    <font>
      <i/>
      <sz val="12"/>
      <color indexed="12"/>
      <name val="Times New Roman"/>
      <family val="1"/>
    </font>
    <font>
      <b/>
      <u/>
      <sz val="12"/>
      <name val="Times New Roman"/>
      <family val="1"/>
    </font>
    <font>
      <i/>
      <sz val="12"/>
      <name val="Times New Roman"/>
      <family val="1"/>
    </font>
    <font>
      <b/>
      <i/>
      <sz val="12"/>
      <color rgb="FF0070C0"/>
      <name val="Times New Roman"/>
      <family val="1"/>
    </font>
    <font>
      <i/>
      <u/>
      <sz val="12"/>
      <name val="Times New Roman"/>
      <family val="1"/>
    </font>
    <font>
      <i/>
      <sz val="12"/>
      <color rgb="FF00B0F0"/>
      <name val="Times New Roman"/>
      <family val="1"/>
    </font>
    <font>
      <i/>
      <sz val="12"/>
      <color indexed="30"/>
      <name val="Times New Roman"/>
      <family val="1"/>
    </font>
    <font>
      <b/>
      <i/>
      <sz val="12"/>
      <color theme="1"/>
      <name val="Times New Roman"/>
      <family val="1"/>
    </font>
    <font>
      <b/>
      <i/>
      <vertAlign val="subscript"/>
      <sz val="12"/>
      <color theme="1"/>
      <name val="Times New Roman"/>
      <family val="1"/>
    </font>
    <font>
      <sz val="12"/>
      <color theme="1"/>
      <name val="Times New Roman"/>
      <family val="1"/>
    </font>
    <font>
      <u/>
      <sz val="12"/>
      <name val="Times New Roman"/>
      <family val="1"/>
    </font>
    <font>
      <i/>
      <sz val="12"/>
      <color rgb="FF0070C0"/>
      <name val="Times New Roman"/>
      <family val="1"/>
    </font>
    <font>
      <b/>
      <sz val="12"/>
      <color rgb="FFFF0000"/>
      <name val="Times New Roman"/>
      <family val="1"/>
    </font>
    <font>
      <sz val="12"/>
      <name val="Arial"/>
      <family val="2"/>
    </font>
    <font>
      <sz val="12"/>
      <color theme="0"/>
      <name val="Times New Roman"/>
      <family val="1"/>
    </font>
    <font>
      <vertAlign val="subscript"/>
      <sz val="12"/>
      <color theme="1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  <charset val="2"/>
    </font>
    <font>
      <vertAlign val="superscript"/>
      <sz val="12"/>
      <color theme="1"/>
      <name val="Times New Roman"/>
      <family val="1"/>
    </font>
    <font>
      <sz val="11.5"/>
      <name val="Times New Roman"/>
      <family val="1"/>
    </font>
    <font>
      <b/>
      <u/>
      <sz val="10"/>
      <color rgb="FFFFFF00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C000"/>
      <name val="Times New Roman"/>
      <family val="1"/>
    </font>
    <font>
      <b/>
      <u/>
      <sz val="10"/>
      <color theme="3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rgb="FF0070C0"/>
      <name val="Times New Roman"/>
      <family val="1"/>
    </font>
    <font>
      <sz val="10"/>
      <color rgb="FF0070C0"/>
      <name val="Times New Roman"/>
      <family val="1"/>
    </font>
    <font>
      <sz val="11.5"/>
      <color theme="1"/>
      <name val="Times New Roman"/>
      <family val="1"/>
    </font>
    <font>
      <vertAlign val="subscript"/>
      <sz val="11.5"/>
      <name val="Times New Roman"/>
      <family val="1"/>
    </font>
    <font>
      <vertAlign val="superscript"/>
      <sz val="11.5"/>
      <name val="Times New Roman"/>
      <family val="1"/>
    </font>
    <font>
      <b/>
      <sz val="16"/>
      <name val="Arial"/>
      <family val="2"/>
    </font>
    <font>
      <sz val="10"/>
      <name val="Symbol"/>
      <family val="1"/>
      <charset val="2"/>
    </font>
    <font>
      <sz val="12"/>
      <color rgb="FFFF0000"/>
      <name val="Arial"/>
      <family val="2"/>
    </font>
    <font>
      <sz val="12"/>
      <color rgb="FFFF0000"/>
      <name val="Times New Roman"/>
      <family val="1"/>
    </font>
    <font>
      <sz val="14"/>
      <name val="Arial"/>
      <family val="2"/>
    </font>
    <font>
      <vertAlign val="superscript"/>
      <sz val="10"/>
      <name val="Arial"/>
      <family val="2"/>
    </font>
    <font>
      <b/>
      <sz val="12"/>
      <color theme="1"/>
      <name val="Times New Roman"/>
      <family val="1"/>
    </font>
    <font>
      <b/>
      <vertAlign val="subscript"/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b/>
      <vertAlign val="superscript"/>
      <sz val="12"/>
      <color indexed="8"/>
      <name val="Times New Roman"/>
      <family val="1"/>
    </font>
    <font>
      <i/>
      <sz val="12"/>
      <color theme="1"/>
      <name val="Times New Roman"/>
      <family val="1"/>
    </font>
    <font>
      <b/>
      <sz val="11"/>
      <color rgb="FFFF0000"/>
      <name val="Times New Roman"/>
      <family val="1"/>
    </font>
    <font>
      <sz val="9"/>
      <color indexed="12"/>
      <name val="Times New Roman"/>
      <family val="1"/>
    </font>
    <font>
      <sz val="10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1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 diagonalUp="1">
      <left/>
      <right/>
      <top/>
      <bottom/>
      <diagonal style="thick">
        <color auto="1"/>
      </diagonal>
    </border>
    <border>
      <left/>
      <right/>
      <top style="thick">
        <color indexed="64"/>
      </top>
      <bottom/>
      <diagonal/>
    </border>
    <border diagonalDown="1">
      <left/>
      <right style="thick">
        <color indexed="64"/>
      </right>
      <top/>
      <bottom/>
      <diagonal style="thick">
        <color indexed="64"/>
      </diagonal>
    </border>
    <border>
      <left style="thick">
        <color indexed="64"/>
      </left>
      <right/>
      <top/>
      <bottom/>
      <diagonal/>
    </border>
    <border diagonalDown="1">
      <left style="thick">
        <color indexed="64"/>
      </left>
      <right/>
      <top/>
      <bottom/>
      <diagonal style="thick">
        <color indexed="64"/>
      </diagonal>
    </border>
    <border diagonalDown="1">
      <left/>
      <right/>
      <top/>
      <bottom/>
      <diagonal style="thick">
        <color auto="1"/>
      </diagonal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52">
    <xf numFmtId="0" fontId="0" fillId="0" borderId="0" xfId="0"/>
    <xf numFmtId="167" fontId="0" fillId="0" borderId="0" xfId="0" applyNumberForma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11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/>
    </xf>
    <xf numFmtId="0" fontId="6" fillId="2" borderId="0" xfId="0" applyFont="1" applyFill="1"/>
    <xf numFmtId="4" fontId="6" fillId="0" borderId="0" xfId="0" applyNumberFormat="1" applyFont="1" applyAlignment="1">
      <alignment horizontal="center"/>
    </xf>
    <xf numFmtId="167" fontId="6" fillId="0" borderId="0" xfId="0" applyNumberFormat="1" applyFont="1"/>
    <xf numFmtId="2" fontId="6" fillId="0" borderId="0" xfId="0" applyNumberFormat="1" applyFont="1" applyAlignment="1">
      <alignment horizontal="center"/>
    </xf>
    <xf numFmtId="0" fontId="6" fillId="0" borderId="4" xfId="0" applyFont="1" applyBorder="1" applyAlignment="1">
      <alignment horizontal="center"/>
    </xf>
    <xf numFmtId="0" fontId="1" fillId="0" borderId="0" xfId="0" applyFont="1"/>
    <xf numFmtId="0" fontId="20" fillId="0" borderId="0" xfId="0" applyFont="1"/>
    <xf numFmtId="0" fontId="23" fillId="0" borderId="0" xfId="0" applyFont="1"/>
    <xf numFmtId="2" fontId="1" fillId="0" borderId="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2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2" fillId="0" borderId="0" xfId="0" applyFont="1"/>
    <xf numFmtId="165" fontId="22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6" fillId="0" borderId="5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5" borderId="58" xfId="0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5" borderId="58" xfId="0" applyFill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167" fontId="1" fillId="7" borderId="52" xfId="0" applyNumberFormat="1" applyFont="1" applyFill="1" applyBorder="1" applyAlignment="1">
      <alignment horizontal="center"/>
    </xf>
    <xf numFmtId="167" fontId="1" fillId="7" borderId="71" xfId="0" applyNumberFormat="1" applyFont="1" applyFill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20" fillId="0" borderId="40" xfId="0" applyFont="1" applyBorder="1" applyAlignment="1">
      <alignment horizontal="left"/>
    </xf>
    <xf numFmtId="0" fontId="20" fillId="0" borderId="43" xfId="0" applyFont="1" applyBorder="1" applyAlignment="1">
      <alignment horizontal="left"/>
    </xf>
    <xf numFmtId="0" fontId="20" fillId="0" borderId="78" xfId="0" applyFont="1" applyBorder="1" applyAlignment="1">
      <alignment horizontal="left"/>
    </xf>
    <xf numFmtId="0" fontId="20" fillId="0" borderId="79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26" fillId="0" borderId="17" xfId="0" applyFont="1" applyBorder="1" applyAlignment="1">
      <alignment horizontal="left"/>
    </xf>
    <xf numFmtId="0" fontId="26" fillId="0" borderId="80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64" xfId="0" applyFont="1" applyBorder="1" applyAlignment="1">
      <alignment horizontal="left"/>
    </xf>
    <xf numFmtId="0" fontId="29" fillId="10" borderId="22" xfId="0" applyFont="1" applyFill="1" applyBorder="1" applyAlignment="1">
      <alignment horizontal="left"/>
    </xf>
    <xf numFmtId="0" fontId="29" fillId="6" borderId="17" xfId="0" applyFont="1" applyFill="1" applyBorder="1" applyAlignment="1">
      <alignment horizontal="left"/>
    </xf>
    <xf numFmtId="0" fontId="26" fillId="8" borderId="81" xfId="0" applyFont="1" applyFill="1" applyBorder="1" applyAlignment="1">
      <alignment horizontal="left"/>
    </xf>
    <xf numFmtId="0" fontId="26" fillId="4" borderId="17" xfId="0" applyFont="1" applyFill="1" applyBorder="1" applyAlignment="1">
      <alignment horizontal="left"/>
    </xf>
    <xf numFmtId="0" fontId="26" fillId="4" borderId="79" xfId="0" applyFont="1" applyFill="1" applyBorder="1" applyAlignment="1">
      <alignment horizontal="left"/>
    </xf>
    <xf numFmtId="0" fontId="1" fillId="0" borderId="58" xfId="0" applyFont="1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9" xfId="0" applyBorder="1" applyAlignment="1">
      <alignment horizontal="center"/>
    </xf>
    <xf numFmtId="0" fontId="1" fillId="0" borderId="24" xfId="0" applyFont="1" applyBorder="1" applyAlignment="1">
      <alignment horizontal="left"/>
    </xf>
    <xf numFmtId="0" fontId="6" fillId="0" borderId="7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20" fillId="0" borderId="38" xfId="0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6" fillId="4" borderId="18" xfId="0" applyFont="1" applyFill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1" fillId="0" borderId="84" xfId="0" applyFont="1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62" xfId="0" applyFont="1" applyBorder="1" applyAlignment="1">
      <alignment horizontal="left"/>
    </xf>
    <xf numFmtId="0" fontId="30" fillId="0" borderId="18" xfId="0" applyFont="1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53" xfId="0" applyFont="1" applyBorder="1" applyAlignment="1">
      <alignment horizontal="left"/>
    </xf>
    <xf numFmtId="0" fontId="1" fillId="0" borderId="76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6" fillId="0" borderId="86" xfId="0" applyFont="1" applyBorder="1" applyAlignment="1">
      <alignment horizontal="center"/>
    </xf>
    <xf numFmtId="0" fontId="6" fillId="4" borderId="4" xfId="0" applyFont="1" applyFill="1" applyBorder="1"/>
    <xf numFmtId="0" fontId="6" fillId="2" borderId="4" xfId="0" applyFont="1" applyFill="1" applyBorder="1"/>
    <xf numFmtId="0" fontId="6" fillId="6" borderId="4" xfId="0" applyFont="1" applyFill="1" applyBorder="1"/>
    <xf numFmtId="0" fontId="6" fillId="0" borderId="4" xfId="0" applyFont="1" applyBorder="1"/>
    <xf numFmtId="167" fontId="6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67" fontId="6" fillId="11" borderId="0" xfId="0" quotePrefix="1" applyNumberFormat="1" applyFont="1" applyFill="1" applyAlignment="1">
      <alignment horizontal="center"/>
    </xf>
    <xf numFmtId="0" fontId="6" fillId="11" borderId="0" xfId="0" quotePrefix="1" applyFont="1" applyFill="1" applyAlignment="1">
      <alignment horizontal="center"/>
    </xf>
    <xf numFmtId="167" fontId="6" fillId="2" borderId="59" xfId="0" applyNumberFormat="1" applyFont="1" applyFill="1" applyBorder="1"/>
    <xf numFmtId="4" fontId="6" fillId="2" borderId="59" xfId="0" applyNumberFormat="1" applyFont="1" applyFill="1" applyBorder="1"/>
    <xf numFmtId="4" fontId="6" fillId="2" borderId="60" xfId="0" applyNumberFormat="1" applyFont="1" applyFill="1" applyBorder="1"/>
    <xf numFmtId="167" fontId="6" fillId="0" borderId="27" xfId="0" applyNumberFormat="1" applyFont="1" applyBorder="1"/>
    <xf numFmtId="169" fontId="6" fillId="0" borderId="27" xfId="0" applyNumberFormat="1" applyFont="1" applyBorder="1"/>
    <xf numFmtId="169" fontId="6" fillId="0" borderId="87" xfId="0" applyNumberFormat="1" applyFont="1" applyBorder="1"/>
    <xf numFmtId="0" fontId="33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3" fillId="0" borderId="0" xfId="0" applyFont="1" applyAlignment="1">
      <alignment horizontal="justify" vertical="top" wrapText="1"/>
    </xf>
    <xf numFmtId="167" fontId="33" fillId="0" borderId="0" xfId="0" applyNumberFormat="1" applyFont="1" applyAlignment="1">
      <alignment horizontal="justify" vertical="top" wrapText="1"/>
    </xf>
    <xf numFmtId="2" fontId="6" fillId="0" borderId="0" xfId="0" applyNumberFormat="1" applyFont="1"/>
    <xf numFmtId="167" fontId="6" fillId="0" borderId="61" xfId="0" applyNumberFormat="1" applyFont="1" applyBorder="1"/>
    <xf numFmtId="169" fontId="6" fillId="0" borderId="61" xfId="0" applyNumberFormat="1" applyFont="1" applyBorder="1"/>
    <xf numFmtId="167" fontId="6" fillId="0" borderId="3" xfId="0" applyNumberFormat="1" applyFont="1" applyBorder="1"/>
    <xf numFmtId="0" fontId="6" fillId="0" borderId="3" xfId="0" applyFont="1" applyBorder="1"/>
    <xf numFmtId="0" fontId="6" fillId="0" borderId="24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0" fontId="35" fillId="0" borderId="5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8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8" borderId="24" xfId="0" applyFont="1" applyFill="1" applyBorder="1" applyAlignment="1">
      <alignment horizontal="left"/>
    </xf>
    <xf numFmtId="0" fontId="6" fillId="8" borderId="23" xfId="0" applyFont="1" applyFill="1" applyBorder="1" applyAlignment="1">
      <alignment horizontal="center"/>
    </xf>
    <xf numFmtId="0" fontId="6" fillId="0" borderId="27" xfId="0" applyFont="1" applyBorder="1"/>
    <xf numFmtId="0" fontId="35" fillId="0" borderId="27" xfId="0" applyFont="1" applyBorder="1" applyAlignment="1">
      <alignment horizontal="center"/>
    </xf>
    <xf numFmtId="0" fontId="35" fillId="0" borderId="27" xfId="0" applyFont="1" applyBorder="1"/>
    <xf numFmtId="0" fontId="6" fillId="0" borderId="38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6" fillId="8" borderId="53" xfId="0" applyFont="1" applyFill="1" applyBorder="1" applyAlignment="1">
      <alignment horizontal="center"/>
    </xf>
    <xf numFmtId="3" fontId="6" fillId="8" borderId="85" xfId="0" applyNumberFormat="1" applyFont="1" applyFill="1" applyBorder="1" applyAlignment="1">
      <alignment horizontal="center"/>
    </xf>
    <xf numFmtId="0" fontId="35" fillId="2" borderId="27" xfId="0" applyFont="1" applyFill="1" applyBorder="1" applyAlignment="1">
      <alignment horizontal="center"/>
    </xf>
    <xf numFmtId="2" fontId="35" fillId="0" borderId="27" xfId="0" applyNumberFormat="1" applyFont="1" applyBorder="1"/>
    <xf numFmtId="0" fontId="8" fillId="0" borderId="88" xfId="0" applyFont="1" applyBorder="1" applyAlignment="1">
      <alignment horizontal="center" vertical="center"/>
    </xf>
    <xf numFmtId="4" fontId="8" fillId="0" borderId="22" xfId="0" applyNumberFormat="1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6" fillId="0" borderId="88" xfId="0" applyFont="1" applyBorder="1" applyAlignment="1">
      <alignment horizontal="center"/>
    </xf>
    <xf numFmtId="4" fontId="8" fillId="0" borderId="0" xfId="0" applyNumberFormat="1" applyFont="1" applyAlignment="1">
      <alignment horizontal="center"/>
    </xf>
    <xf numFmtId="0" fontId="8" fillId="0" borderId="39" xfId="0" applyFont="1" applyBorder="1" applyAlignment="1">
      <alignment horizontal="center" vertical="center"/>
    </xf>
    <xf numFmtId="4" fontId="8" fillId="0" borderId="21" xfId="0" applyNumberFormat="1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77" xfId="0" applyFont="1" applyBorder="1" applyAlignment="1">
      <alignment horizontal="center" vertical="center"/>
    </xf>
    <xf numFmtId="0" fontId="6" fillId="0" borderId="77" xfId="0" applyFont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7" fillId="0" borderId="38" xfId="0" applyFont="1" applyBorder="1" applyAlignment="1">
      <alignment horizontal="center"/>
    </xf>
    <xf numFmtId="0" fontId="6" fillId="0" borderId="40" xfId="0" applyFont="1" applyBorder="1" applyAlignment="1">
      <alignment horizontal="center"/>
    </xf>
    <xf numFmtId="4" fontId="6" fillId="0" borderId="89" xfId="0" applyNumberFormat="1" applyFont="1" applyBorder="1" applyAlignment="1">
      <alignment horizontal="center"/>
    </xf>
    <xf numFmtId="2" fontId="6" fillId="0" borderId="89" xfId="0" applyNumberFormat="1" applyFont="1" applyBorder="1" applyAlignment="1">
      <alignment horizontal="center"/>
    </xf>
    <xf numFmtId="2" fontId="6" fillId="0" borderId="36" xfId="0" applyNumberFormat="1" applyFont="1" applyBorder="1" applyAlignment="1">
      <alignment horizontal="center"/>
    </xf>
    <xf numFmtId="0" fontId="6" fillId="8" borderId="40" xfId="0" applyFont="1" applyFill="1" applyBorder="1" applyAlignment="1">
      <alignment horizontal="center"/>
    </xf>
    <xf numFmtId="0" fontId="6" fillId="8" borderId="41" xfId="0" applyFont="1" applyFill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4" fontId="6" fillId="0" borderId="4" xfId="0" applyNumberFormat="1" applyFont="1" applyBorder="1" applyAlignment="1">
      <alignment horizontal="center"/>
    </xf>
    <xf numFmtId="2" fontId="6" fillId="0" borderId="4" xfId="0" applyNumberFormat="1" applyFont="1" applyBorder="1" applyAlignment="1">
      <alignment horizontal="center" vertical="center"/>
    </xf>
    <xf numFmtId="0" fontId="6" fillId="0" borderId="44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7" borderId="43" xfId="0" applyFont="1" applyFill="1" applyBorder="1" applyAlignment="1">
      <alignment horizontal="center"/>
    </xf>
    <xf numFmtId="0" fontId="6" fillId="7" borderId="44" xfId="0" applyFont="1" applyFill="1" applyBorder="1" applyAlignment="1">
      <alignment horizontal="center"/>
    </xf>
    <xf numFmtId="0" fontId="6" fillId="7" borderId="50" xfId="0" applyFont="1" applyFill="1" applyBorder="1" applyAlignment="1">
      <alignment horizontal="center"/>
    </xf>
    <xf numFmtId="0" fontId="6" fillId="7" borderId="52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50" xfId="0" applyFont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6" fillId="0" borderId="48" xfId="0" applyFont="1" applyBorder="1" applyAlignment="1">
      <alignment horizontal="center"/>
    </xf>
    <xf numFmtId="0" fontId="7" fillId="2" borderId="49" xfId="0" applyFont="1" applyFill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6" fillId="0" borderId="30" xfId="0" applyFont="1" applyBorder="1"/>
    <xf numFmtId="0" fontId="35" fillId="2" borderId="30" xfId="0" applyFont="1" applyFill="1" applyBorder="1" applyAlignment="1">
      <alignment horizontal="center"/>
    </xf>
    <xf numFmtId="2" fontId="35" fillId="0" borderId="30" xfId="0" applyNumberFormat="1" applyFont="1" applyBorder="1"/>
    <xf numFmtId="0" fontId="6" fillId="0" borderId="21" xfId="0" applyFont="1" applyBorder="1"/>
    <xf numFmtId="0" fontId="8" fillId="0" borderId="40" xfId="0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43" xfId="0" applyFont="1" applyBorder="1" applyAlignment="1">
      <alignment horizontal="left"/>
    </xf>
    <xf numFmtId="0" fontId="6" fillId="0" borderId="26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56" xfId="0" applyFont="1" applyBorder="1" applyAlignment="1">
      <alignment horizontal="center"/>
    </xf>
    <xf numFmtId="0" fontId="6" fillId="0" borderId="57" xfId="0" applyFont="1" applyBorder="1" applyAlignment="1">
      <alignment horizontal="center"/>
    </xf>
    <xf numFmtId="0" fontId="6" fillId="0" borderId="58" xfId="0" applyFont="1" applyBorder="1" applyAlignment="1">
      <alignment horizontal="center"/>
    </xf>
    <xf numFmtId="0" fontId="8" fillId="0" borderId="78" xfId="0" applyFont="1" applyBorder="1" applyAlignment="1">
      <alignment horizontal="left"/>
    </xf>
    <xf numFmtId="0" fontId="6" fillId="0" borderId="55" xfId="0" applyFont="1" applyBorder="1" applyAlignment="1">
      <alignment horizontal="center"/>
    </xf>
    <xf numFmtId="0" fontId="6" fillId="7" borderId="55" xfId="0" applyFont="1" applyFill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6" fillId="5" borderId="26" xfId="0" applyFont="1" applyFill="1" applyBorder="1" applyAlignment="1">
      <alignment horizontal="center"/>
    </xf>
    <xf numFmtId="0" fontId="6" fillId="5" borderId="56" xfId="0" applyFont="1" applyFill="1" applyBorder="1" applyAlignment="1">
      <alignment horizontal="center"/>
    </xf>
    <xf numFmtId="0" fontId="6" fillId="5" borderId="58" xfId="0" applyFont="1" applyFill="1" applyBorder="1" applyAlignment="1">
      <alignment horizontal="center"/>
    </xf>
    <xf numFmtId="0" fontId="6" fillId="0" borderId="59" xfId="0" applyFont="1" applyBorder="1" applyAlignment="1">
      <alignment horizontal="center"/>
    </xf>
    <xf numFmtId="0" fontId="6" fillId="0" borderId="60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167" fontId="6" fillId="7" borderId="61" xfId="0" applyNumberFormat="1" applyFont="1" applyFill="1" applyBorder="1" applyAlignment="1">
      <alignment horizontal="center"/>
    </xf>
    <xf numFmtId="167" fontId="6" fillId="0" borderId="61" xfId="0" applyNumberFormat="1" applyFont="1" applyBorder="1" applyAlignment="1">
      <alignment horizontal="center"/>
    </xf>
    <xf numFmtId="167" fontId="6" fillId="0" borderId="82" xfId="0" applyNumberFormat="1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6" fillId="5" borderId="64" xfId="0" applyFont="1" applyFill="1" applyBorder="1" applyAlignment="1">
      <alignment horizontal="center"/>
    </xf>
    <xf numFmtId="0" fontId="6" fillId="0" borderId="49" xfId="0" applyFont="1" applyBorder="1" applyAlignment="1">
      <alignment horizontal="center"/>
    </xf>
    <xf numFmtId="0" fontId="6" fillId="5" borderId="65" xfId="0" applyFont="1" applyFill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5" borderId="48" xfId="0" applyFont="1" applyFill="1" applyBorder="1" applyAlignment="1">
      <alignment horizontal="center"/>
    </xf>
    <xf numFmtId="0" fontId="8" fillId="0" borderId="79" xfId="0" applyFont="1" applyBorder="1" applyAlignment="1">
      <alignment horizontal="left" vertical="center"/>
    </xf>
    <xf numFmtId="167" fontId="6" fillId="0" borderId="67" xfId="0" applyNumberFormat="1" applyFont="1" applyBorder="1" applyAlignment="1">
      <alignment horizontal="center"/>
    </xf>
    <xf numFmtId="167" fontId="6" fillId="0" borderId="68" xfId="0" applyNumberFormat="1" applyFont="1" applyBorder="1" applyAlignment="1">
      <alignment horizontal="center"/>
    </xf>
    <xf numFmtId="167" fontId="6" fillId="0" borderId="50" xfId="0" applyNumberFormat="1" applyFont="1" applyBorder="1" applyAlignment="1">
      <alignment horizontal="center"/>
    </xf>
    <xf numFmtId="167" fontId="6" fillId="0" borderId="51" xfId="0" applyNumberFormat="1" applyFont="1" applyBorder="1" applyAlignment="1">
      <alignment horizontal="center"/>
    </xf>
    <xf numFmtId="167" fontId="6" fillId="0" borderId="52" xfId="0" applyNumberFormat="1" applyFont="1" applyBorder="1" applyAlignment="1">
      <alignment horizontal="center"/>
    </xf>
    <xf numFmtId="167" fontId="6" fillId="7" borderId="50" xfId="0" applyNumberFormat="1" applyFont="1" applyFill="1" applyBorder="1" applyAlignment="1">
      <alignment horizontal="center"/>
    </xf>
    <xf numFmtId="167" fontId="6" fillId="7" borderId="52" xfId="0" applyNumberFormat="1" applyFont="1" applyFill="1" applyBorder="1" applyAlignment="1">
      <alignment horizontal="center"/>
    </xf>
    <xf numFmtId="167" fontId="6" fillId="7" borderId="69" xfId="0" applyNumberFormat="1" applyFont="1" applyFill="1" applyBorder="1" applyAlignment="1">
      <alignment horizontal="center"/>
    </xf>
    <xf numFmtId="167" fontId="6" fillId="7" borderId="70" xfId="0" applyNumberFormat="1" applyFont="1" applyFill="1" applyBorder="1" applyAlignment="1">
      <alignment horizontal="center"/>
    </xf>
    <xf numFmtId="167" fontId="6" fillId="7" borderId="71" xfId="0" applyNumberFormat="1" applyFont="1" applyFill="1" applyBorder="1" applyAlignment="1">
      <alignment horizontal="center"/>
    </xf>
    <xf numFmtId="2" fontId="9" fillId="4" borderId="0" xfId="0" applyNumberFormat="1" applyFont="1" applyFill="1" applyAlignment="1">
      <alignment horizontal="center"/>
    </xf>
    <xf numFmtId="2" fontId="9" fillId="0" borderId="0" xfId="0" applyNumberFormat="1" applyFont="1" applyAlignment="1">
      <alignment horizontal="center"/>
    </xf>
    <xf numFmtId="0" fontId="9" fillId="0" borderId="22" xfId="0" applyFont="1" applyBorder="1" applyAlignment="1">
      <alignment horizontal="left" vertical="center"/>
    </xf>
    <xf numFmtId="0" fontId="9" fillId="0" borderId="1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165" fontId="37" fillId="4" borderId="14" xfId="0" applyNumberFormat="1" applyFont="1" applyFill="1" applyBorder="1" applyAlignment="1">
      <alignment horizontal="center"/>
    </xf>
    <xf numFmtId="2" fontId="37" fillId="4" borderId="14" xfId="0" applyNumberFormat="1" applyFont="1" applyFill="1" applyBorder="1" applyAlignment="1">
      <alignment horizontal="center"/>
    </xf>
    <xf numFmtId="2" fontId="37" fillId="4" borderId="21" xfId="0" applyNumberFormat="1" applyFont="1" applyFill="1" applyBorder="1" applyAlignment="1">
      <alignment horizontal="center"/>
    </xf>
    <xf numFmtId="2" fontId="37" fillId="4" borderId="0" xfId="0" applyNumberFormat="1" applyFont="1" applyFill="1" applyAlignment="1">
      <alignment horizontal="center"/>
    </xf>
    <xf numFmtId="0" fontId="16" fillId="0" borderId="17" xfId="0" applyFont="1" applyBorder="1" applyAlignment="1">
      <alignment horizontal="left"/>
    </xf>
    <xf numFmtId="0" fontId="16" fillId="0" borderId="15" xfId="0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80" xfId="0" applyFont="1" applyBorder="1" applyAlignment="1">
      <alignment horizontal="left"/>
    </xf>
    <xf numFmtId="2" fontId="16" fillId="0" borderId="73" xfId="0" applyNumberFormat="1" applyFont="1" applyBorder="1" applyAlignment="1">
      <alignment horizontal="center"/>
    </xf>
    <xf numFmtId="4" fontId="39" fillId="0" borderId="6" xfId="0" applyNumberFormat="1" applyFont="1" applyBorder="1" applyAlignment="1">
      <alignment horizontal="right"/>
    </xf>
    <xf numFmtId="0" fontId="16" fillId="0" borderId="10" xfId="0" applyFont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16" fillId="0" borderId="5" xfId="0" applyFont="1" applyBorder="1" applyAlignment="1">
      <alignment horizontal="center"/>
    </xf>
    <xf numFmtId="172" fontId="16" fillId="0" borderId="5" xfId="0" applyNumberFormat="1" applyFont="1" applyBorder="1" applyAlignment="1">
      <alignment horizontal="right"/>
    </xf>
    <xf numFmtId="41" fontId="16" fillId="0" borderId="5" xfId="0" applyNumberFormat="1" applyFont="1" applyBorder="1" applyAlignment="1">
      <alignment horizontal="right"/>
    </xf>
    <xf numFmtId="43" fontId="16" fillId="0" borderId="6" xfId="0" applyNumberFormat="1" applyFont="1" applyBorder="1" applyAlignment="1">
      <alignment horizontal="right"/>
    </xf>
    <xf numFmtId="2" fontId="16" fillId="0" borderId="0" xfId="0" applyNumberFormat="1" applyFont="1" applyAlignment="1">
      <alignment horizontal="center"/>
    </xf>
    <xf numFmtId="0" fontId="16" fillId="0" borderId="26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2" fontId="16" fillId="0" borderId="27" xfId="0" applyNumberFormat="1" applyFont="1" applyBorder="1" applyAlignment="1">
      <alignment horizontal="center"/>
    </xf>
    <xf numFmtId="4" fontId="39" fillId="0" borderId="28" xfId="0" applyNumberFormat="1" applyFont="1" applyBorder="1" applyAlignment="1">
      <alignment horizontal="right"/>
    </xf>
    <xf numFmtId="0" fontId="16" fillId="0" borderId="26" xfId="0" applyFont="1" applyBorder="1" applyAlignment="1">
      <alignment horizontal="center"/>
    </xf>
    <xf numFmtId="0" fontId="6" fillId="9" borderId="27" xfId="0" applyFont="1" applyFill="1" applyBorder="1" applyAlignment="1">
      <alignment horizontal="center"/>
    </xf>
    <xf numFmtId="172" fontId="16" fillId="0" borderId="27" xfId="0" applyNumberFormat="1" applyFont="1" applyBorder="1" applyAlignment="1">
      <alignment horizontal="right"/>
    </xf>
    <xf numFmtId="41" fontId="16" fillId="0" borderId="27" xfId="0" applyNumberFormat="1" applyFont="1" applyBorder="1" applyAlignment="1">
      <alignment horizontal="right"/>
    </xf>
    <xf numFmtId="43" fontId="16" fillId="0" borderId="28" xfId="0" applyNumberFormat="1" applyFont="1" applyBorder="1" applyAlignment="1">
      <alignment horizontal="right"/>
    </xf>
    <xf numFmtId="0" fontId="6" fillId="2" borderId="46" xfId="0" applyFont="1" applyFill="1" applyBorder="1" applyAlignment="1">
      <alignment horizontal="center"/>
    </xf>
    <xf numFmtId="172" fontId="16" fillId="2" borderId="46" xfId="0" applyNumberFormat="1" applyFont="1" applyFill="1" applyBorder="1" applyAlignment="1">
      <alignment horizontal="right"/>
    </xf>
    <xf numFmtId="41" fontId="16" fillId="2" borderId="46" xfId="0" applyNumberFormat="1" applyFont="1" applyFill="1" applyBorder="1" applyAlignment="1">
      <alignment horizontal="right"/>
    </xf>
    <xf numFmtId="43" fontId="16" fillId="2" borderId="49" xfId="0" applyNumberFormat="1" applyFont="1" applyFill="1" applyBorder="1" applyAlignment="1">
      <alignment horizontal="right"/>
    </xf>
    <xf numFmtId="2" fontId="6" fillId="0" borderId="86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6" fillId="0" borderId="64" xfId="0" applyFont="1" applyBorder="1" applyAlignment="1">
      <alignment horizontal="left"/>
    </xf>
    <xf numFmtId="0" fontId="16" fillId="0" borderId="46" xfId="0" applyFont="1" applyBorder="1" applyAlignment="1">
      <alignment horizontal="center"/>
    </xf>
    <xf numFmtId="2" fontId="16" fillId="0" borderId="46" xfId="0" applyNumberFormat="1" applyFont="1" applyBorder="1" applyAlignment="1">
      <alignment horizontal="center"/>
    </xf>
    <xf numFmtId="4" fontId="39" fillId="0" borderId="49" xfId="0" applyNumberFormat="1" applyFont="1" applyBorder="1" applyAlignment="1">
      <alignment horizontal="right"/>
    </xf>
    <xf numFmtId="0" fontId="40" fillId="10" borderId="22" xfId="0" applyFont="1" applyFill="1" applyBorder="1" applyAlignment="1">
      <alignment horizontal="left"/>
    </xf>
    <xf numFmtId="0" fontId="40" fillId="10" borderId="14" xfId="0" applyFont="1" applyFill="1" applyBorder="1" applyAlignment="1">
      <alignment horizontal="center"/>
    </xf>
    <xf numFmtId="4" fontId="40" fillId="10" borderId="25" xfId="0" applyNumberFormat="1" applyFont="1" applyFill="1" applyBorder="1" applyAlignment="1">
      <alignment horizontal="right"/>
    </xf>
    <xf numFmtId="0" fontId="6" fillId="2" borderId="73" xfId="0" applyFont="1" applyFill="1" applyBorder="1" applyAlignment="1">
      <alignment horizontal="center"/>
    </xf>
    <xf numFmtId="172" fontId="16" fillId="2" borderId="73" xfId="0" applyNumberFormat="1" applyFont="1" applyFill="1" applyBorder="1" applyAlignment="1">
      <alignment horizontal="right"/>
    </xf>
    <xf numFmtId="41" fontId="16" fillId="2" borderId="73" xfId="0" applyNumberFormat="1" applyFont="1" applyFill="1" applyBorder="1" applyAlignment="1">
      <alignment horizontal="right"/>
    </xf>
    <xf numFmtId="43" fontId="16" fillId="2" borderId="74" xfId="0" applyNumberFormat="1" applyFont="1" applyFill="1" applyBorder="1" applyAlignment="1">
      <alignment horizontal="right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0" fillId="6" borderId="17" xfId="0" applyFont="1" applyFill="1" applyBorder="1" applyAlignment="1">
      <alignment horizontal="left"/>
    </xf>
    <xf numFmtId="2" fontId="16" fillId="0" borderId="15" xfId="0" applyNumberFormat="1" applyFont="1" applyBorder="1" applyAlignment="1">
      <alignment horizontal="center"/>
    </xf>
    <xf numFmtId="4" fontId="40" fillId="6" borderId="25" xfId="0" applyNumberFormat="1" applyFont="1" applyFill="1" applyBorder="1" applyAlignment="1">
      <alignment horizontal="right"/>
    </xf>
    <xf numFmtId="0" fontId="6" fillId="11" borderId="46" xfId="0" applyFont="1" applyFill="1" applyBorder="1" applyAlignment="1">
      <alignment horizontal="center"/>
    </xf>
    <xf numFmtId="172" fontId="16" fillId="11" borderId="46" xfId="0" applyNumberFormat="1" applyFont="1" applyFill="1" applyBorder="1" applyAlignment="1">
      <alignment horizontal="right"/>
    </xf>
    <xf numFmtId="41" fontId="16" fillId="11" borderId="46" xfId="0" applyNumberFormat="1" applyFont="1" applyFill="1" applyBorder="1" applyAlignment="1">
      <alignment horizontal="right"/>
    </xf>
    <xf numFmtId="43" fontId="16" fillId="11" borderId="49" xfId="0" applyNumberFormat="1" applyFont="1" applyFill="1" applyBorder="1" applyAlignment="1">
      <alignment horizontal="right"/>
    </xf>
    <xf numFmtId="165" fontId="8" fillId="0" borderId="0" xfId="0" applyNumberFormat="1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6" fillId="8" borderId="81" xfId="0" applyFont="1" applyFill="1" applyBorder="1" applyAlignment="1">
      <alignment horizontal="left"/>
    </xf>
    <xf numFmtId="0" fontId="16" fillId="0" borderId="67" xfId="0" applyFont="1" applyBorder="1" applyAlignment="1">
      <alignment horizontal="center"/>
    </xf>
    <xf numFmtId="0" fontId="16" fillId="7" borderId="75" xfId="0" applyFont="1" applyFill="1" applyBorder="1" applyAlignment="1">
      <alignment horizontal="center"/>
    </xf>
    <xf numFmtId="4" fontId="40" fillId="8" borderId="25" xfId="0" applyNumberFormat="1" applyFont="1" applyFill="1" applyBorder="1" applyAlignment="1">
      <alignment horizontal="right"/>
    </xf>
    <xf numFmtId="0" fontId="16" fillId="11" borderId="73" xfId="0" applyFont="1" applyFill="1" applyBorder="1" applyAlignment="1">
      <alignment horizontal="center"/>
    </xf>
    <xf numFmtId="172" fontId="16" fillId="11" borderId="73" xfId="0" applyNumberFormat="1" applyFont="1" applyFill="1" applyBorder="1" applyAlignment="1">
      <alignment horizontal="right"/>
    </xf>
    <xf numFmtId="41" fontId="16" fillId="11" borderId="73" xfId="0" applyNumberFormat="1" applyFont="1" applyFill="1" applyBorder="1" applyAlignment="1">
      <alignment horizontal="right"/>
    </xf>
    <xf numFmtId="43" fontId="16" fillId="11" borderId="74" xfId="0" applyNumberFormat="1" applyFont="1" applyFill="1" applyBorder="1" applyAlignment="1">
      <alignment horizontal="right"/>
    </xf>
    <xf numFmtId="0" fontId="16" fillId="4" borderId="17" xfId="0" applyFont="1" applyFill="1" applyBorder="1" applyAlignment="1">
      <alignment horizontal="left"/>
    </xf>
    <xf numFmtId="4" fontId="40" fillId="4" borderId="25" xfId="0" applyNumberFormat="1" applyFont="1" applyFill="1" applyBorder="1" applyAlignment="1">
      <alignment horizontal="right"/>
    </xf>
    <xf numFmtId="41" fontId="6" fillId="0" borderId="0" xfId="0" applyNumberFormat="1" applyFont="1" applyAlignment="1">
      <alignment horizontal="right"/>
    </xf>
    <xf numFmtId="0" fontId="40" fillId="0" borderId="0" xfId="0" applyFont="1" applyAlignment="1">
      <alignment horizontal="left"/>
    </xf>
    <xf numFmtId="0" fontId="40" fillId="0" borderId="0" xfId="0" applyFont="1" applyAlignment="1">
      <alignment horizontal="center"/>
    </xf>
    <xf numFmtId="0" fontId="16" fillId="4" borderId="79" xfId="0" applyFont="1" applyFill="1" applyBorder="1" applyAlignment="1">
      <alignment horizontal="left"/>
    </xf>
    <xf numFmtId="2" fontId="16" fillId="0" borderId="76" xfId="0" applyNumberFormat="1" applyFont="1" applyBorder="1" applyAlignment="1">
      <alignment horizontal="center"/>
    </xf>
    <xf numFmtId="0" fontId="16" fillId="0" borderId="76" xfId="0" applyFont="1" applyBorder="1" applyAlignment="1">
      <alignment horizontal="center"/>
    </xf>
    <xf numFmtId="4" fontId="40" fillId="4" borderId="77" xfId="0" applyNumberFormat="1" applyFont="1" applyFill="1" applyBorder="1" applyAlignment="1">
      <alignment horizontal="right"/>
    </xf>
    <xf numFmtId="172" fontId="6" fillId="0" borderId="27" xfId="0" applyNumberFormat="1" applyFont="1" applyBorder="1" applyAlignment="1">
      <alignment horizontal="right"/>
    </xf>
    <xf numFmtId="165" fontId="36" fillId="0" borderId="0" xfId="0" applyNumberFormat="1" applyFont="1" applyAlignment="1">
      <alignment horizontal="center"/>
    </xf>
    <xf numFmtId="0" fontId="16" fillId="4" borderId="18" xfId="0" applyFont="1" applyFill="1" applyBorder="1" applyAlignment="1">
      <alignment horizontal="left"/>
    </xf>
    <xf numFmtId="165" fontId="40" fillId="4" borderId="0" xfId="0" applyNumberFormat="1" applyFont="1" applyFill="1" applyAlignment="1">
      <alignment horizontal="center"/>
    </xf>
    <xf numFmtId="0" fontId="8" fillId="0" borderId="18" xfId="0" applyFont="1" applyBorder="1" applyAlignment="1">
      <alignment horizontal="left"/>
    </xf>
    <xf numFmtId="0" fontId="6" fillId="0" borderId="83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4" fontId="16" fillId="0" borderId="5" xfId="0" applyNumberFormat="1" applyFont="1" applyBorder="1" applyAlignment="1">
      <alignment horizontal="right"/>
    </xf>
    <xf numFmtId="167" fontId="16" fillId="0" borderId="5" xfId="0" applyNumberFormat="1" applyFont="1" applyBorder="1" applyAlignment="1">
      <alignment horizontal="right"/>
    </xf>
    <xf numFmtId="4" fontId="8" fillId="0" borderId="5" xfId="0" applyNumberFormat="1" applyFont="1" applyBorder="1" applyAlignment="1">
      <alignment horizontal="right"/>
    </xf>
    <xf numFmtId="4" fontId="8" fillId="0" borderId="6" xfId="0" applyNumberFormat="1" applyFont="1" applyBorder="1" applyAlignment="1">
      <alignment horizontal="center"/>
    </xf>
    <xf numFmtId="41" fontId="6" fillId="0" borderId="27" xfId="0" applyNumberFormat="1" applyFont="1" applyBorder="1" applyAlignment="1">
      <alignment horizontal="right"/>
    </xf>
    <xf numFmtId="4" fontId="16" fillId="0" borderId="27" xfId="0" applyNumberFormat="1" applyFont="1" applyBorder="1" applyAlignment="1">
      <alignment horizontal="right"/>
    </xf>
    <xf numFmtId="167" fontId="16" fillId="0" borderId="27" xfId="0" applyNumberFormat="1" applyFont="1" applyBorder="1" applyAlignment="1">
      <alignment horizontal="right"/>
    </xf>
    <xf numFmtId="4" fontId="8" fillId="0" borderId="27" xfId="0" applyNumberFormat="1" applyFont="1" applyBorder="1" applyAlignment="1">
      <alignment horizontal="right"/>
    </xf>
    <xf numFmtId="0" fontId="6" fillId="7" borderId="27" xfId="0" applyFont="1" applyFill="1" applyBorder="1" applyAlignment="1">
      <alignment horizontal="center"/>
    </xf>
    <xf numFmtId="41" fontId="6" fillId="7" borderId="27" xfId="0" applyNumberFormat="1" applyFont="1" applyFill="1" applyBorder="1" applyAlignment="1">
      <alignment horizontal="right"/>
    </xf>
    <xf numFmtId="0" fontId="6" fillId="0" borderId="29" xfId="0" applyFont="1" applyBorder="1" applyAlignment="1">
      <alignment horizontal="center"/>
    </xf>
    <xf numFmtId="4" fontId="16" fillId="0" borderId="30" xfId="0" applyNumberFormat="1" applyFont="1" applyBorder="1" applyAlignment="1">
      <alignment horizontal="right"/>
    </xf>
    <xf numFmtId="167" fontId="16" fillId="0" borderId="30" xfId="0" applyNumberFormat="1" applyFont="1" applyBorder="1" applyAlignment="1">
      <alignment horizontal="right"/>
    </xf>
    <xf numFmtId="4" fontId="8" fillId="0" borderId="30" xfId="0" applyNumberFormat="1" applyFont="1" applyBorder="1" applyAlignment="1">
      <alignment horizontal="right"/>
    </xf>
    <xf numFmtId="0" fontId="6" fillId="0" borderId="31" xfId="0" applyFont="1" applyBorder="1" applyAlignment="1">
      <alignment horizontal="center"/>
    </xf>
    <xf numFmtId="167" fontId="16" fillId="0" borderId="0" xfId="0" applyNumberFormat="1" applyFont="1" applyAlignment="1">
      <alignment horizontal="center"/>
    </xf>
    <xf numFmtId="4" fontId="8" fillId="0" borderId="72" xfId="0" applyNumberFormat="1" applyFont="1" applyBorder="1" applyAlignment="1">
      <alignment horizontal="center"/>
    </xf>
    <xf numFmtId="41" fontId="16" fillId="7" borderId="27" xfId="0" applyNumberFormat="1" applyFont="1" applyFill="1" applyBorder="1" applyAlignment="1">
      <alignment horizontal="right"/>
    </xf>
    <xf numFmtId="0" fontId="6" fillId="7" borderId="86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6" fillId="9" borderId="30" xfId="0" applyFont="1" applyFill="1" applyBorder="1" applyAlignment="1">
      <alignment horizontal="center"/>
    </xf>
    <xf numFmtId="172" fontId="16" fillId="0" borderId="30" xfId="0" applyNumberFormat="1" applyFont="1" applyBorder="1" applyAlignment="1">
      <alignment horizontal="right"/>
    </xf>
    <xf numFmtId="41" fontId="16" fillId="0" borderId="30" xfId="0" applyNumberFormat="1" applyFont="1" applyBorder="1" applyAlignment="1">
      <alignment horizontal="right"/>
    </xf>
    <xf numFmtId="43" fontId="16" fillId="0" borderId="90" xfId="0" applyNumberFormat="1" applyFont="1" applyBorder="1" applyAlignment="1">
      <alignment horizontal="right"/>
    </xf>
    <xf numFmtId="2" fontId="16" fillId="0" borderId="43" xfId="0" applyNumberFormat="1" applyFont="1" applyBorder="1" applyAlignment="1">
      <alignment horizontal="center"/>
    </xf>
    <xf numFmtId="2" fontId="16" fillId="0" borderId="4" xfId="0" applyNumberFormat="1" applyFont="1" applyBorder="1" applyAlignment="1">
      <alignment horizontal="center"/>
    </xf>
    <xf numFmtId="0" fontId="6" fillId="0" borderId="84" xfId="0" applyFont="1" applyBorder="1" applyAlignment="1">
      <alignment horizontal="left"/>
    </xf>
    <xf numFmtId="4" fontId="8" fillId="0" borderId="59" xfId="0" applyNumberFormat="1" applyFont="1" applyBorder="1" applyAlignment="1">
      <alignment horizontal="center"/>
    </xf>
    <xf numFmtId="0" fontId="6" fillId="0" borderId="26" xfId="0" applyFont="1" applyBorder="1" applyAlignment="1">
      <alignment horizontal="left"/>
    </xf>
    <xf numFmtId="2" fontId="6" fillId="0" borderId="27" xfId="0" applyNumberFormat="1" applyFont="1" applyBorder="1" applyAlignment="1">
      <alignment horizontal="center"/>
    </xf>
    <xf numFmtId="0" fontId="6" fillId="0" borderId="62" xfId="0" applyFont="1" applyBorder="1" applyAlignment="1">
      <alignment horizontal="left"/>
    </xf>
    <xf numFmtId="0" fontId="41" fillId="0" borderId="4" xfId="0" applyFont="1" applyBorder="1" applyAlignment="1">
      <alignment horizontal="center"/>
    </xf>
    <xf numFmtId="4" fontId="41" fillId="0" borderId="4" xfId="0" applyNumberFormat="1" applyFont="1" applyBorder="1" applyAlignment="1">
      <alignment horizontal="center"/>
    </xf>
    <xf numFmtId="0" fontId="41" fillId="0" borderId="83" xfId="0" applyFont="1" applyBorder="1" applyAlignment="1">
      <alignment horizontal="center"/>
    </xf>
    <xf numFmtId="0" fontId="41" fillId="0" borderId="91" xfId="0" applyFont="1" applyBorder="1" applyAlignment="1">
      <alignment horizontal="center"/>
    </xf>
    <xf numFmtId="0" fontId="41" fillId="0" borderId="19" xfId="0" applyFont="1" applyBorder="1" applyAlignment="1">
      <alignment horizontal="center"/>
    </xf>
    <xf numFmtId="0" fontId="41" fillId="0" borderId="20" xfId="0" applyFont="1" applyBorder="1" applyAlignment="1">
      <alignment horizontal="center"/>
    </xf>
    <xf numFmtId="0" fontId="41" fillId="0" borderId="21" xfId="0" applyFont="1" applyBorder="1" applyAlignment="1">
      <alignment horizontal="center"/>
    </xf>
    <xf numFmtId="0" fontId="41" fillId="0" borderId="10" xfId="0" applyFont="1" applyBorder="1" applyAlignment="1">
      <alignment horizontal="center"/>
    </xf>
    <xf numFmtId="0" fontId="41" fillId="0" borderId="92" xfId="0" applyFont="1" applyBorder="1" applyAlignment="1">
      <alignment horizontal="center"/>
    </xf>
    <xf numFmtId="4" fontId="41" fillId="0" borderId="5" xfId="0" applyNumberFormat="1" applyFont="1" applyBorder="1" applyAlignment="1">
      <alignment horizontal="right"/>
    </xf>
    <xf numFmtId="167" fontId="41" fillId="0" borderId="5" xfId="0" applyNumberFormat="1" applyFont="1" applyBorder="1" applyAlignment="1">
      <alignment horizontal="right"/>
    </xf>
    <xf numFmtId="4" fontId="9" fillId="0" borderId="5" xfId="0" applyNumberFormat="1" applyFont="1" applyBorder="1" applyAlignment="1">
      <alignment horizontal="right"/>
    </xf>
    <xf numFmtId="4" fontId="9" fillId="0" borderId="6" xfId="0" applyNumberFormat="1" applyFont="1" applyBorder="1" applyAlignment="1">
      <alignment horizontal="center"/>
    </xf>
    <xf numFmtId="4" fontId="9" fillId="0" borderId="21" xfId="0" applyNumberFormat="1" applyFont="1" applyBorder="1" applyAlignment="1">
      <alignment horizontal="center"/>
    </xf>
    <xf numFmtId="0" fontId="41" fillId="0" borderId="26" xfId="0" applyFont="1" applyBorder="1" applyAlignment="1">
      <alignment horizontal="center"/>
    </xf>
    <xf numFmtId="0" fontId="41" fillId="0" borderId="93" xfId="0" applyFont="1" applyBorder="1" applyAlignment="1">
      <alignment horizontal="center"/>
    </xf>
    <xf numFmtId="4" fontId="41" fillId="0" borderId="27" xfId="0" applyNumberFormat="1" applyFont="1" applyBorder="1" applyAlignment="1">
      <alignment horizontal="right"/>
    </xf>
    <xf numFmtId="167" fontId="41" fillId="0" borderId="27" xfId="0" applyNumberFormat="1" applyFont="1" applyBorder="1" applyAlignment="1">
      <alignment horizontal="right"/>
    </xf>
    <xf numFmtId="4" fontId="9" fillId="0" borderId="27" xfId="0" applyNumberFormat="1" applyFont="1" applyBorder="1" applyAlignment="1">
      <alignment horizontal="right"/>
    </xf>
    <xf numFmtId="0" fontId="41" fillId="0" borderId="28" xfId="0" applyFont="1" applyBorder="1" applyAlignment="1">
      <alignment horizontal="center"/>
    </xf>
    <xf numFmtId="0" fontId="41" fillId="0" borderId="0" xfId="0" applyFont="1" applyAlignment="1">
      <alignment horizontal="center"/>
    </xf>
    <xf numFmtId="4" fontId="41" fillId="0" borderId="0" xfId="0" applyNumberFormat="1" applyFont="1" applyAlignment="1">
      <alignment horizontal="center"/>
    </xf>
    <xf numFmtId="2" fontId="41" fillId="0" borderId="0" xfId="0" applyNumberFormat="1" applyFont="1" applyAlignment="1">
      <alignment horizontal="center"/>
    </xf>
    <xf numFmtId="0" fontId="41" fillId="0" borderId="29" xfId="0" applyFont="1" applyBorder="1" applyAlignment="1">
      <alignment horizontal="center"/>
    </xf>
    <xf numFmtId="0" fontId="41" fillId="0" borderId="94" xfId="0" applyFont="1" applyBorder="1" applyAlignment="1">
      <alignment horizontal="center"/>
    </xf>
    <xf numFmtId="4" fontId="41" fillId="0" borderId="30" xfId="0" applyNumberFormat="1" applyFont="1" applyBorder="1" applyAlignment="1">
      <alignment horizontal="right"/>
    </xf>
    <xf numFmtId="167" fontId="41" fillId="0" borderId="30" xfId="0" applyNumberFormat="1" applyFont="1" applyBorder="1" applyAlignment="1">
      <alignment horizontal="right"/>
    </xf>
    <xf numFmtId="4" fontId="9" fillId="0" borderId="30" xfId="0" applyNumberFormat="1" applyFont="1" applyBorder="1" applyAlignment="1">
      <alignment horizontal="right"/>
    </xf>
    <xf numFmtId="0" fontId="41" fillId="0" borderId="31" xfId="0" applyFont="1" applyBorder="1" applyAlignment="1">
      <alignment horizontal="center"/>
    </xf>
    <xf numFmtId="0" fontId="42" fillId="0" borderId="0" xfId="0" applyFont="1"/>
    <xf numFmtId="0" fontId="35" fillId="0" borderId="0" xfId="0" applyFont="1" applyAlignment="1">
      <alignment vertical="center"/>
    </xf>
    <xf numFmtId="43" fontId="41" fillId="0" borderId="0" xfId="0" applyNumberFormat="1" applyFont="1" applyAlignment="1">
      <alignment horizontal="center"/>
    </xf>
    <xf numFmtId="0" fontId="6" fillId="12" borderId="32" xfId="0" applyFont="1" applyFill="1" applyBorder="1"/>
    <xf numFmtId="0" fontId="6" fillId="12" borderId="3" xfId="0" applyFont="1" applyFill="1" applyBorder="1"/>
    <xf numFmtId="167" fontId="6" fillId="12" borderId="3" xfId="0" applyNumberFormat="1" applyFont="1" applyFill="1" applyBorder="1"/>
    <xf numFmtId="0" fontId="6" fillId="12" borderId="33" xfId="0" applyFont="1" applyFill="1" applyBorder="1"/>
    <xf numFmtId="0" fontId="6" fillId="12" borderId="34" xfId="0" applyFont="1" applyFill="1" applyBorder="1" applyAlignment="1">
      <alignment horizontal="right" vertical="center" textRotation="90"/>
    </xf>
    <xf numFmtId="0" fontId="6" fillId="12" borderId="36" xfId="0" applyFont="1" applyFill="1" applyBorder="1"/>
    <xf numFmtId="0" fontId="6" fillId="12" borderId="1" xfId="0" applyFont="1" applyFill="1" applyBorder="1"/>
    <xf numFmtId="167" fontId="6" fillId="12" borderId="1" xfId="0" applyNumberFormat="1" applyFont="1" applyFill="1" applyBorder="1"/>
    <xf numFmtId="0" fontId="6" fillId="12" borderId="37" xfId="0" applyFont="1" applyFill="1" applyBorder="1"/>
    <xf numFmtId="0" fontId="6" fillId="12" borderId="35" xfId="0" applyFont="1" applyFill="1" applyBorder="1"/>
    <xf numFmtId="0" fontId="6" fillId="12" borderId="34" xfId="0" applyFont="1" applyFill="1" applyBorder="1"/>
    <xf numFmtId="0" fontId="6" fillId="12" borderId="0" xfId="0" applyFont="1" applyFill="1"/>
    <xf numFmtId="167" fontId="6" fillId="12" borderId="0" xfId="0" applyNumberFormat="1" applyFont="1" applyFill="1"/>
    <xf numFmtId="167" fontId="6" fillId="12" borderId="34" xfId="0" applyNumberFormat="1" applyFont="1" applyFill="1" applyBorder="1" applyAlignment="1">
      <alignment horizontal="right" vertical="center"/>
    </xf>
    <xf numFmtId="0" fontId="6" fillId="12" borderId="0" xfId="0" applyFont="1" applyFill="1" applyAlignment="1">
      <alignment horizontal="right" vertical="center" textRotation="90"/>
    </xf>
    <xf numFmtId="0" fontId="6" fillId="12" borderId="32" xfId="0" applyFont="1" applyFill="1" applyBorder="1" applyAlignment="1">
      <alignment horizontal="right"/>
    </xf>
    <xf numFmtId="0" fontId="6" fillId="12" borderId="33" xfId="0" applyFont="1" applyFill="1" applyBorder="1" applyAlignment="1">
      <alignment horizontal="left"/>
    </xf>
    <xf numFmtId="3" fontId="6" fillId="12" borderId="36" xfId="0" applyNumberFormat="1" applyFont="1" applyFill="1" applyBorder="1"/>
    <xf numFmtId="3" fontId="6" fillId="12" borderId="0" xfId="0" applyNumberFormat="1" applyFont="1" applyFill="1" applyAlignment="1">
      <alignment vertical="center" textRotation="90"/>
    </xf>
    <xf numFmtId="3" fontId="6" fillId="12" borderId="4" xfId="0" applyNumberFormat="1" applyFont="1" applyFill="1" applyBorder="1" applyAlignment="1">
      <alignment horizontal="center"/>
    </xf>
    <xf numFmtId="43" fontId="41" fillId="0" borderId="4" xfId="0" applyNumberFormat="1" applyFont="1" applyBorder="1" applyAlignment="1">
      <alignment horizontal="center" wrapText="1"/>
    </xf>
    <xf numFmtId="0" fontId="41" fillId="12" borderId="35" xfId="0" applyFont="1" applyFill="1" applyBorder="1"/>
    <xf numFmtId="0" fontId="41" fillId="12" borderId="34" xfId="0" applyFont="1" applyFill="1" applyBorder="1"/>
    <xf numFmtId="0" fontId="41" fillId="12" borderId="0" xfId="0" applyFont="1" applyFill="1"/>
    <xf numFmtId="0" fontId="41" fillId="12" borderId="36" xfId="0" applyFont="1" applyFill="1" applyBorder="1"/>
    <xf numFmtId="0" fontId="41" fillId="12" borderId="1" xfId="0" applyFont="1" applyFill="1" applyBorder="1"/>
    <xf numFmtId="0" fontId="41" fillId="12" borderId="37" xfId="0" applyFont="1" applyFill="1" applyBorder="1"/>
    <xf numFmtId="0" fontId="41" fillId="0" borderId="4" xfId="0" applyFont="1" applyBorder="1" applyAlignment="1">
      <alignment horizontal="center" vertical="center" wrapText="1"/>
    </xf>
    <xf numFmtId="4" fontId="0" fillId="0" borderId="0" xfId="0" applyNumberFormat="1"/>
    <xf numFmtId="0" fontId="35" fillId="12" borderId="55" xfId="0" applyFont="1" applyFill="1" applyBorder="1" applyAlignment="1">
      <alignment horizontal="center" vertical="center" wrapText="1"/>
    </xf>
    <xf numFmtId="0" fontId="43" fillId="12" borderId="89" xfId="0" applyFont="1" applyFill="1" applyBorder="1" applyAlignment="1">
      <alignment horizontal="center" vertical="center" wrapText="1"/>
    </xf>
    <xf numFmtId="0" fontId="6" fillId="0" borderId="72" xfId="0" applyFont="1" applyBorder="1"/>
    <xf numFmtId="4" fontId="6" fillId="7" borderId="59" xfId="0" applyNumberFormat="1" applyFont="1" applyFill="1" applyBorder="1" applyAlignment="1">
      <alignment horizontal="center"/>
    </xf>
    <xf numFmtId="4" fontId="6" fillId="0" borderId="59" xfId="0" applyNumberFormat="1" applyFont="1" applyBorder="1" applyAlignment="1">
      <alignment horizontal="center"/>
    </xf>
    <xf numFmtId="4" fontId="39" fillId="0" borderId="27" xfId="0" applyNumberFormat="1" applyFont="1" applyBorder="1" applyAlignment="1">
      <alignment horizontal="center"/>
    </xf>
    <xf numFmtId="4" fontId="6" fillId="0" borderId="27" xfId="0" applyNumberFormat="1" applyFont="1" applyBorder="1" applyAlignment="1">
      <alignment horizontal="center"/>
    </xf>
    <xf numFmtId="4" fontId="6" fillId="0" borderId="61" xfId="0" applyNumberFormat="1" applyFont="1" applyBorder="1" applyAlignment="1">
      <alignment horizontal="center"/>
    </xf>
    <xf numFmtId="4" fontId="6" fillId="8" borderId="4" xfId="0" applyNumberFormat="1" applyFont="1" applyFill="1" applyBorder="1" applyAlignment="1">
      <alignment horizontal="center"/>
    </xf>
    <xf numFmtId="4" fontId="8" fillId="8" borderId="27" xfId="0" applyNumberFormat="1" applyFont="1" applyFill="1" applyBorder="1" applyAlignment="1">
      <alignment horizontal="right"/>
    </xf>
    <xf numFmtId="43" fontId="6" fillId="5" borderId="32" xfId="0" applyNumberFormat="1" applyFont="1" applyFill="1" applyBorder="1"/>
    <xf numFmtId="43" fontId="6" fillId="0" borderId="3" xfId="0" applyNumberFormat="1" applyFont="1" applyBorder="1"/>
    <xf numFmtId="43" fontId="6" fillId="5" borderId="3" xfId="0" applyNumberFormat="1" applyFont="1" applyFill="1" applyBorder="1"/>
    <xf numFmtId="43" fontId="6" fillId="0" borderId="33" xfId="0" applyNumberFormat="1" applyFont="1" applyBorder="1"/>
    <xf numFmtId="4" fontId="6" fillId="0" borderId="0" xfId="0" applyNumberFormat="1" applyFont="1" applyAlignment="1">
      <alignment horizontal="center" vertical="center"/>
    </xf>
    <xf numFmtId="43" fontId="41" fillId="0" borderId="4" xfId="0" applyNumberFormat="1" applyFont="1" applyBorder="1" applyAlignment="1">
      <alignment horizontal="center" vertical="center"/>
    </xf>
    <xf numFmtId="4" fontId="41" fillId="0" borderId="4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39" fontId="41" fillId="0" borderId="4" xfId="0" applyNumberFormat="1" applyFont="1" applyBorder="1" applyAlignment="1">
      <alignment horizontal="center" vertical="center"/>
    </xf>
    <xf numFmtId="4" fontId="44" fillId="0" borderId="4" xfId="0" applyNumberFormat="1" applyFont="1" applyBorder="1" applyAlignment="1">
      <alignment horizontal="center" vertical="center"/>
    </xf>
    <xf numFmtId="43" fontId="41" fillId="0" borderId="0" xfId="0" applyNumberFormat="1" applyFont="1" applyAlignment="1">
      <alignment horizontal="center" vertical="center"/>
    </xf>
    <xf numFmtId="0" fontId="35" fillId="12" borderId="4" xfId="0" applyFont="1" applyFill="1" applyBorder="1" applyAlignment="1">
      <alignment horizontal="center" vertical="center" wrapText="1"/>
    </xf>
    <xf numFmtId="0" fontId="43" fillId="12" borderId="4" xfId="0" applyFont="1" applyFill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/>
    </xf>
    <xf numFmtId="165" fontId="6" fillId="0" borderId="0" xfId="0" applyNumberFormat="1" applyFont="1"/>
    <xf numFmtId="165" fontId="6" fillId="0" borderId="0" xfId="0" applyNumberFormat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9" fillId="0" borderId="0" xfId="0" applyFont="1"/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168" fontId="6" fillId="0" borderId="0" xfId="0" applyNumberFormat="1" applyFont="1" applyAlignment="1" applyProtection="1">
      <alignment horizontal="right" vertical="center"/>
      <protection locked="0"/>
    </xf>
    <xf numFmtId="0" fontId="8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6" fillId="0" borderId="0" xfId="0" applyNumberFormat="1" applyFont="1" applyAlignment="1">
      <alignment horizontal="center"/>
    </xf>
    <xf numFmtId="49" fontId="6" fillId="0" borderId="0" xfId="0" applyNumberFormat="1" applyFont="1" applyAlignment="1" applyProtection="1">
      <alignment horizontal="left" vertical="center"/>
      <protection locked="0"/>
    </xf>
    <xf numFmtId="164" fontId="8" fillId="0" borderId="0" xfId="0" applyNumberFormat="1" applyFont="1" applyAlignment="1" applyProtection="1">
      <alignment horizontal="left" vertical="center"/>
      <protection locked="0"/>
    </xf>
    <xf numFmtId="2" fontId="6" fillId="0" borderId="0" xfId="0" applyNumberFormat="1" applyFont="1" applyAlignment="1">
      <alignment vertical="center" textRotation="90"/>
    </xf>
    <xf numFmtId="164" fontId="6" fillId="0" borderId="0" xfId="0" applyNumberFormat="1" applyFont="1" applyAlignment="1">
      <alignment vertical="center" textRotation="90"/>
    </xf>
    <xf numFmtId="164" fontId="6" fillId="0" borderId="0" xfId="0" applyNumberFormat="1" applyFont="1"/>
    <xf numFmtId="164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textRotation="90"/>
    </xf>
    <xf numFmtId="0" fontId="6" fillId="0" borderId="0" xfId="0" applyFont="1" applyAlignment="1">
      <alignment textRotation="90"/>
    </xf>
    <xf numFmtId="2" fontId="6" fillId="0" borderId="0" xfId="0" applyNumberFormat="1" applyFont="1" applyAlignment="1">
      <alignment textRotation="90"/>
    </xf>
    <xf numFmtId="4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14" fontId="8" fillId="0" borderId="0" xfId="0" applyNumberFormat="1" applyFont="1" applyAlignment="1" applyProtection="1">
      <alignment horizontal="left" vertical="center"/>
      <protection locked="0"/>
    </xf>
    <xf numFmtId="164" fontId="41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0" fillId="0" borderId="7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2" fontId="6" fillId="0" borderId="10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67" fontId="8" fillId="8" borderId="5" xfId="0" applyNumberFormat="1" applyFont="1" applyFill="1" applyBorder="1" applyAlignment="1">
      <alignment horizontal="center" vertical="center"/>
    </xf>
    <xf numFmtId="167" fontId="8" fillId="0" borderId="6" xfId="0" applyNumberFormat="1" applyFont="1" applyBorder="1" applyAlignment="1">
      <alignment horizontal="center" vertical="center"/>
    </xf>
    <xf numFmtId="2" fontId="6" fillId="0" borderId="26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67" fontId="8" fillId="8" borderId="27" xfId="0" applyNumberFormat="1" applyFont="1" applyFill="1" applyBorder="1" applyAlignment="1">
      <alignment horizontal="center" vertical="center"/>
    </xf>
    <xf numFmtId="167" fontId="8" fillId="0" borderId="28" xfId="0" applyNumberFormat="1" applyFont="1" applyBorder="1" applyAlignment="1">
      <alignment horizontal="center" vertical="center"/>
    </xf>
    <xf numFmtId="2" fontId="6" fillId="0" borderId="29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167" fontId="8" fillId="8" borderId="30" xfId="0" applyNumberFormat="1" applyFont="1" applyFill="1" applyBorder="1" applyAlignment="1">
      <alignment horizontal="center" vertical="center"/>
    </xf>
    <xf numFmtId="167" fontId="8" fillId="0" borderId="31" xfId="0" applyNumberFormat="1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4" fontId="6" fillId="0" borderId="4" xfId="0" applyNumberFormat="1" applyFont="1" applyBorder="1" applyAlignment="1">
      <alignment horizontal="center" vertical="center"/>
    </xf>
    <xf numFmtId="4" fontId="1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16" fillId="0" borderId="0" xfId="0" applyNumberFormat="1" applyFont="1" applyAlignment="1">
      <alignment horizontal="center" vertical="center"/>
    </xf>
    <xf numFmtId="168" fontId="6" fillId="8" borderId="0" xfId="0" applyNumberFormat="1" applyFont="1" applyFill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" fontId="6" fillId="0" borderId="0" xfId="0" quotePrefix="1" applyNumberFormat="1" applyFont="1" applyAlignment="1">
      <alignment horizontal="center" vertical="center"/>
    </xf>
    <xf numFmtId="4" fontId="6" fillId="0" borderId="0" xfId="0" quotePrefix="1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21" fillId="0" borderId="72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1" fillId="8" borderId="53" xfId="0" applyFont="1" applyFill="1" applyBorder="1" applyAlignment="1">
      <alignment horizontal="center" vertical="center"/>
    </xf>
    <xf numFmtId="3" fontId="1" fillId="8" borderId="85" xfId="0" applyNumberFormat="1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2" fontId="32" fillId="0" borderId="27" xfId="0" applyNumberFormat="1" applyFont="1" applyBorder="1" applyAlignment="1">
      <alignment horizontal="center" vertical="center"/>
    </xf>
    <xf numFmtId="4" fontId="20" fillId="0" borderId="22" xfId="0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4" fontId="20" fillId="0" borderId="21" xfId="0" applyNumberFormat="1" applyFont="1" applyBorder="1" applyAlignment="1">
      <alignment horizontal="center" vertical="center"/>
    </xf>
    <xf numFmtId="4" fontId="20" fillId="0" borderId="0" xfId="0" applyNumberFormat="1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4" fontId="1" fillId="0" borderId="8" xfId="0" applyNumberFormat="1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2" fontId="1" fillId="0" borderId="4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4" fontId="1" fillId="0" borderId="4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2" fontId="1" fillId="0" borderId="46" xfId="0" applyNumberFormat="1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 vertical="center"/>
    </xf>
    <xf numFmtId="0" fontId="1" fillId="7" borderId="31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23" fillId="2" borderId="49" xfId="0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32" fillId="2" borderId="61" xfId="0" applyFont="1" applyFill="1" applyBorder="1" applyAlignment="1">
      <alignment horizontal="center" vertical="center"/>
    </xf>
    <xf numFmtId="2" fontId="32" fillId="0" borderId="61" xfId="0" applyNumberFormat="1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7" borderId="51" xfId="0" applyFont="1" applyFill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20" fillId="0" borderId="78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7" borderId="55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56" xfId="0" applyFont="1" applyFill="1" applyBorder="1" applyAlignment="1">
      <alignment horizontal="center" vertical="center"/>
    </xf>
    <xf numFmtId="0" fontId="1" fillId="5" borderId="58" xfId="0" applyFont="1" applyFill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5" borderId="56" xfId="0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167" fontId="1" fillId="7" borderId="61" xfId="0" applyNumberFormat="1" applyFont="1" applyFill="1" applyBorder="1" applyAlignment="1">
      <alignment horizontal="center" vertical="center"/>
    </xf>
    <xf numFmtId="167" fontId="1" fillId="0" borderId="61" xfId="0" applyNumberFormat="1" applyFont="1" applyBorder="1" applyAlignment="1">
      <alignment horizontal="center" vertical="center"/>
    </xf>
    <xf numFmtId="167" fontId="1" fillId="0" borderId="82" xfId="0" applyNumberFormat="1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" fillId="5" borderId="64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5" borderId="65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5" borderId="48" xfId="0" applyFont="1" applyFill="1" applyBorder="1" applyAlignment="1">
      <alignment horizontal="center" vertical="center"/>
    </xf>
    <xf numFmtId="167" fontId="1" fillId="0" borderId="67" xfId="0" applyNumberFormat="1" applyFont="1" applyBorder="1" applyAlignment="1">
      <alignment horizontal="center" vertical="center"/>
    </xf>
    <xf numFmtId="167" fontId="1" fillId="0" borderId="68" xfId="0" applyNumberFormat="1" applyFont="1" applyBorder="1" applyAlignment="1">
      <alignment horizontal="center" vertical="center"/>
    </xf>
    <xf numFmtId="167" fontId="1" fillId="0" borderId="50" xfId="0" applyNumberFormat="1" applyFont="1" applyBorder="1" applyAlignment="1">
      <alignment horizontal="center" vertical="center"/>
    </xf>
    <xf numFmtId="167" fontId="1" fillId="0" borderId="51" xfId="0" applyNumberFormat="1" applyFont="1" applyBorder="1" applyAlignment="1">
      <alignment horizontal="center" vertical="center"/>
    </xf>
    <xf numFmtId="167" fontId="1" fillId="0" borderId="52" xfId="0" applyNumberFormat="1" applyFont="1" applyBorder="1" applyAlignment="1">
      <alignment horizontal="center" vertical="center"/>
    </xf>
    <xf numFmtId="167" fontId="1" fillId="7" borderId="50" xfId="0" applyNumberFormat="1" applyFont="1" applyFill="1" applyBorder="1" applyAlignment="1">
      <alignment horizontal="center" vertical="center"/>
    </xf>
    <xf numFmtId="167" fontId="1" fillId="7" borderId="52" xfId="0" applyNumberFormat="1" applyFont="1" applyFill="1" applyBorder="1" applyAlignment="1">
      <alignment horizontal="center" vertical="center"/>
    </xf>
    <xf numFmtId="167" fontId="1" fillId="7" borderId="69" xfId="0" applyNumberFormat="1" applyFont="1" applyFill="1" applyBorder="1" applyAlignment="1">
      <alignment horizontal="center" vertical="center"/>
    </xf>
    <xf numFmtId="167" fontId="1" fillId="7" borderId="70" xfId="0" applyNumberFormat="1" applyFont="1" applyFill="1" applyBorder="1" applyAlignment="1">
      <alignment horizontal="center" vertical="center"/>
    </xf>
    <xf numFmtId="167" fontId="1" fillId="7" borderId="71" xfId="0" applyNumberFormat="1" applyFont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165" fontId="25" fillId="4" borderId="14" xfId="0" applyNumberFormat="1" applyFont="1" applyFill="1" applyBorder="1" applyAlignment="1">
      <alignment horizontal="center" vertical="center"/>
    </xf>
    <xf numFmtId="2" fontId="25" fillId="4" borderId="14" xfId="0" applyNumberFormat="1" applyFont="1" applyFill="1" applyBorder="1" applyAlignment="1">
      <alignment horizontal="center" vertical="center"/>
    </xf>
    <xf numFmtId="2" fontId="25" fillId="4" borderId="21" xfId="0" applyNumberFormat="1" applyFont="1" applyFill="1" applyBorder="1" applyAlignment="1">
      <alignment horizontal="center" vertical="center"/>
    </xf>
    <xf numFmtId="2" fontId="25" fillId="4" borderId="0" xfId="0" applyNumberFormat="1" applyFont="1" applyFill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80" xfId="0" applyFont="1" applyBorder="1" applyAlignment="1">
      <alignment horizontal="center" vertical="center"/>
    </xf>
    <xf numFmtId="2" fontId="26" fillId="0" borderId="73" xfId="0" applyNumberFormat="1" applyFont="1" applyBorder="1" applyAlignment="1">
      <alignment horizontal="center" vertical="center"/>
    </xf>
    <xf numFmtId="165" fontId="28" fillId="0" borderId="6" xfId="0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165" fontId="26" fillId="0" borderId="5" xfId="0" applyNumberFormat="1" applyFont="1" applyBorder="1" applyAlignment="1">
      <alignment horizontal="center" vertical="center"/>
    </xf>
    <xf numFmtId="2" fontId="26" fillId="0" borderId="6" xfId="0" applyNumberFormat="1" applyFont="1" applyBorder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2" fontId="26" fillId="0" borderId="27" xfId="0" applyNumberFormat="1" applyFont="1" applyBorder="1" applyAlignment="1">
      <alignment horizontal="center" vertical="center"/>
    </xf>
    <xf numFmtId="165" fontId="28" fillId="0" borderId="28" xfId="0" applyNumberFormat="1" applyFont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165" fontId="26" fillId="0" borderId="27" xfId="0" applyNumberFormat="1" applyFont="1" applyBorder="1" applyAlignment="1">
      <alignment horizontal="center" vertical="center"/>
    </xf>
    <xf numFmtId="2" fontId="26" fillId="0" borderId="28" xfId="0" applyNumberFormat="1" applyFont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165" fontId="26" fillId="2" borderId="46" xfId="0" applyNumberFormat="1" applyFont="1" applyFill="1" applyBorder="1" applyAlignment="1">
      <alignment horizontal="center" vertical="center"/>
    </xf>
    <xf numFmtId="0" fontId="26" fillId="2" borderId="46" xfId="0" applyFont="1" applyFill="1" applyBorder="1" applyAlignment="1">
      <alignment horizontal="center" vertical="center"/>
    </xf>
    <xf numFmtId="2" fontId="26" fillId="2" borderId="49" xfId="0" applyNumberFormat="1" applyFont="1" applyFill="1" applyBorder="1" applyAlignment="1">
      <alignment horizontal="center" vertical="center"/>
    </xf>
    <xf numFmtId="0" fontId="26" fillId="0" borderId="64" xfId="0" applyFont="1" applyBorder="1" applyAlignment="1">
      <alignment horizontal="center" vertical="center"/>
    </xf>
    <xf numFmtId="0" fontId="26" fillId="0" borderId="46" xfId="0" applyFont="1" applyBorder="1" applyAlignment="1">
      <alignment horizontal="center" vertical="center"/>
    </xf>
    <xf numFmtId="2" fontId="26" fillId="0" borderId="46" xfId="0" applyNumberFormat="1" applyFont="1" applyBorder="1" applyAlignment="1">
      <alignment horizontal="center" vertical="center"/>
    </xf>
    <xf numFmtId="165" fontId="28" fillId="0" borderId="49" xfId="0" applyNumberFormat="1" applyFont="1" applyBorder="1" applyAlignment="1">
      <alignment horizontal="center" vertical="center"/>
    </xf>
    <xf numFmtId="0" fontId="0" fillId="2" borderId="73" xfId="0" applyFill="1" applyBorder="1" applyAlignment="1">
      <alignment horizontal="center" vertical="center"/>
    </xf>
    <xf numFmtId="165" fontId="26" fillId="2" borderId="73" xfId="0" applyNumberFormat="1" applyFont="1" applyFill="1" applyBorder="1" applyAlignment="1">
      <alignment horizontal="center" vertical="center"/>
    </xf>
    <xf numFmtId="0" fontId="26" fillId="2" borderId="73" xfId="0" applyFont="1" applyFill="1" applyBorder="1" applyAlignment="1">
      <alignment horizontal="center" vertical="center"/>
    </xf>
    <xf numFmtId="2" fontId="26" fillId="2" borderId="74" xfId="0" applyNumberFormat="1" applyFont="1" applyFill="1" applyBorder="1" applyAlignment="1">
      <alignment horizontal="center" vertical="center"/>
    </xf>
    <xf numFmtId="0" fontId="29" fillId="10" borderId="22" xfId="0" applyFont="1" applyFill="1" applyBorder="1" applyAlignment="1">
      <alignment horizontal="center" vertical="center"/>
    </xf>
    <xf numFmtId="0" fontId="29" fillId="10" borderId="14" xfId="0" applyFont="1" applyFill="1" applyBorder="1" applyAlignment="1">
      <alignment horizontal="center" vertical="center"/>
    </xf>
    <xf numFmtId="4" fontId="29" fillId="10" borderId="25" xfId="0" applyNumberFormat="1" applyFont="1" applyFill="1" applyBorder="1" applyAlignment="1">
      <alignment horizontal="center" vertical="center"/>
    </xf>
    <xf numFmtId="0" fontId="29" fillId="6" borderId="17" xfId="0" applyFont="1" applyFill="1" applyBorder="1" applyAlignment="1">
      <alignment horizontal="center" vertical="center"/>
    </xf>
    <xf numFmtId="2" fontId="26" fillId="0" borderId="15" xfId="0" applyNumberFormat="1" applyFont="1" applyBorder="1" applyAlignment="1">
      <alignment horizontal="center" vertical="center"/>
    </xf>
    <xf numFmtId="4" fontId="29" fillId="6" borderId="25" xfId="0" applyNumberFormat="1" applyFont="1" applyFill="1" applyBorder="1" applyAlignment="1">
      <alignment horizontal="center" vertical="center"/>
    </xf>
    <xf numFmtId="0" fontId="0" fillId="11" borderId="46" xfId="0" applyFill="1" applyBorder="1" applyAlignment="1">
      <alignment horizontal="center" vertical="center"/>
    </xf>
    <xf numFmtId="165" fontId="26" fillId="11" borderId="46" xfId="0" applyNumberFormat="1" applyFont="1" applyFill="1" applyBorder="1" applyAlignment="1">
      <alignment horizontal="center" vertical="center"/>
    </xf>
    <xf numFmtId="0" fontId="26" fillId="11" borderId="46" xfId="0" applyFont="1" applyFill="1" applyBorder="1" applyAlignment="1">
      <alignment horizontal="center" vertical="center"/>
    </xf>
    <xf numFmtId="2" fontId="26" fillId="11" borderId="49" xfId="0" applyNumberFormat="1" applyFont="1" applyFill="1" applyBorder="1" applyAlignment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26" fillId="8" borderId="81" xfId="0" applyFont="1" applyFill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7" borderId="75" xfId="0" applyFont="1" applyFill="1" applyBorder="1" applyAlignment="1">
      <alignment horizontal="center" vertical="center"/>
    </xf>
    <xf numFmtId="4" fontId="29" fillId="8" borderId="25" xfId="0" applyNumberFormat="1" applyFont="1" applyFill="1" applyBorder="1" applyAlignment="1">
      <alignment horizontal="center" vertical="center"/>
    </xf>
    <xf numFmtId="0" fontId="26" fillId="11" borderId="73" xfId="0" applyFont="1" applyFill="1" applyBorder="1" applyAlignment="1">
      <alignment horizontal="center" vertical="center"/>
    </xf>
    <xf numFmtId="165" fontId="26" fillId="11" borderId="73" xfId="0" applyNumberFormat="1" applyFont="1" applyFill="1" applyBorder="1" applyAlignment="1">
      <alignment horizontal="center" vertical="center"/>
    </xf>
    <xf numFmtId="2" fontId="26" fillId="11" borderId="74" xfId="0" applyNumberFormat="1" applyFont="1" applyFill="1" applyBorder="1" applyAlignment="1">
      <alignment horizontal="center" vertical="center"/>
    </xf>
    <xf numFmtId="0" fontId="26" fillId="4" borderId="17" xfId="0" applyFont="1" applyFill="1" applyBorder="1" applyAlignment="1">
      <alignment horizontal="center" vertical="center"/>
    </xf>
    <xf numFmtId="165" fontId="29" fillId="4" borderId="25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6" fillId="4" borderId="79" xfId="0" applyFont="1" applyFill="1" applyBorder="1" applyAlignment="1">
      <alignment horizontal="center" vertical="center"/>
    </xf>
    <xf numFmtId="2" fontId="26" fillId="0" borderId="76" xfId="0" applyNumberFormat="1" applyFont="1" applyBorder="1" applyAlignment="1">
      <alignment horizontal="center" vertical="center"/>
    </xf>
    <xf numFmtId="0" fontId="26" fillId="0" borderId="76" xfId="0" applyFont="1" applyBorder="1" applyAlignment="1">
      <alignment horizontal="center" vertical="center"/>
    </xf>
    <xf numFmtId="165" fontId="29" fillId="4" borderId="77" xfId="0" applyNumberFormat="1" applyFont="1" applyFill="1" applyBorder="1" applyAlignment="1">
      <alignment horizontal="center" vertical="center"/>
    </xf>
    <xf numFmtId="167" fontId="1" fillId="0" borderId="27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6" fillId="4" borderId="18" xfId="0" applyFont="1" applyFill="1" applyBorder="1" applyAlignment="1">
      <alignment horizontal="center" vertical="center"/>
    </xf>
    <xf numFmtId="165" fontId="29" fillId="4" borderId="0" xfId="0" applyNumberFormat="1" applyFont="1" applyFill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4" fontId="26" fillId="0" borderId="5" xfId="0" applyNumberFormat="1" applyFont="1" applyBorder="1" applyAlignment="1">
      <alignment horizontal="center" vertical="center"/>
    </xf>
    <xf numFmtId="167" fontId="26" fillId="0" borderId="5" xfId="0" applyNumberFormat="1" applyFont="1" applyBorder="1" applyAlignment="1">
      <alignment horizontal="center" vertical="center"/>
    </xf>
    <xf numFmtId="4" fontId="20" fillId="0" borderId="5" xfId="0" applyNumberFormat="1" applyFont="1" applyBorder="1" applyAlignment="1">
      <alignment horizontal="center" vertical="center"/>
    </xf>
    <xf numFmtId="4" fontId="20" fillId="0" borderId="6" xfId="0" applyNumberFormat="1" applyFont="1" applyBorder="1" applyAlignment="1">
      <alignment horizontal="center" vertical="center"/>
    </xf>
    <xf numFmtId="4" fontId="26" fillId="0" borderId="27" xfId="0" applyNumberFormat="1" applyFont="1" applyBorder="1" applyAlignment="1">
      <alignment horizontal="center" vertical="center"/>
    </xf>
    <xf numFmtId="167" fontId="26" fillId="0" borderId="27" xfId="0" applyNumberFormat="1" applyFont="1" applyBorder="1" applyAlignment="1">
      <alignment horizontal="center" vertical="center"/>
    </xf>
    <xf numFmtId="4" fontId="20" fillId="0" borderId="27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1" fillId="7" borderId="27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" fontId="26" fillId="0" borderId="30" xfId="0" applyNumberFormat="1" applyFont="1" applyBorder="1" applyAlignment="1">
      <alignment horizontal="center" vertical="center"/>
    </xf>
    <xf numFmtId="167" fontId="26" fillId="0" borderId="30" xfId="0" applyNumberFormat="1" applyFont="1" applyBorder="1" applyAlignment="1">
      <alignment horizontal="center" vertical="center"/>
    </xf>
    <xf numFmtId="4" fontId="20" fillId="0" borderId="30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26" fillId="0" borderId="0" xfId="0" applyNumberFormat="1" applyFont="1" applyAlignment="1">
      <alignment horizontal="center" vertical="center"/>
    </xf>
    <xf numFmtId="4" fontId="20" fillId="2" borderId="67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26" fillId="7" borderId="27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26" fillId="0" borderId="30" xfId="0" applyNumberFormat="1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2" fontId="26" fillId="0" borderId="31" xfId="0" applyNumberFormat="1" applyFont="1" applyBorder="1" applyAlignment="1">
      <alignment horizontal="center" vertical="center"/>
    </xf>
    <xf numFmtId="0" fontId="1" fillId="0" borderId="84" xfId="0" applyFont="1" applyBorder="1" applyAlignment="1">
      <alignment horizontal="center" vertical="center"/>
    </xf>
    <xf numFmtId="0" fontId="1" fillId="7" borderId="59" xfId="0" applyFont="1" applyFill="1" applyBorder="1" applyAlignment="1">
      <alignment horizontal="center" vertical="center"/>
    </xf>
    <xf numFmtId="4" fontId="20" fillId="0" borderId="59" xfId="0" applyNumberFormat="1" applyFont="1" applyBorder="1" applyAlignment="1">
      <alignment horizontal="center" vertical="center"/>
    </xf>
    <xf numFmtId="165" fontId="28" fillId="0" borderId="27" xfId="0" applyNumberFormat="1" applyFon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165" fontId="0" fillId="0" borderId="27" xfId="0" applyNumberForma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" fontId="0" fillId="2" borderId="4" xfId="0" applyNumberFormat="1" applyFill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4" fontId="20" fillId="4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56" fillId="8" borderId="0" xfId="0" applyFont="1" applyFill="1" applyAlignment="1">
      <alignment horizontal="center" vertical="center"/>
    </xf>
    <xf numFmtId="0" fontId="57" fillId="0" borderId="0" xfId="0" applyFont="1"/>
    <xf numFmtId="0" fontId="0" fillId="0" borderId="0" xfId="0" quotePrefix="1"/>
    <xf numFmtId="0" fontId="0" fillId="0" borderId="55" xfId="0" applyBorder="1" applyAlignment="1">
      <alignment horizontal="center" vertical="center"/>
    </xf>
    <xf numFmtId="0" fontId="58" fillId="15" borderId="0" xfId="0" applyFont="1" applyFill="1"/>
    <xf numFmtId="0" fontId="8" fillId="0" borderId="4" xfId="0" applyFont="1" applyBorder="1" applyAlignment="1">
      <alignment horizontal="center" vertical="center"/>
    </xf>
    <xf numFmtId="0" fontId="60" fillId="19" borderId="4" xfId="0" applyFont="1" applyFill="1" applyBorder="1" applyAlignment="1">
      <alignment horizontal="center" vertical="center" wrapText="1"/>
    </xf>
    <xf numFmtId="0" fontId="6" fillId="15" borderId="0" xfId="0" applyFont="1" applyFill="1"/>
    <xf numFmtId="0" fontId="55" fillId="15" borderId="34" xfId="0" applyFont="1" applyFill="1" applyBorder="1" applyAlignment="1">
      <alignment horizontal="center" vertical="center"/>
    </xf>
    <xf numFmtId="0" fontId="56" fillId="15" borderId="0" xfId="0" applyFont="1" applyFill="1" applyAlignment="1">
      <alignment horizontal="center" vertical="center"/>
    </xf>
    <xf numFmtId="0" fontId="56" fillId="15" borderId="4" xfId="0" applyFont="1" applyFill="1" applyBorder="1" applyAlignment="1">
      <alignment horizontal="center" vertical="center"/>
    </xf>
    <xf numFmtId="0" fontId="56" fillId="15" borderId="0" xfId="0" applyFont="1" applyFill="1" applyAlignment="1">
      <alignment vertical="center"/>
    </xf>
    <xf numFmtId="0" fontId="57" fillId="15" borderId="0" xfId="0" applyFont="1" applyFill="1"/>
    <xf numFmtId="0" fontId="57" fillId="15" borderId="0" xfId="0" applyFont="1" applyFill="1" applyAlignment="1">
      <alignment horizontal="right"/>
    </xf>
    <xf numFmtId="2" fontId="56" fillId="15" borderId="0" xfId="0" applyNumberFormat="1" applyFont="1" applyFill="1" applyAlignment="1">
      <alignment horizontal="center" vertical="center"/>
    </xf>
    <xf numFmtId="4" fontId="56" fillId="15" borderId="0" xfId="0" applyNumberFormat="1" applyFont="1" applyFill="1" applyAlignment="1">
      <alignment horizontal="center" vertical="center"/>
    </xf>
    <xf numFmtId="4" fontId="56" fillId="15" borderId="0" xfId="0" applyNumberFormat="1" applyFont="1" applyFill="1" applyAlignment="1">
      <alignment horizontal="left" vertical="center"/>
    </xf>
    <xf numFmtId="4" fontId="56" fillId="15" borderId="0" xfId="0" quotePrefix="1" applyNumberFormat="1" applyFont="1" applyFill="1" applyAlignment="1">
      <alignment horizontal="left" vertical="center"/>
    </xf>
    <xf numFmtId="3" fontId="56" fillId="15" borderId="0" xfId="0" applyNumberFormat="1" applyFont="1" applyFill="1" applyAlignment="1">
      <alignment horizontal="center" vertical="center"/>
    </xf>
    <xf numFmtId="168" fontId="56" fillId="15" borderId="0" xfId="0" applyNumberFormat="1" applyFont="1" applyFill="1" applyAlignment="1">
      <alignment horizontal="center" vertical="center"/>
    </xf>
    <xf numFmtId="0" fontId="62" fillId="0" borderId="0" xfId="0" applyFont="1"/>
    <xf numFmtId="0" fontId="62" fillId="0" borderId="4" xfId="0" applyFont="1" applyBorder="1" applyAlignment="1">
      <alignment horizontal="left" vertical="center"/>
    </xf>
    <xf numFmtId="0" fontId="62" fillId="0" borderId="4" xfId="0" applyFont="1" applyBorder="1" applyAlignment="1">
      <alignment horizontal="center" vertical="center"/>
    </xf>
    <xf numFmtId="0" fontId="64" fillId="0" borderId="4" xfId="0" applyFont="1" applyBorder="1" applyAlignment="1">
      <alignment horizontal="left" vertical="center"/>
    </xf>
    <xf numFmtId="3" fontId="64" fillId="0" borderId="4" xfId="0" applyNumberFormat="1" applyFont="1" applyBorder="1" applyAlignment="1">
      <alignment horizontal="center" vertical="center"/>
    </xf>
    <xf numFmtId="0" fontId="64" fillId="0" borderId="4" xfId="0" applyFont="1" applyBorder="1" applyAlignment="1">
      <alignment horizontal="center" vertical="center"/>
    </xf>
    <xf numFmtId="0" fontId="64" fillId="0" borderId="0" xfId="0" applyFont="1"/>
    <xf numFmtId="0" fontId="64" fillId="0" borderId="4" xfId="0" applyFont="1" applyBorder="1"/>
    <xf numFmtId="1" fontId="64" fillId="0" borderId="4" xfId="0" applyNumberFormat="1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3" fontId="64" fillId="0" borderId="4" xfId="0" applyNumberFormat="1" applyFont="1" applyBorder="1" applyAlignment="1">
      <alignment horizontal="center"/>
    </xf>
    <xf numFmtId="0" fontId="65" fillId="15" borderId="0" xfId="0" applyFont="1" applyFill="1" applyAlignment="1">
      <alignment horizontal="center"/>
    </xf>
    <xf numFmtId="14" fontId="64" fillId="0" borderId="4" xfId="0" applyNumberFormat="1" applyFont="1" applyBorder="1" applyAlignment="1">
      <alignment horizontal="center" vertical="center"/>
    </xf>
    <xf numFmtId="0" fontId="64" fillId="0" borderId="0" xfId="0" applyFont="1" applyAlignment="1">
      <alignment horizontal="left" vertical="center"/>
    </xf>
    <xf numFmtId="0" fontId="64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4" fontId="51" fillId="16" borderId="0" xfId="0" applyNumberFormat="1" applyFont="1" applyFill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35" fillId="0" borderId="0" xfId="0" quotePrefix="1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9" fillId="0" borderId="0" xfId="0" applyFont="1" applyAlignment="1">
      <alignment horizontal="left" vertical="center"/>
    </xf>
    <xf numFmtId="0" fontId="41" fillId="0" borderId="0" xfId="0" applyFont="1" applyAlignment="1">
      <alignment horizontal="center" vertical="center"/>
    </xf>
    <xf numFmtId="4" fontId="41" fillId="16" borderId="4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4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>
      <alignment horizontal="right" vertical="center"/>
    </xf>
    <xf numFmtId="2" fontId="41" fillId="0" borderId="0" xfId="0" applyNumberFormat="1" applyFont="1" applyAlignment="1">
      <alignment horizontal="center" vertical="center"/>
    </xf>
    <xf numFmtId="0" fontId="69" fillId="0" borderId="0" xfId="0" applyFont="1" applyAlignment="1">
      <alignment vertical="center"/>
    </xf>
    <xf numFmtId="0" fontId="41" fillId="0" borderId="0" xfId="0" applyFont="1" applyAlignment="1">
      <alignment vertical="center" wrapText="1"/>
    </xf>
    <xf numFmtId="0" fontId="41" fillId="0" borderId="0" xfId="0" applyFont="1" applyAlignment="1">
      <alignment horizontal="left" vertical="center"/>
    </xf>
    <xf numFmtId="0" fontId="41" fillId="0" borderId="0" xfId="0" applyFont="1" applyAlignment="1" applyProtection="1">
      <alignment horizontal="center" vertical="center"/>
      <protection locked="0"/>
    </xf>
    <xf numFmtId="4" fontId="41" fillId="14" borderId="0" xfId="0" applyNumberFormat="1" applyFont="1" applyFill="1" applyAlignment="1">
      <alignment horizontal="center" vertical="center"/>
    </xf>
    <xf numFmtId="164" fontId="41" fillId="0" borderId="0" xfId="0" applyNumberFormat="1" applyFont="1" applyAlignment="1">
      <alignment horizontal="center" vertical="center"/>
    </xf>
    <xf numFmtId="164" fontId="41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textRotation="90"/>
    </xf>
    <xf numFmtId="164" fontId="41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2" fontId="41" fillId="0" borderId="0" xfId="0" applyNumberFormat="1" applyFont="1" applyAlignment="1">
      <alignment horizontal="right" vertical="center"/>
    </xf>
    <xf numFmtId="1" fontId="41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0" fontId="41" fillId="14" borderId="0" xfId="0" applyFont="1" applyFill="1" applyAlignment="1">
      <alignment horizontal="center" vertical="center"/>
    </xf>
    <xf numFmtId="0" fontId="41" fillId="0" borderId="0" xfId="0" applyFont="1" applyAlignment="1">
      <alignment horizontal="right" vertical="center" wrapText="1"/>
    </xf>
    <xf numFmtId="0" fontId="73" fillId="0" borderId="0" xfId="0" applyFont="1" applyAlignment="1">
      <alignment horizontal="left" vertical="center"/>
    </xf>
    <xf numFmtId="0" fontId="74" fillId="0" borderId="0" xfId="0" applyFont="1" applyAlignment="1">
      <alignment vertical="center"/>
    </xf>
    <xf numFmtId="0" fontId="69" fillId="0" borderId="0" xfId="0" applyFont="1" applyAlignment="1">
      <alignment horizontal="center" vertical="center"/>
    </xf>
    <xf numFmtId="0" fontId="41" fillId="0" borderId="0" xfId="0" quotePrefix="1" applyFont="1" applyAlignment="1">
      <alignment horizontal="right" vertical="center"/>
    </xf>
    <xf numFmtId="165" fontId="41" fillId="0" borderId="0" xfId="0" quotePrefix="1" applyNumberFormat="1" applyFont="1" applyAlignment="1">
      <alignment horizontal="center" vertical="center"/>
    </xf>
    <xf numFmtId="0" fontId="41" fillId="0" borderId="0" xfId="0" quotePrefix="1" applyFont="1" applyAlignment="1">
      <alignment horizontal="center" vertical="center"/>
    </xf>
    <xf numFmtId="167" fontId="41" fillId="0" borderId="0" xfId="0" applyNumberFormat="1" applyFont="1" applyAlignment="1">
      <alignment horizontal="center" vertical="center"/>
    </xf>
    <xf numFmtId="2" fontId="41" fillId="0" borderId="0" xfId="0" quotePrefix="1" applyNumberFormat="1" applyFont="1" applyAlignment="1">
      <alignment horizontal="center" vertical="center"/>
    </xf>
    <xf numFmtId="4" fontId="41" fillId="0" borderId="0" xfId="0" applyNumberFormat="1" applyFont="1" applyAlignment="1">
      <alignment horizontal="left" vertical="center"/>
    </xf>
    <xf numFmtId="1" fontId="41" fillId="14" borderId="0" xfId="0" applyNumberFormat="1" applyFont="1" applyFill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left" vertical="center"/>
    </xf>
    <xf numFmtId="0" fontId="76" fillId="0" borderId="0" xfId="0" applyFont="1" applyAlignment="1">
      <alignment horizontal="left" vertical="center"/>
    </xf>
    <xf numFmtId="0" fontId="77" fillId="0" borderId="0" xfId="0" applyFont="1" applyAlignment="1">
      <alignment horizontal="center" vertical="center"/>
    </xf>
    <xf numFmtId="166" fontId="41" fillId="0" borderId="0" xfId="0" applyNumberFormat="1" applyFont="1" applyAlignment="1">
      <alignment horizontal="center" vertical="center"/>
    </xf>
    <xf numFmtId="168" fontId="41" fillId="0" borderId="0" xfId="0" applyNumberFormat="1" applyFont="1" applyAlignment="1">
      <alignment horizontal="center" vertical="center"/>
    </xf>
    <xf numFmtId="4" fontId="41" fillId="0" borderId="0" xfId="0" applyNumberFormat="1" applyFont="1" applyAlignment="1">
      <alignment horizontal="right" vertical="center"/>
    </xf>
    <xf numFmtId="0" fontId="76" fillId="0" borderId="0" xfId="0" applyFont="1" applyAlignment="1">
      <alignment horizontal="center" vertical="center"/>
    </xf>
    <xf numFmtId="166" fontId="41" fillId="0" borderId="0" xfId="0" quotePrefix="1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79" fillId="0" borderId="0" xfId="0" applyFont="1" applyAlignment="1">
      <alignment horizontal="center" vertical="center"/>
    </xf>
    <xf numFmtId="165" fontId="41" fillId="0" borderId="0" xfId="0" applyNumberFormat="1" applyFont="1" applyAlignment="1">
      <alignment horizontal="center" vertical="center"/>
    </xf>
    <xf numFmtId="0" fontId="30" fillId="0" borderId="0" xfId="0" applyFont="1"/>
    <xf numFmtId="1" fontId="41" fillId="2" borderId="0" xfId="0" applyNumberFormat="1" applyFont="1" applyFill="1" applyAlignment="1">
      <alignment horizontal="center" vertical="center"/>
    </xf>
    <xf numFmtId="4" fontId="41" fillId="0" borderId="0" xfId="0" quotePrefix="1" applyNumberFormat="1" applyFont="1" applyAlignment="1">
      <alignment horizontal="center" vertical="center"/>
    </xf>
    <xf numFmtId="0" fontId="76" fillId="0" borderId="0" xfId="0" applyFont="1" applyAlignment="1">
      <alignment vertical="center"/>
    </xf>
    <xf numFmtId="0" fontId="41" fillId="0" borderId="0" xfId="0" applyFont="1" applyAlignment="1">
      <alignment vertical="center" textRotation="90"/>
    </xf>
    <xf numFmtId="166" fontId="41" fillId="14" borderId="0" xfId="0" applyNumberFormat="1" applyFont="1" applyFill="1" applyAlignment="1">
      <alignment horizontal="center" vertical="center"/>
    </xf>
    <xf numFmtId="171" fontId="41" fillId="2" borderId="0" xfId="0" applyNumberFormat="1" applyFont="1" applyFill="1" applyAlignment="1">
      <alignment horizontal="center" vertical="center"/>
    </xf>
    <xf numFmtId="169" fontId="41" fillId="0" borderId="0" xfId="0" applyNumberFormat="1" applyFont="1" applyAlignment="1">
      <alignment horizontal="left" vertical="center"/>
    </xf>
    <xf numFmtId="0" fontId="83" fillId="0" borderId="0" xfId="0" applyFont="1" applyAlignment="1">
      <alignment horizontal="center" vertical="center"/>
    </xf>
    <xf numFmtId="0" fontId="41" fillId="5" borderId="0" xfId="0" applyFont="1" applyFill="1" applyAlignment="1">
      <alignment horizontal="center" vertical="center"/>
    </xf>
    <xf numFmtId="0" fontId="41" fillId="5" borderId="0" xfId="0" quotePrefix="1" applyFont="1" applyFill="1" applyAlignment="1">
      <alignment horizontal="center" vertical="center"/>
    </xf>
    <xf numFmtId="10" fontId="41" fillId="5" borderId="0" xfId="0" applyNumberFormat="1" applyFont="1" applyFill="1" applyAlignment="1">
      <alignment horizontal="center" vertical="center"/>
    </xf>
    <xf numFmtId="2" fontId="41" fillId="5" borderId="0" xfId="0" quotePrefix="1" applyNumberFormat="1" applyFont="1" applyFill="1" applyAlignment="1">
      <alignment horizontal="center" vertical="center"/>
    </xf>
    <xf numFmtId="2" fontId="41" fillId="5" borderId="0" xfId="0" applyNumberFormat="1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41" fillId="6" borderId="0" xfId="0" quotePrefix="1" applyFont="1" applyFill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2" fontId="41" fillId="6" borderId="0" xfId="0" applyNumberFormat="1" applyFont="1" applyFill="1" applyAlignment="1">
      <alignment horizontal="center" vertical="center"/>
    </xf>
    <xf numFmtId="4" fontId="41" fillId="6" borderId="0" xfId="0" applyNumberFormat="1" applyFont="1" applyFill="1" applyAlignment="1">
      <alignment horizontal="center" vertical="center"/>
    </xf>
    <xf numFmtId="10" fontId="41" fillId="6" borderId="0" xfId="0" applyNumberFormat="1" applyFont="1" applyFill="1" applyAlignment="1">
      <alignment horizontal="center" vertical="center"/>
    </xf>
    <xf numFmtId="4" fontId="41" fillId="6" borderId="0" xfId="0" quotePrefix="1" applyNumberFormat="1" applyFont="1" applyFill="1" applyAlignment="1">
      <alignment horizontal="center" vertical="center"/>
    </xf>
    <xf numFmtId="4" fontId="41" fillId="6" borderId="2" xfId="0" applyNumberFormat="1" applyFont="1" applyFill="1" applyBorder="1" applyAlignment="1">
      <alignment horizontal="center" vertical="center"/>
    </xf>
    <xf numFmtId="2" fontId="41" fillId="6" borderId="0" xfId="0" quotePrefix="1" applyNumberFormat="1" applyFont="1" applyFill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left" vertical="center"/>
    </xf>
    <xf numFmtId="2" fontId="91" fillId="0" borderId="0" xfId="0" applyNumberFormat="1" applyFont="1" applyAlignment="1">
      <alignment horizontal="center" vertical="center"/>
    </xf>
    <xf numFmtId="0" fontId="92" fillId="15" borderId="0" xfId="0" applyFont="1" applyFill="1" applyAlignment="1">
      <alignment horizontal="center" vertical="center"/>
    </xf>
    <xf numFmtId="0" fontId="93" fillId="15" borderId="0" xfId="0" applyFont="1" applyFill="1" applyAlignment="1">
      <alignment horizontal="left" vertical="center"/>
    </xf>
    <xf numFmtId="0" fontId="94" fillId="0" borderId="0" xfId="0" quotePrefix="1" applyFont="1" applyAlignment="1">
      <alignment horizontal="left" vertical="center"/>
    </xf>
    <xf numFmtId="0" fontId="64" fillId="0" borderId="54" xfId="0" applyFont="1" applyBorder="1" applyAlignment="1">
      <alignment vertical="center"/>
    </xf>
    <xf numFmtId="0" fontId="64" fillId="0" borderId="86" xfId="0" applyFont="1" applyBorder="1" applyAlignment="1">
      <alignment vertical="center"/>
    </xf>
    <xf numFmtId="0" fontId="64" fillId="0" borderId="0" xfId="0" quotePrefix="1" applyFont="1"/>
    <xf numFmtId="0" fontId="92" fillId="15" borderId="0" xfId="0" applyFont="1" applyFill="1" applyAlignment="1">
      <alignment horizontal="left" vertical="center"/>
    </xf>
    <xf numFmtId="0" fontId="95" fillId="8" borderId="0" xfId="0" quotePrefix="1" applyFont="1" applyFill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47" fillId="0" borderId="0" xfId="0" quotePrefix="1" applyFont="1" applyProtection="1">
      <protection locked="0"/>
    </xf>
    <xf numFmtId="0" fontId="47" fillId="0" borderId="0" xfId="0" applyFont="1" applyProtection="1">
      <protection locked="0"/>
    </xf>
    <xf numFmtId="0" fontId="62" fillId="20" borderId="4" xfId="0" applyFont="1" applyFill="1" applyBorder="1"/>
    <xf numFmtId="0" fontId="64" fillId="20" borderId="4" xfId="0" applyFont="1" applyFill="1" applyBorder="1"/>
    <xf numFmtId="164" fontId="41" fillId="0" borderId="0" xfId="0" applyNumberFormat="1" applyFont="1" applyAlignment="1">
      <alignment horizontal="center"/>
    </xf>
    <xf numFmtId="4" fontId="41" fillId="14" borderId="0" xfId="0" applyNumberFormat="1" applyFont="1" applyFill="1" applyAlignment="1">
      <alignment horizontal="center"/>
    </xf>
    <xf numFmtId="0" fontId="84" fillId="0" borderId="0" xfId="0" applyFont="1" applyAlignment="1">
      <alignment vertical="center"/>
    </xf>
    <xf numFmtId="0" fontId="41" fillId="0" borderId="0" xfId="0" applyFont="1"/>
    <xf numFmtId="0" fontId="98" fillId="15" borderId="0" xfId="0" applyFont="1" applyFill="1" applyAlignment="1">
      <alignment horizontal="left"/>
    </xf>
    <xf numFmtId="0" fontId="6" fillId="15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99" fillId="15" borderId="0" xfId="0" applyFont="1" applyFill="1" applyAlignment="1">
      <alignment horizontal="center"/>
    </xf>
    <xf numFmtId="164" fontId="10" fillId="0" borderId="0" xfId="0" applyNumberFormat="1" applyFont="1" applyAlignment="1">
      <alignment horizontal="left"/>
    </xf>
    <xf numFmtId="0" fontId="6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6" fillId="0" borderId="1" xfId="0" applyNumberFormat="1" applyFont="1" applyBorder="1" applyAlignment="1">
      <alignment horizontal="left" vertical="center"/>
    </xf>
    <xf numFmtId="164" fontId="8" fillId="0" borderId="1" xfId="0" applyNumberFormat="1" applyFont="1" applyBorder="1" applyAlignment="1">
      <alignment horizontal="left" vertical="center"/>
    </xf>
    <xf numFmtId="164" fontId="10" fillId="0" borderId="1" xfId="0" applyNumberFormat="1" applyFont="1" applyBorder="1" applyAlignment="1">
      <alignment horizontal="left"/>
    </xf>
    <xf numFmtId="0" fontId="6" fillId="0" borderId="1" xfId="0" applyFont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right"/>
    </xf>
    <xf numFmtId="0" fontId="56" fillId="0" borderId="0" xfId="0" applyFont="1" applyAlignment="1">
      <alignment horizontal="left"/>
    </xf>
    <xf numFmtId="2" fontId="41" fillId="0" borderId="0" xfId="0" applyNumberFormat="1" applyFont="1"/>
    <xf numFmtId="0" fontId="3" fillId="0" borderId="55" xfId="0" applyFont="1" applyBorder="1" applyAlignment="1">
      <alignment horizontal="center"/>
    </xf>
    <xf numFmtId="0" fontId="6" fillId="0" borderId="89" xfId="0" applyFont="1" applyBorder="1" applyAlignment="1">
      <alignment horizontal="center"/>
    </xf>
    <xf numFmtId="0" fontId="51" fillId="16" borderId="4" xfId="0" applyFont="1" applyFill="1" applyBorder="1" applyAlignment="1">
      <alignment vertical="center" wrapText="1"/>
    </xf>
    <xf numFmtId="0" fontId="51" fillId="0" borderId="4" xfId="0" applyFont="1" applyBorder="1" applyAlignment="1">
      <alignment horizontal="center"/>
    </xf>
    <xf numFmtId="2" fontId="51" fillId="16" borderId="4" xfId="0" applyNumberFormat="1" applyFont="1" applyFill="1" applyBorder="1" applyAlignment="1">
      <alignment horizontal="center" vertical="center"/>
    </xf>
    <xf numFmtId="165" fontId="51" fillId="15" borderId="4" xfId="0" applyNumberFormat="1" applyFont="1" applyFill="1" applyBorder="1" applyAlignment="1">
      <alignment horizontal="center" vertical="center"/>
    </xf>
    <xf numFmtId="164" fontId="41" fillId="0" borderId="0" xfId="0" applyNumberFormat="1" applyFont="1"/>
    <xf numFmtId="0" fontId="41" fillId="0" borderId="0" xfId="0" applyFont="1" applyAlignment="1">
      <alignment textRotation="90"/>
    </xf>
    <xf numFmtId="0" fontId="6" fillId="0" borderId="24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6" fillId="0" borderId="25" xfId="0" applyFont="1" applyBorder="1" applyAlignment="1">
      <alignment horizontal="center"/>
    </xf>
    <xf numFmtId="2" fontId="6" fillId="0" borderId="10" xfId="0" applyNumberFormat="1" applyFont="1" applyBorder="1" applyAlignment="1">
      <alignment horizontal="center"/>
    </xf>
    <xf numFmtId="167" fontId="8" fillId="8" borderId="5" xfId="0" applyNumberFormat="1" applyFont="1" applyFill="1" applyBorder="1" applyAlignment="1">
      <alignment horizontal="center"/>
    </xf>
    <xf numFmtId="167" fontId="8" fillId="0" borderId="6" xfId="0" applyNumberFormat="1" applyFont="1" applyBorder="1" applyAlignment="1">
      <alignment horizontal="center"/>
    </xf>
    <xf numFmtId="2" fontId="6" fillId="0" borderId="26" xfId="0" applyNumberFormat="1" applyFont="1" applyBorder="1" applyAlignment="1">
      <alignment horizontal="center"/>
    </xf>
    <xf numFmtId="167" fontId="8" fillId="8" borderId="27" xfId="0" applyNumberFormat="1" applyFont="1" applyFill="1" applyBorder="1" applyAlignment="1">
      <alignment horizontal="center"/>
    </xf>
    <xf numFmtId="167" fontId="8" fillId="0" borderId="28" xfId="0" applyNumberFormat="1" applyFont="1" applyBorder="1" applyAlignment="1">
      <alignment horizontal="center"/>
    </xf>
    <xf numFmtId="164" fontId="41" fillId="0" borderId="0" xfId="0" applyNumberFormat="1" applyFont="1" applyAlignment="1">
      <alignment horizontal="right"/>
    </xf>
    <xf numFmtId="0" fontId="69" fillId="0" borderId="0" xfId="0" applyFont="1"/>
    <xf numFmtId="0" fontId="41" fillId="0" borderId="4" xfId="0" applyFont="1" applyBorder="1" applyAlignment="1">
      <alignment vertical="center"/>
    </xf>
    <xf numFmtId="0" fontId="9" fillId="0" borderId="0" xfId="0" applyFont="1" applyAlignment="1">
      <alignment vertical="center"/>
    </xf>
    <xf numFmtId="2" fontId="6" fillId="0" borderId="29" xfId="0" applyNumberFormat="1" applyFont="1" applyBorder="1" applyAlignment="1">
      <alignment horizontal="center"/>
    </xf>
    <xf numFmtId="167" fontId="8" fillId="8" borderId="30" xfId="0" applyNumberFormat="1" applyFont="1" applyFill="1" applyBorder="1" applyAlignment="1">
      <alignment horizontal="center"/>
    </xf>
    <xf numFmtId="167" fontId="8" fillId="0" borderId="31" xfId="0" applyNumberFormat="1" applyFont="1" applyBorder="1" applyAlignment="1">
      <alignment horizontal="center"/>
    </xf>
    <xf numFmtId="167" fontId="8" fillId="8" borderId="0" xfId="0" applyNumberFormat="1" applyFont="1" applyFill="1" applyAlignment="1">
      <alignment horizontal="center"/>
    </xf>
    <xf numFmtId="167" fontId="8" fillId="0" borderId="0" xfId="0" applyNumberFormat="1" applyFont="1" applyAlignment="1">
      <alignment horizontal="center"/>
    </xf>
    <xf numFmtId="0" fontId="69" fillId="0" borderId="0" xfId="0" applyFont="1" applyAlignment="1">
      <alignment horizontal="left"/>
    </xf>
    <xf numFmtId="0" fontId="14" fillId="0" borderId="0" xfId="0" applyFont="1"/>
    <xf numFmtId="0" fontId="47" fillId="0" borderId="0" xfId="0" quotePrefix="1" applyFont="1"/>
    <xf numFmtId="0" fontId="41" fillId="0" borderId="55" xfId="0" applyFont="1" applyBorder="1" applyAlignment="1">
      <alignment horizontal="center"/>
    </xf>
    <xf numFmtId="0" fontId="41" fillId="0" borderId="32" xfId="0" applyFont="1" applyBorder="1" applyAlignment="1">
      <alignment horizontal="center" vertical="center"/>
    </xf>
    <xf numFmtId="0" fontId="85" fillId="0" borderId="55" xfId="0" applyFont="1" applyBorder="1" applyAlignment="1">
      <alignment horizontal="center"/>
    </xf>
    <xf numFmtId="0" fontId="47" fillId="0" borderId="0" xfId="0" applyFont="1"/>
    <xf numFmtId="0" fontId="41" fillId="0" borderId="89" xfId="0" applyFont="1" applyBorder="1" applyAlignment="1">
      <alignment horizontal="center"/>
    </xf>
    <xf numFmtId="0" fontId="41" fillId="0" borderId="36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2" fontId="41" fillId="0" borderId="4" xfId="0" applyNumberFormat="1" applyFont="1" applyBorder="1" applyAlignment="1">
      <alignment horizontal="center" vertical="center"/>
    </xf>
    <xf numFmtId="2" fontId="41" fillId="0" borderId="54" xfId="0" applyNumberFormat="1" applyFont="1" applyBorder="1" applyAlignment="1">
      <alignment horizontal="center" vertical="center"/>
    </xf>
    <xf numFmtId="2" fontId="86" fillId="0" borderId="4" xfId="0" applyNumberFormat="1" applyFont="1" applyBorder="1" applyAlignment="1">
      <alignment horizontal="center" vertical="center"/>
    </xf>
    <xf numFmtId="2" fontId="86" fillId="0" borderId="54" xfId="0" applyNumberFormat="1" applyFont="1" applyBorder="1" applyAlignment="1">
      <alignment horizontal="center" vertical="center"/>
    </xf>
    <xf numFmtId="2" fontId="81" fillId="0" borderId="4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wrapText="1"/>
    </xf>
    <xf numFmtId="0" fontId="6" fillId="0" borderId="0" xfId="0" quotePrefix="1" applyFont="1" applyAlignment="1">
      <alignment horizontal="center"/>
    </xf>
    <xf numFmtId="0" fontId="74" fillId="0" borderId="0" xfId="0" applyFont="1"/>
    <xf numFmtId="0" fontId="88" fillId="0" borderId="0" xfId="0" quotePrefix="1" applyFont="1"/>
    <xf numFmtId="2" fontId="41" fillId="0" borderId="0" xfId="0" applyNumberFormat="1" applyFont="1" applyAlignment="1">
      <alignment horizontal="left"/>
    </xf>
    <xf numFmtId="4" fontId="41" fillId="0" borderId="0" xfId="0" applyNumberFormat="1" applyFont="1"/>
    <xf numFmtId="0" fontId="49" fillId="0" borderId="0" xfId="0" applyFont="1"/>
    <xf numFmtId="0" fontId="41" fillId="0" borderId="0" xfId="0" quotePrefix="1" applyFont="1" applyAlignment="1">
      <alignment horizontal="right"/>
    </xf>
    <xf numFmtId="165" fontId="41" fillId="0" borderId="0" xfId="0" applyNumberFormat="1" applyFont="1" applyAlignment="1">
      <alignment horizontal="center"/>
    </xf>
    <xf numFmtId="0" fontId="41" fillId="0" borderId="0" xfId="0" quotePrefix="1" applyFont="1"/>
    <xf numFmtId="0" fontId="41" fillId="0" borderId="103" xfId="0" applyFont="1" applyBorder="1" applyAlignment="1">
      <alignment horizontal="center" vertical="center"/>
    </xf>
    <xf numFmtId="0" fontId="41" fillId="0" borderId="104" xfId="0" applyFont="1" applyBorder="1" applyAlignment="1">
      <alignment horizontal="center" vertical="center"/>
    </xf>
    <xf numFmtId="0" fontId="41" fillId="0" borderId="104" xfId="0" applyFont="1" applyBorder="1" applyAlignment="1">
      <alignment horizontal="center" vertical="center" wrapText="1"/>
    </xf>
    <xf numFmtId="0" fontId="41" fillId="0" borderId="114" xfId="0" applyFont="1" applyBorder="1" applyAlignment="1">
      <alignment vertical="center" wrapText="1"/>
    </xf>
    <xf numFmtId="0" fontId="41" fillId="0" borderId="105" xfId="0" applyFont="1" applyBorder="1" applyAlignment="1">
      <alignment horizontal="center" vertical="center" wrapText="1"/>
    </xf>
    <xf numFmtId="0" fontId="41" fillId="0" borderId="100" xfId="0" applyFont="1" applyBorder="1" applyAlignment="1">
      <alignment horizontal="center"/>
    </xf>
    <xf numFmtId="2" fontId="41" fillId="0" borderId="101" xfId="0" applyNumberFormat="1" applyFont="1" applyBorder="1" applyAlignment="1">
      <alignment horizontal="center"/>
    </xf>
    <xf numFmtId="4" fontId="41" fillId="0" borderId="101" xfId="0" applyNumberFormat="1" applyFont="1" applyBorder="1" applyAlignment="1">
      <alignment horizontal="center"/>
    </xf>
    <xf numFmtId="165" fontId="41" fillId="0" borderId="101" xfId="0" applyNumberFormat="1" applyFont="1" applyBorder="1" applyAlignment="1">
      <alignment horizontal="center"/>
    </xf>
    <xf numFmtId="164" fontId="41" fillId="0" borderId="116" xfId="0" applyNumberFormat="1" applyFont="1" applyBorder="1" applyAlignment="1">
      <alignment horizontal="center"/>
    </xf>
    <xf numFmtId="2" fontId="41" fillId="0" borderId="102" xfId="0" applyNumberFormat="1" applyFont="1" applyBorder="1" applyAlignment="1">
      <alignment horizontal="center"/>
    </xf>
    <xf numFmtId="4" fontId="16" fillId="0" borderId="0" xfId="0" applyNumberFormat="1" applyFont="1" applyAlignment="1">
      <alignment horizontal="center"/>
    </xf>
    <xf numFmtId="0" fontId="41" fillId="0" borderId="95" xfId="0" applyFont="1" applyBorder="1" applyAlignment="1">
      <alignment horizontal="center"/>
    </xf>
    <xf numFmtId="2" fontId="41" fillId="0" borderId="2" xfId="0" applyNumberFormat="1" applyFont="1" applyBorder="1" applyAlignment="1">
      <alignment horizontal="center"/>
    </xf>
    <xf numFmtId="4" fontId="41" fillId="0" borderId="2" xfId="0" applyNumberFormat="1" applyFont="1" applyBorder="1" applyAlignment="1">
      <alignment horizontal="center"/>
    </xf>
    <xf numFmtId="165" fontId="41" fillId="0" borderId="2" xfId="0" applyNumberFormat="1" applyFont="1" applyBorder="1" applyAlignment="1">
      <alignment horizontal="center"/>
    </xf>
    <xf numFmtId="164" fontId="41" fillId="0" borderId="115" xfId="0" applyNumberFormat="1" applyFont="1" applyBorder="1" applyAlignment="1">
      <alignment horizontal="center"/>
    </xf>
    <xf numFmtId="2" fontId="41" fillId="0" borderId="96" xfId="0" applyNumberFormat="1" applyFont="1" applyBorder="1" applyAlignment="1">
      <alignment horizontal="center"/>
    </xf>
    <xf numFmtId="2" fontId="56" fillId="15" borderId="4" xfId="0" applyNumberFormat="1" applyFont="1" applyFill="1" applyBorder="1" applyAlignment="1">
      <alignment horizontal="center" vertical="center"/>
    </xf>
    <xf numFmtId="2" fontId="41" fillId="0" borderId="98" xfId="0" applyNumberFormat="1" applyFont="1" applyBorder="1" applyAlignment="1">
      <alignment horizontal="center"/>
    </xf>
    <xf numFmtId="2" fontId="41" fillId="0" borderId="99" xfId="0" applyNumberFormat="1" applyFont="1" applyBorder="1" applyAlignment="1">
      <alignment horizontal="center"/>
    </xf>
    <xf numFmtId="0" fontId="6" fillId="0" borderId="95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4" fontId="6" fillId="0" borderId="2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01" xfId="0" applyNumberFormat="1" applyFont="1" applyBorder="1" applyAlignment="1">
      <alignment horizontal="center"/>
    </xf>
    <xf numFmtId="2" fontId="6" fillId="0" borderId="96" xfId="0" applyNumberFormat="1" applyFont="1" applyBorder="1" applyAlignment="1">
      <alignment horizontal="center"/>
    </xf>
    <xf numFmtId="2" fontId="6" fillId="0" borderId="102" xfId="0" applyNumberFormat="1" applyFont="1" applyBorder="1" applyAlignment="1">
      <alignment horizontal="center"/>
    </xf>
    <xf numFmtId="0" fontId="6" fillId="0" borderId="97" xfId="0" applyFont="1" applyBorder="1" applyAlignment="1">
      <alignment horizontal="center"/>
    </xf>
    <xf numFmtId="2" fontId="6" fillId="0" borderId="98" xfId="0" applyNumberFormat="1" applyFont="1" applyBorder="1" applyAlignment="1">
      <alignment horizontal="center"/>
    </xf>
    <xf numFmtId="4" fontId="6" fillId="0" borderId="98" xfId="0" applyNumberFormat="1" applyFont="1" applyBorder="1" applyAlignment="1">
      <alignment horizontal="center"/>
    </xf>
    <xf numFmtId="165" fontId="6" fillId="0" borderId="98" xfId="0" applyNumberFormat="1" applyFont="1" applyBorder="1" applyAlignment="1">
      <alignment horizontal="center"/>
    </xf>
    <xf numFmtId="2" fontId="6" fillId="0" borderId="99" xfId="0" applyNumberFormat="1" applyFont="1" applyBorder="1" applyAlignment="1">
      <alignment horizontal="center"/>
    </xf>
    <xf numFmtId="0" fontId="41" fillId="0" borderId="3" xfId="0" applyFont="1" applyBorder="1"/>
    <xf numFmtId="165" fontId="41" fillId="0" borderId="0" xfId="0" applyNumberFormat="1" applyFont="1" applyAlignment="1">
      <alignment horizontal="left"/>
    </xf>
    <xf numFmtId="0" fontId="48" fillId="0" borderId="0" xfId="0" applyFont="1"/>
    <xf numFmtId="0" fontId="77" fillId="0" borderId="0" xfId="0" applyFont="1" applyAlignment="1">
      <alignment horizontal="left"/>
    </xf>
    <xf numFmtId="164" fontId="41" fillId="2" borderId="0" xfId="0" applyNumberFormat="1" applyFont="1" applyFill="1" applyAlignment="1">
      <alignment horizontal="left"/>
    </xf>
    <xf numFmtId="165" fontId="41" fillId="2" borderId="0" xfId="0" applyNumberFormat="1" applyFont="1" applyFill="1"/>
    <xf numFmtId="165" fontId="41" fillId="0" borderId="0" xfId="0" applyNumberFormat="1" applyFont="1"/>
    <xf numFmtId="0" fontId="17" fillId="0" borderId="0" xfId="0" applyFont="1" applyAlignment="1">
      <alignment horizontal="center"/>
    </xf>
    <xf numFmtId="0" fontId="50" fillId="0" borderId="0" xfId="0" applyFont="1"/>
    <xf numFmtId="0" fontId="41" fillId="0" borderId="3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0" fontId="35" fillId="0" borderId="3" xfId="0" applyFont="1" applyBorder="1" applyAlignment="1">
      <alignment horizontal="center"/>
    </xf>
    <xf numFmtId="2" fontId="6" fillId="0" borderId="4" xfId="0" applyNumberFormat="1" applyFont="1" applyBorder="1" applyAlignment="1">
      <alignment horizontal="center"/>
    </xf>
    <xf numFmtId="0" fontId="41" fillId="0" borderId="0" xfId="0" quotePrefix="1" applyFont="1" applyAlignment="1">
      <alignment vertical="center"/>
    </xf>
    <xf numFmtId="0" fontId="81" fillId="0" borderId="0" xfId="0" applyFont="1"/>
    <xf numFmtId="0" fontId="52" fillId="0" borderId="0" xfId="0" applyFont="1"/>
    <xf numFmtId="0" fontId="79" fillId="0" borderId="0" xfId="0" applyFont="1"/>
    <xf numFmtId="0" fontId="6" fillId="14" borderId="0" xfId="0" applyFont="1" applyFill="1"/>
    <xf numFmtId="0" fontId="6" fillId="14" borderId="0" xfId="0" applyFont="1" applyFill="1" applyAlignment="1">
      <alignment horizontal="center"/>
    </xf>
    <xf numFmtId="4" fontId="6" fillId="0" borderId="3" xfId="0" applyNumberFormat="1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6" fillId="0" borderId="37" xfId="0" applyFont="1" applyBorder="1" applyAlignment="1">
      <alignment horizontal="center"/>
    </xf>
    <xf numFmtId="2" fontId="6" fillId="0" borderId="0" xfId="0" applyNumberFormat="1" applyFont="1" applyAlignment="1">
      <alignment horizontal="right"/>
    </xf>
    <xf numFmtId="0" fontId="18" fillId="0" borderId="0" xfId="0" applyFont="1"/>
    <xf numFmtId="0" fontId="15" fillId="0" borderId="0" xfId="0" applyFont="1"/>
    <xf numFmtId="0" fontId="6" fillId="0" borderId="0" xfId="0" quotePrefix="1" applyFont="1"/>
    <xf numFmtId="0" fontId="6" fillId="0" borderId="0" xfId="0" quotePrefix="1" applyFont="1" applyAlignment="1">
      <alignment horizontal="right"/>
    </xf>
    <xf numFmtId="4" fontId="6" fillId="0" borderId="2" xfId="0" applyNumberFormat="1" applyFont="1" applyBorder="1"/>
    <xf numFmtId="171" fontId="6" fillId="14" borderId="0" xfId="0" applyNumberFormat="1" applyFont="1" applyFill="1" applyAlignment="1">
      <alignment horizontal="center"/>
    </xf>
    <xf numFmtId="168" fontId="6" fillId="0" borderId="0" xfId="0" applyNumberFormat="1" applyFont="1" applyAlignment="1">
      <alignment horizontal="center"/>
    </xf>
    <xf numFmtId="0" fontId="19" fillId="0" borderId="0" xfId="0" applyFont="1"/>
    <xf numFmtId="166" fontId="6" fillId="0" borderId="0" xfId="0" applyNumberFormat="1" applyFont="1"/>
    <xf numFmtId="4" fontId="16" fillId="0" borderId="0" xfId="0" applyNumberFormat="1" applyFont="1"/>
    <xf numFmtId="4" fontId="6" fillId="0" borderId="0" xfId="0" applyNumberFormat="1" applyFont="1"/>
    <xf numFmtId="4" fontId="6" fillId="0" borderId="0" xfId="0" applyNumberFormat="1" applyFont="1" applyAlignment="1">
      <alignment horizontal="right"/>
    </xf>
    <xf numFmtId="167" fontId="6" fillId="0" borderId="0" xfId="0" applyNumberFormat="1" applyFont="1" applyAlignment="1">
      <alignment horizontal="left"/>
    </xf>
    <xf numFmtId="167" fontId="6" fillId="0" borderId="2" xfId="0" applyNumberFormat="1" applyFont="1" applyBorder="1"/>
    <xf numFmtId="167" fontId="6" fillId="0" borderId="0" xfId="0" applyNumberFormat="1" applyFont="1" applyAlignment="1">
      <alignment horizontal="right"/>
    </xf>
    <xf numFmtId="3" fontId="6" fillId="0" borderId="0" xfId="0" applyNumberFormat="1" applyFont="1" applyAlignment="1">
      <alignment horizontal="left"/>
    </xf>
    <xf numFmtId="168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left"/>
    </xf>
    <xf numFmtId="168" fontId="6" fillId="8" borderId="0" xfId="0" applyNumberFormat="1" applyFont="1" applyFill="1" applyAlignment="1">
      <alignment horizontal="center"/>
    </xf>
    <xf numFmtId="168" fontId="16" fillId="0" borderId="0" xfId="0" applyNumberFormat="1" applyFont="1"/>
    <xf numFmtId="3" fontId="6" fillId="0" borderId="0" xfId="0" applyNumberFormat="1" applyFont="1"/>
    <xf numFmtId="167" fontId="6" fillId="0" borderId="0" xfId="0" applyNumberFormat="1" applyFont="1" applyAlignment="1">
      <alignment horizontal="center"/>
    </xf>
    <xf numFmtId="167" fontId="6" fillId="0" borderId="2" xfId="0" applyNumberFormat="1" applyFont="1" applyBorder="1" applyAlignment="1">
      <alignment horizontal="center"/>
    </xf>
    <xf numFmtId="168" fontId="6" fillId="0" borderId="0" xfId="0" applyNumberFormat="1" applyFont="1"/>
    <xf numFmtId="171" fontId="6" fillId="2" borderId="0" xfId="0" applyNumberFormat="1" applyFont="1" applyFill="1" applyAlignment="1">
      <alignment horizontal="center"/>
    </xf>
    <xf numFmtId="4" fontId="6" fillId="4" borderId="0" xfId="0" applyNumberFormat="1" applyFont="1" applyFill="1" applyAlignment="1">
      <alignment horizontal="left"/>
    </xf>
    <xf numFmtId="4" fontId="6" fillId="0" borderId="0" xfId="0" quotePrefix="1" applyNumberFormat="1" applyFont="1" applyAlignment="1">
      <alignment horizontal="center"/>
    </xf>
    <xf numFmtId="0" fontId="6" fillId="2" borderId="0" xfId="0" applyFont="1" applyFill="1" applyAlignment="1">
      <alignment horizontal="left"/>
    </xf>
    <xf numFmtId="4" fontId="6" fillId="2" borderId="0" xfId="0" applyNumberFormat="1" applyFont="1" applyFill="1" applyAlignment="1">
      <alignment horizontal="left"/>
    </xf>
    <xf numFmtId="4" fontId="6" fillId="2" borderId="0" xfId="0" applyNumberFormat="1" applyFont="1" applyFill="1"/>
    <xf numFmtId="0" fontId="6" fillId="2" borderId="0" xfId="0" applyFont="1" applyFill="1" applyAlignment="1">
      <alignment horizontal="right"/>
    </xf>
    <xf numFmtId="169" fontId="6" fillId="0" borderId="0" xfId="0" applyNumberFormat="1" applyFont="1"/>
    <xf numFmtId="0" fontId="6" fillId="0" borderId="0" xfId="0" quotePrefix="1" applyFont="1" applyAlignment="1">
      <alignment horizontal="left"/>
    </xf>
    <xf numFmtId="2" fontId="6" fillId="0" borderId="2" xfId="0" applyNumberFormat="1" applyFont="1" applyBorder="1"/>
    <xf numFmtId="0" fontId="6" fillId="5" borderId="0" xfId="0" applyFont="1" applyFill="1"/>
    <xf numFmtId="0" fontId="6" fillId="5" borderId="0" xfId="0" quotePrefix="1" applyFont="1" applyFill="1" applyAlignment="1">
      <alignment horizontal="right"/>
    </xf>
    <xf numFmtId="10" fontId="6" fillId="5" borderId="0" xfId="0" applyNumberFormat="1" applyFont="1" applyFill="1" applyAlignment="1">
      <alignment horizontal="right"/>
    </xf>
    <xf numFmtId="2" fontId="6" fillId="5" borderId="0" xfId="0" quotePrefix="1" applyNumberFormat="1" applyFont="1" applyFill="1"/>
    <xf numFmtId="2" fontId="6" fillId="5" borderId="0" xfId="0" applyNumberFormat="1" applyFont="1" applyFill="1"/>
    <xf numFmtId="10" fontId="6" fillId="0" borderId="0" xfId="0" applyNumberFormat="1" applyFont="1" applyAlignment="1">
      <alignment horizontal="center"/>
    </xf>
    <xf numFmtId="2" fontId="6" fillId="0" borderId="0" xfId="0" quotePrefix="1" applyNumberFormat="1" applyFont="1" applyAlignment="1">
      <alignment horizontal="center"/>
    </xf>
    <xf numFmtId="0" fontId="8" fillId="6" borderId="0" xfId="0" applyFont="1" applyFill="1"/>
    <xf numFmtId="0" fontId="6" fillId="6" borderId="0" xfId="0" quotePrefix="1" applyFont="1" applyFill="1" applyAlignment="1">
      <alignment horizontal="right"/>
    </xf>
    <xf numFmtId="0" fontId="6" fillId="6" borderId="0" xfId="0" applyFont="1" applyFill="1" applyAlignment="1">
      <alignment horizontal="left"/>
    </xf>
    <xf numFmtId="2" fontId="6" fillId="6" borderId="0" xfId="0" applyNumberFormat="1" applyFont="1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4" fontId="6" fillId="6" borderId="0" xfId="0" applyNumberFormat="1" applyFont="1" applyFill="1" applyAlignment="1">
      <alignment horizontal="left"/>
    </xf>
    <xf numFmtId="10" fontId="6" fillId="6" borderId="0" xfId="0" applyNumberFormat="1" applyFont="1" applyFill="1"/>
    <xf numFmtId="0" fontId="6" fillId="6" borderId="0" xfId="0" quotePrefix="1" applyFont="1" applyFill="1" applyAlignment="1">
      <alignment horizontal="left"/>
    </xf>
    <xf numFmtId="4" fontId="6" fillId="6" borderId="0" xfId="0" quotePrefix="1" applyNumberFormat="1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4" fontId="6" fillId="6" borderId="2" xfId="0" applyNumberFormat="1" applyFont="1" applyFill="1" applyBorder="1"/>
    <xf numFmtId="10" fontId="6" fillId="6" borderId="0" xfId="0" applyNumberFormat="1" applyFont="1" applyFill="1" applyAlignment="1">
      <alignment horizontal="center"/>
    </xf>
    <xf numFmtId="2" fontId="6" fillId="6" borderId="0" xfId="0" quotePrefix="1" applyNumberFormat="1" applyFont="1" applyFill="1"/>
    <xf numFmtId="2" fontId="6" fillId="6" borderId="0" xfId="0" applyNumberFormat="1" applyFont="1" applyFill="1" applyAlignment="1">
      <alignment horizontal="center"/>
    </xf>
    <xf numFmtId="10" fontId="6" fillId="6" borderId="0" xfId="0" applyNumberFormat="1" applyFont="1" applyFill="1" applyAlignment="1">
      <alignment horizontal="left"/>
    </xf>
    <xf numFmtId="0" fontId="8" fillId="3" borderId="0" xfId="0" applyFont="1" applyFill="1"/>
    <xf numFmtId="0" fontId="6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4" fontId="6" fillId="3" borderId="0" xfId="0" applyNumberFormat="1" applyFont="1" applyFill="1" applyAlignment="1">
      <alignment horizontal="right"/>
    </xf>
    <xf numFmtId="0" fontId="6" fillId="3" borderId="0" xfId="0" applyFont="1" applyFill="1"/>
    <xf numFmtId="0" fontId="6" fillId="3" borderId="0" xfId="0" applyFont="1" applyFill="1" applyAlignment="1">
      <alignment horizontal="right"/>
    </xf>
    <xf numFmtId="4" fontId="6" fillId="3" borderId="0" xfId="0" applyNumberFormat="1" applyFont="1" applyFill="1"/>
    <xf numFmtId="2" fontId="6" fillId="3" borderId="0" xfId="0" applyNumberFormat="1" applyFont="1" applyFill="1"/>
    <xf numFmtId="0" fontId="6" fillId="3" borderId="1" xfId="0" applyFont="1" applyFill="1" applyBorder="1" applyAlignment="1">
      <alignment horizontal="center"/>
    </xf>
    <xf numFmtId="0" fontId="21" fillId="0" borderId="72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1" fillId="8" borderId="24" xfId="0" applyFont="1" applyFill="1" applyBorder="1" applyAlignment="1">
      <alignment horizontal="left"/>
    </xf>
    <xf numFmtId="0" fontId="1" fillId="8" borderId="23" xfId="0" applyFont="1" applyFill="1" applyBorder="1" applyAlignment="1">
      <alignment horizontal="center"/>
    </xf>
    <xf numFmtId="0" fontId="0" fillId="0" borderId="27" xfId="0" applyBorder="1"/>
    <xf numFmtId="0" fontId="32" fillId="0" borderId="27" xfId="0" applyFont="1" applyBorder="1" applyAlignment="1">
      <alignment horizontal="center"/>
    </xf>
    <xf numFmtId="0" fontId="32" fillId="0" borderId="27" xfId="0" applyFont="1" applyBorder="1"/>
    <xf numFmtId="0" fontId="22" fillId="0" borderId="0" xfId="0" applyFont="1" applyAlignment="1">
      <alignment horizontal="center"/>
    </xf>
    <xf numFmtId="0" fontId="20" fillId="2" borderId="0" xfId="0" applyFont="1" applyFill="1" applyAlignment="1">
      <alignment horizontal="center"/>
    </xf>
    <xf numFmtId="0" fontId="1" fillId="8" borderId="53" xfId="0" applyFont="1" applyFill="1" applyBorder="1" applyAlignment="1">
      <alignment horizontal="center"/>
    </xf>
    <xf numFmtId="3" fontId="1" fillId="8" borderId="85" xfId="0" applyNumberFormat="1" applyFont="1" applyFill="1" applyBorder="1" applyAlignment="1">
      <alignment horizontal="center"/>
    </xf>
    <xf numFmtId="0" fontId="32" fillId="2" borderId="27" xfId="0" applyFont="1" applyFill="1" applyBorder="1" applyAlignment="1">
      <alignment horizontal="center"/>
    </xf>
    <xf numFmtId="2" fontId="32" fillId="0" borderId="27" xfId="0" applyNumberFormat="1" applyFont="1" applyBorder="1"/>
    <xf numFmtId="4" fontId="20" fillId="0" borderId="22" xfId="0" applyNumberFormat="1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21" xfId="0" applyFont="1" applyBorder="1" applyAlignment="1">
      <alignment horizontal="center"/>
    </xf>
    <xf numFmtId="4" fontId="20" fillId="0" borderId="21" xfId="0" applyNumberFormat="1" applyFont="1" applyBorder="1" applyAlignment="1">
      <alignment horizontal="center"/>
    </xf>
    <xf numFmtId="4" fontId="20" fillId="0" borderId="0" xfId="0" applyNumberFormat="1" applyFont="1" applyAlignment="1">
      <alignment horizontal="center"/>
    </xf>
    <xf numFmtId="0" fontId="20" fillId="0" borderId="2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20" fillId="7" borderId="0" xfId="0" applyFont="1" applyFill="1" applyAlignment="1">
      <alignment horizontal="center"/>
    </xf>
    <xf numFmtId="0" fontId="1" fillId="0" borderId="40" xfId="0" applyFont="1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2" fontId="1" fillId="0" borderId="42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0" borderId="43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7" borderId="46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23" fillId="2" borderId="49" xfId="0" applyFont="1" applyFill="1" applyBorder="1" applyAlignment="1">
      <alignment horizontal="center"/>
    </xf>
    <xf numFmtId="0" fontId="0" fillId="0" borderId="61" xfId="0" applyBorder="1"/>
    <xf numFmtId="0" fontId="32" fillId="2" borderId="61" xfId="0" applyFont="1" applyFill="1" applyBorder="1" applyAlignment="1">
      <alignment horizontal="center"/>
    </xf>
    <xf numFmtId="2" fontId="32" fillId="0" borderId="61" xfId="0" applyNumberFormat="1" applyFont="1" applyBorder="1"/>
    <xf numFmtId="0" fontId="1" fillId="0" borderId="50" xfId="0" applyFont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7" borderId="55" xfId="0" applyFont="1" applyFill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1" fillId="5" borderId="56" xfId="0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0" fillId="5" borderId="56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1" fillId="0" borderId="61" xfId="0" applyFont="1" applyBorder="1" applyAlignment="1">
      <alignment horizontal="center"/>
    </xf>
    <xf numFmtId="167" fontId="1" fillId="7" borderId="61" xfId="0" applyNumberFormat="1" applyFont="1" applyFill="1" applyBorder="1" applyAlignment="1">
      <alignment horizontal="center"/>
    </xf>
    <xf numFmtId="167" fontId="1" fillId="0" borderId="61" xfId="0" applyNumberFormat="1" applyFont="1" applyBorder="1" applyAlignment="1">
      <alignment horizontal="center"/>
    </xf>
    <xf numFmtId="167" fontId="1" fillId="0" borderId="82" xfId="0" applyNumberFormat="1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1" fillId="5" borderId="64" xfId="0" applyFont="1" applyFill="1" applyBorder="1" applyAlignment="1">
      <alignment horizontal="center"/>
    </xf>
    <xf numFmtId="0" fontId="1" fillId="5" borderId="65" xfId="0" applyFont="1" applyFill="1" applyBorder="1" applyAlignment="1">
      <alignment horizontal="center"/>
    </xf>
    <xf numFmtId="0" fontId="1" fillId="0" borderId="66" xfId="0" applyFont="1" applyBorder="1" applyAlignment="1">
      <alignment horizontal="center"/>
    </xf>
    <xf numFmtId="167" fontId="1" fillId="0" borderId="67" xfId="0" applyNumberFormat="1" applyFont="1" applyBorder="1" applyAlignment="1">
      <alignment horizontal="center"/>
    </xf>
    <xf numFmtId="167" fontId="1" fillId="0" borderId="68" xfId="0" applyNumberFormat="1" applyFont="1" applyBorder="1" applyAlignment="1">
      <alignment horizontal="center"/>
    </xf>
    <xf numFmtId="167" fontId="1" fillId="0" borderId="50" xfId="0" applyNumberFormat="1" applyFont="1" applyBorder="1" applyAlignment="1">
      <alignment horizontal="center"/>
    </xf>
    <xf numFmtId="167" fontId="1" fillId="0" borderId="51" xfId="0" applyNumberFormat="1" applyFont="1" applyBorder="1" applyAlignment="1">
      <alignment horizontal="center"/>
    </xf>
    <xf numFmtId="167" fontId="1" fillId="0" borderId="52" xfId="0" applyNumberFormat="1" applyFont="1" applyBorder="1" applyAlignment="1">
      <alignment horizontal="center"/>
    </xf>
    <xf numFmtId="167" fontId="1" fillId="7" borderId="50" xfId="0" applyNumberFormat="1" applyFont="1" applyFill="1" applyBorder="1" applyAlignment="1">
      <alignment horizontal="center"/>
    </xf>
    <xf numFmtId="167" fontId="1" fillId="7" borderId="69" xfId="0" applyNumberFormat="1" applyFont="1" applyFill="1" applyBorder="1" applyAlignment="1">
      <alignment horizontal="center"/>
    </xf>
    <xf numFmtId="167" fontId="1" fillId="7" borderId="70" xfId="0" applyNumberFormat="1" applyFont="1" applyFill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165" fontId="25" fillId="4" borderId="14" xfId="0" applyNumberFormat="1" applyFont="1" applyFill="1" applyBorder="1" applyAlignment="1">
      <alignment horizontal="center"/>
    </xf>
    <xf numFmtId="2" fontId="25" fillId="4" borderId="14" xfId="0" applyNumberFormat="1" applyFont="1" applyFill="1" applyBorder="1" applyAlignment="1">
      <alignment horizontal="center"/>
    </xf>
    <xf numFmtId="2" fontId="25" fillId="4" borderId="21" xfId="0" applyNumberFormat="1" applyFont="1" applyFill="1" applyBorder="1" applyAlignment="1">
      <alignment horizontal="center"/>
    </xf>
    <xf numFmtId="2" fontId="25" fillId="4" borderId="0" xfId="0" applyNumberFormat="1" applyFont="1" applyFill="1" applyAlignment="1">
      <alignment horizontal="center"/>
    </xf>
    <xf numFmtId="0" fontId="26" fillId="0" borderId="15" xfId="0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0" xfId="0" applyFont="1" applyAlignment="1">
      <alignment horizontal="center"/>
    </xf>
    <xf numFmtId="2" fontId="26" fillId="0" borderId="73" xfId="0" applyNumberFormat="1" applyFont="1" applyBorder="1" applyAlignment="1">
      <alignment horizontal="center"/>
    </xf>
    <xf numFmtId="165" fontId="28" fillId="0" borderId="6" xfId="0" applyNumberFormat="1" applyFont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26" fillId="0" borderId="5" xfId="0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2" fontId="26" fillId="0" borderId="6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27" xfId="0" applyFont="1" applyBorder="1" applyAlignment="1">
      <alignment horizontal="center"/>
    </xf>
    <xf numFmtId="2" fontId="26" fillId="0" borderId="27" xfId="0" applyNumberFormat="1" applyFont="1" applyBorder="1" applyAlignment="1">
      <alignment horizontal="center"/>
    </xf>
    <xf numFmtId="165" fontId="28" fillId="0" borderId="28" xfId="0" applyNumberFormat="1" applyFont="1" applyBorder="1" applyAlignment="1">
      <alignment horizontal="center"/>
    </xf>
    <xf numFmtId="0" fontId="26" fillId="0" borderId="26" xfId="0" applyFont="1" applyBorder="1" applyAlignment="1">
      <alignment horizontal="center"/>
    </xf>
    <xf numFmtId="0" fontId="1" fillId="9" borderId="27" xfId="0" applyFont="1" applyFill="1" applyBorder="1" applyAlignment="1">
      <alignment horizontal="center"/>
    </xf>
    <xf numFmtId="165" fontId="26" fillId="0" borderId="27" xfId="0" applyNumberFormat="1" applyFont="1" applyBorder="1" applyAlignment="1">
      <alignment horizontal="center"/>
    </xf>
    <xf numFmtId="2" fontId="26" fillId="0" borderId="28" xfId="0" applyNumberFormat="1" applyFont="1" applyBorder="1" applyAlignment="1">
      <alignment horizontal="center"/>
    </xf>
    <xf numFmtId="0" fontId="0" fillId="2" borderId="46" xfId="0" applyFill="1" applyBorder="1" applyAlignment="1">
      <alignment horizontal="center"/>
    </xf>
    <xf numFmtId="165" fontId="26" fillId="2" borderId="46" xfId="0" applyNumberFormat="1" applyFont="1" applyFill="1" applyBorder="1" applyAlignment="1">
      <alignment horizontal="center"/>
    </xf>
    <xf numFmtId="0" fontId="26" fillId="2" borderId="46" xfId="0" applyFont="1" applyFill="1" applyBorder="1" applyAlignment="1">
      <alignment horizontal="center"/>
    </xf>
    <xf numFmtId="2" fontId="26" fillId="2" borderId="49" xfId="0" applyNumberFormat="1" applyFont="1" applyFill="1" applyBorder="1" applyAlignment="1">
      <alignment horizontal="center"/>
    </xf>
    <xf numFmtId="0" fontId="26" fillId="0" borderId="46" xfId="0" applyFont="1" applyBorder="1" applyAlignment="1">
      <alignment horizontal="center"/>
    </xf>
    <xf numFmtId="2" fontId="26" fillId="0" borderId="46" xfId="0" applyNumberFormat="1" applyFont="1" applyBorder="1" applyAlignment="1">
      <alignment horizontal="center"/>
    </xf>
    <xf numFmtId="165" fontId="28" fillId="0" borderId="49" xfId="0" applyNumberFormat="1" applyFont="1" applyBorder="1" applyAlignment="1">
      <alignment horizontal="center"/>
    </xf>
    <xf numFmtId="0" fontId="0" fillId="2" borderId="73" xfId="0" applyFill="1" applyBorder="1" applyAlignment="1">
      <alignment horizontal="center"/>
    </xf>
    <xf numFmtId="165" fontId="26" fillId="2" borderId="73" xfId="0" applyNumberFormat="1" applyFont="1" applyFill="1" applyBorder="1" applyAlignment="1">
      <alignment horizontal="center"/>
    </xf>
    <xf numFmtId="0" fontId="26" fillId="2" borderId="73" xfId="0" applyFont="1" applyFill="1" applyBorder="1" applyAlignment="1">
      <alignment horizontal="center"/>
    </xf>
    <xf numFmtId="2" fontId="26" fillId="2" borderId="74" xfId="0" applyNumberFormat="1" applyFont="1" applyFill="1" applyBorder="1" applyAlignment="1">
      <alignment horizontal="center"/>
    </xf>
    <xf numFmtId="0" fontId="29" fillId="10" borderId="14" xfId="0" applyFont="1" applyFill="1" applyBorder="1" applyAlignment="1">
      <alignment horizontal="center"/>
    </xf>
    <xf numFmtId="4" fontId="29" fillId="10" borderId="25" xfId="0" applyNumberFormat="1" applyFont="1" applyFill="1" applyBorder="1" applyAlignment="1">
      <alignment horizontal="center"/>
    </xf>
    <xf numFmtId="2" fontId="26" fillId="0" borderId="15" xfId="0" applyNumberFormat="1" applyFont="1" applyBorder="1" applyAlignment="1">
      <alignment horizontal="center"/>
    </xf>
    <xf numFmtId="4" fontId="29" fillId="6" borderId="25" xfId="0" applyNumberFormat="1" applyFont="1" applyFill="1" applyBorder="1" applyAlignment="1">
      <alignment horizontal="center"/>
    </xf>
    <xf numFmtId="0" fontId="0" fillId="11" borderId="46" xfId="0" applyFill="1" applyBorder="1" applyAlignment="1">
      <alignment horizontal="center"/>
    </xf>
    <xf numFmtId="165" fontId="26" fillId="11" borderId="46" xfId="0" applyNumberFormat="1" applyFont="1" applyFill="1" applyBorder="1" applyAlignment="1">
      <alignment horizontal="center"/>
    </xf>
    <xf numFmtId="0" fontId="26" fillId="11" borderId="46" xfId="0" applyFont="1" applyFill="1" applyBorder="1" applyAlignment="1">
      <alignment horizontal="center"/>
    </xf>
    <xf numFmtId="2" fontId="26" fillId="11" borderId="49" xfId="0" applyNumberFormat="1" applyFont="1" applyFill="1" applyBorder="1" applyAlignment="1">
      <alignment horizontal="center"/>
    </xf>
    <xf numFmtId="165" fontId="20" fillId="0" borderId="0" xfId="0" applyNumberFormat="1" applyFont="1" applyAlignment="1">
      <alignment horizontal="left"/>
    </xf>
    <xf numFmtId="165" fontId="20" fillId="0" borderId="0" xfId="0" applyNumberFormat="1" applyFont="1" applyAlignment="1">
      <alignment horizontal="center"/>
    </xf>
    <xf numFmtId="0" fontId="26" fillId="0" borderId="67" xfId="0" applyFont="1" applyBorder="1" applyAlignment="1">
      <alignment horizontal="center"/>
    </xf>
    <xf numFmtId="0" fontId="26" fillId="7" borderId="75" xfId="0" applyFont="1" applyFill="1" applyBorder="1" applyAlignment="1">
      <alignment horizontal="center"/>
    </xf>
    <xf numFmtId="4" fontId="29" fillId="8" borderId="25" xfId="0" applyNumberFormat="1" applyFont="1" applyFill="1" applyBorder="1" applyAlignment="1">
      <alignment horizontal="center"/>
    </xf>
    <xf numFmtId="0" fontId="26" fillId="11" borderId="73" xfId="0" applyFont="1" applyFill="1" applyBorder="1" applyAlignment="1">
      <alignment horizontal="center"/>
    </xf>
    <xf numFmtId="165" fontId="26" fillId="11" borderId="73" xfId="0" applyNumberFormat="1" applyFont="1" applyFill="1" applyBorder="1" applyAlignment="1">
      <alignment horizontal="center"/>
    </xf>
    <xf numFmtId="2" fontId="26" fillId="11" borderId="74" xfId="0" applyNumberFormat="1" applyFont="1" applyFill="1" applyBorder="1" applyAlignment="1">
      <alignment horizontal="center"/>
    </xf>
    <xf numFmtId="165" fontId="29" fillId="4" borderId="25" xfId="0" applyNumberFormat="1" applyFont="1" applyFill="1" applyBorder="1" applyAlignment="1">
      <alignment horizontal="center"/>
    </xf>
    <xf numFmtId="0" fontId="29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2" fontId="26" fillId="0" borderId="76" xfId="0" applyNumberFormat="1" applyFont="1" applyBorder="1" applyAlignment="1">
      <alignment horizontal="center"/>
    </xf>
    <xf numFmtId="0" fontId="26" fillId="0" borderId="76" xfId="0" applyFont="1" applyBorder="1" applyAlignment="1">
      <alignment horizontal="center"/>
    </xf>
    <xf numFmtId="165" fontId="29" fillId="4" borderId="77" xfId="0" applyNumberFormat="1" applyFont="1" applyFill="1" applyBorder="1" applyAlignment="1">
      <alignment horizontal="center"/>
    </xf>
    <xf numFmtId="167" fontId="1" fillId="0" borderId="27" xfId="0" applyNumberFormat="1" applyFont="1" applyBorder="1" applyAlignment="1">
      <alignment horizontal="center"/>
    </xf>
    <xf numFmtId="165" fontId="29" fillId="4" borderId="0" xfId="0" applyNumberFormat="1" applyFont="1" applyFill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4" fontId="26" fillId="0" borderId="5" xfId="0" applyNumberFormat="1" applyFont="1" applyBorder="1" applyAlignment="1">
      <alignment horizontal="center"/>
    </xf>
    <xf numFmtId="167" fontId="26" fillId="0" borderId="5" xfId="0" applyNumberFormat="1" applyFont="1" applyBorder="1" applyAlignment="1">
      <alignment horizontal="center"/>
    </xf>
    <xf numFmtId="4" fontId="20" fillId="0" borderId="5" xfId="0" applyNumberFormat="1" applyFont="1" applyBorder="1" applyAlignment="1">
      <alignment horizontal="center"/>
    </xf>
    <xf numFmtId="4" fontId="20" fillId="0" borderId="6" xfId="0" applyNumberFormat="1" applyFont="1" applyBorder="1" applyAlignment="1">
      <alignment horizontal="center"/>
    </xf>
    <xf numFmtId="4" fontId="26" fillId="0" borderId="27" xfId="0" applyNumberFormat="1" applyFont="1" applyBorder="1" applyAlignment="1">
      <alignment horizontal="center"/>
    </xf>
    <xf numFmtId="167" fontId="26" fillId="0" borderId="27" xfId="0" applyNumberFormat="1" applyFont="1" applyBorder="1" applyAlignment="1">
      <alignment horizontal="center"/>
    </xf>
    <xf numFmtId="4" fontId="20" fillId="0" borderId="27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8" borderId="27" xfId="0" applyFill="1" applyBorder="1" applyAlignment="1">
      <alignment horizontal="center"/>
    </xf>
    <xf numFmtId="0" fontId="1" fillId="7" borderId="27" xfId="0" applyFont="1" applyFill="1" applyBorder="1" applyAlignment="1">
      <alignment horizontal="center"/>
    </xf>
    <xf numFmtId="4" fontId="26" fillId="0" borderId="30" xfId="0" applyNumberFormat="1" applyFont="1" applyBorder="1" applyAlignment="1">
      <alignment horizontal="center"/>
    </xf>
    <xf numFmtId="167" fontId="26" fillId="0" borderId="30" xfId="0" applyNumberFormat="1" applyFont="1" applyBorder="1" applyAlignment="1">
      <alignment horizontal="center"/>
    </xf>
    <xf numFmtId="4" fontId="20" fillId="0" borderId="30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8" borderId="0" xfId="0" applyFill="1" applyAlignment="1">
      <alignment horizontal="center"/>
    </xf>
    <xf numFmtId="167" fontId="26" fillId="0" borderId="0" xfId="0" applyNumberFormat="1" applyFont="1" applyAlignment="1">
      <alignment horizontal="center"/>
    </xf>
    <xf numFmtId="4" fontId="20" fillId="2" borderId="67" xfId="0" applyNumberFormat="1" applyFon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8" borderId="27" xfId="0" applyFont="1" applyFill="1" applyBorder="1" applyAlignment="1">
      <alignment horizontal="center"/>
    </xf>
    <xf numFmtId="0" fontId="26" fillId="7" borderId="27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26" fillId="0" borderId="29" xfId="0" applyFont="1" applyBorder="1" applyAlignment="1">
      <alignment horizontal="center"/>
    </xf>
    <xf numFmtId="0" fontId="1" fillId="9" borderId="30" xfId="0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165" fontId="26" fillId="0" borderId="30" xfId="0" applyNumberFormat="1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2" fontId="26" fillId="0" borderId="31" xfId="0" applyNumberFormat="1" applyFont="1" applyBorder="1" applyAlignment="1">
      <alignment horizontal="center"/>
    </xf>
    <xf numFmtId="0" fontId="1" fillId="7" borderId="59" xfId="0" applyFont="1" applyFill="1" applyBorder="1" applyAlignment="1">
      <alignment horizontal="center"/>
    </xf>
    <xf numFmtId="4" fontId="20" fillId="0" borderId="59" xfId="0" applyNumberFormat="1" applyFont="1" applyBorder="1" applyAlignment="1">
      <alignment horizontal="center"/>
    </xf>
    <xf numFmtId="165" fontId="28" fillId="0" borderId="27" xfId="0" applyNumberFormat="1" applyFont="1" applyBorder="1" applyAlignment="1">
      <alignment horizontal="center"/>
    </xf>
    <xf numFmtId="0" fontId="0" fillId="0" borderId="27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7" borderId="27" xfId="0" applyFill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2" borderId="4" xfId="0" applyNumberFormat="1" applyFill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4" fontId="20" fillId="4" borderId="4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56" fillId="15" borderId="0" xfId="0" quotePrefix="1" applyFont="1" applyFill="1" applyAlignment="1">
      <alignment horizontal="center" vertical="center"/>
    </xf>
    <xf numFmtId="14" fontId="37" fillId="0" borderId="0" xfId="0" applyNumberFormat="1" applyFont="1" applyAlignment="1" applyProtection="1">
      <alignment vertical="center"/>
      <protection locked="0"/>
    </xf>
    <xf numFmtId="0" fontId="51" fillId="0" borderId="4" xfId="0" applyFont="1" applyBorder="1" applyAlignment="1">
      <alignment horizontal="left" vertical="center" wrapText="1"/>
    </xf>
    <xf numFmtId="0" fontId="51" fillId="0" borderId="4" xfId="0" applyFont="1" applyBorder="1" applyAlignment="1">
      <alignment horizontal="center" vertical="center"/>
    </xf>
    <xf numFmtId="165" fontId="51" fillId="0" borderId="4" xfId="0" applyNumberFormat="1" applyFont="1" applyBorder="1" applyAlignment="1">
      <alignment horizontal="center" vertical="center"/>
    </xf>
    <xf numFmtId="2" fontId="51" fillId="15" borderId="4" xfId="0" applyNumberFormat="1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6" fillId="0" borderId="59" xfId="0" applyFont="1" applyBorder="1" applyAlignment="1">
      <alignment vertical="center"/>
    </xf>
    <xf numFmtId="4" fontId="6" fillId="0" borderId="59" xfId="0" applyNumberFormat="1" applyFont="1" applyBorder="1" applyAlignment="1">
      <alignment horizontal="right" vertical="center"/>
    </xf>
    <xf numFmtId="0" fontId="6" fillId="0" borderId="27" xfId="0" applyFont="1" applyBorder="1" applyAlignment="1">
      <alignment vertical="center"/>
    </xf>
    <xf numFmtId="4" fontId="6" fillId="0" borderId="27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vertical="center"/>
    </xf>
    <xf numFmtId="0" fontId="6" fillId="0" borderId="61" xfId="0" applyFont="1" applyBorder="1" applyAlignment="1">
      <alignment vertical="center"/>
    </xf>
    <xf numFmtId="4" fontId="6" fillId="0" borderId="61" xfId="0" applyNumberFormat="1" applyFont="1" applyBorder="1" applyAlignment="1">
      <alignment horizontal="right" vertical="center"/>
    </xf>
    <xf numFmtId="0" fontId="91" fillId="0" borderId="0" xfId="0" applyFont="1" applyAlignment="1">
      <alignment horizontal="right"/>
    </xf>
    <xf numFmtId="0" fontId="91" fillId="0" borderId="0" xfId="0" applyFont="1"/>
    <xf numFmtId="2" fontId="41" fillId="0" borderId="0" xfId="0" applyNumberFormat="1" applyFont="1" applyAlignment="1">
      <alignment horizontal="right"/>
    </xf>
    <xf numFmtId="0" fontId="91" fillId="0" borderId="4" xfId="0" applyFont="1" applyBorder="1" applyAlignment="1">
      <alignment vertical="center"/>
    </xf>
    <xf numFmtId="0" fontId="88" fillId="0" borderId="0" xfId="0" applyFont="1" applyAlignment="1">
      <alignment horizontal="right" vertical="center"/>
    </xf>
    <xf numFmtId="1" fontId="41" fillId="0" borderId="0" xfId="0" applyNumberFormat="1" applyFont="1" applyAlignment="1">
      <alignment horizontal="center" vertical="center"/>
    </xf>
    <xf numFmtId="165" fontId="41" fillId="0" borderId="0" xfId="0" applyNumberFormat="1" applyFont="1" applyAlignment="1">
      <alignment horizontal="left" vertical="center"/>
    </xf>
    <xf numFmtId="2" fontId="56" fillId="0" borderId="0" xfId="0" applyNumberFormat="1" applyFont="1" applyAlignment="1">
      <alignment horizontal="center"/>
    </xf>
    <xf numFmtId="165" fontId="41" fillId="0" borderId="98" xfId="0" applyNumberFormat="1" applyFont="1" applyBorder="1" applyAlignment="1">
      <alignment horizontal="center"/>
    </xf>
    <xf numFmtId="2" fontId="6" fillId="0" borderId="118" xfId="0" applyNumberFormat="1" applyFont="1" applyBorder="1" applyAlignment="1">
      <alignment horizontal="center"/>
    </xf>
    <xf numFmtId="2" fontId="6" fillId="0" borderId="35" xfId="0" applyNumberFormat="1" applyFont="1" applyBorder="1" applyAlignment="1">
      <alignment horizontal="center"/>
    </xf>
    <xf numFmtId="4" fontId="41" fillId="0" borderId="109" xfId="0" applyNumberFormat="1" applyFont="1" applyBorder="1" applyAlignment="1">
      <alignment horizontal="center" vertical="center"/>
    </xf>
    <xf numFmtId="0" fontId="9" fillId="0" borderId="0" xfId="0" applyFont="1" applyAlignment="1">
      <alignment horizontal="right"/>
    </xf>
    <xf numFmtId="4" fontId="64" fillId="0" borderId="4" xfId="0" applyNumberFormat="1" applyFont="1" applyBorder="1" applyAlignment="1">
      <alignment horizontal="center" vertical="center"/>
    </xf>
    <xf numFmtId="4" fontId="62" fillId="20" borderId="4" xfId="0" applyNumberFormat="1" applyFont="1" applyFill="1" applyBorder="1"/>
    <xf numFmtId="1" fontId="6" fillId="0" borderId="0" xfId="0" applyNumberFormat="1" applyFont="1"/>
    <xf numFmtId="0" fontId="6" fillId="21" borderId="0" xfId="0" applyFont="1" applyFill="1"/>
    <xf numFmtId="0" fontId="45" fillId="0" borderId="107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45" fillId="0" borderId="16" xfId="0" applyFont="1" applyBorder="1" applyAlignment="1">
      <alignment vertical="center"/>
    </xf>
    <xf numFmtId="0" fontId="41" fillId="0" borderId="53" xfId="0" applyFont="1" applyBorder="1" applyAlignment="1">
      <alignment horizontal="center" vertical="center" wrapText="1"/>
    </xf>
    <xf numFmtId="0" fontId="41" fillId="0" borderId="67" xfId="0" applyFont="1" applyBorder="1" applyAlignment="1">
      <alignment horizontal="center" vertical="center" wrapText="1"/>
    </xf>
    <xf numFmtId="43" fontId="41" fillId="0" borderId="67" xfId="0" applyNumberFormat="1" applyFont="1" applyBorder="1" applyAlignment="1">
      <alignment horizontal="center" wrapText="1"/>
    </xf>
    <xf numFmtId="43" fontId="41" fillId="0" borderId="75" xfId="0" applyNumberFormat="1" applyFont="1" applyBorder="1" applyAlignment="1">
      <alignment horizontal="center" wrapText="1"/>
    </xf>
    <xf numFmtId="0" fontId="3" fillId="12" borderId="120" xfId="0" applyFont="1" applyFill="1" applyBorder="1"/>
    <xf numFmtId="0" fontId="3" fillId="12" borderId="72" xfId="0" applyFont="1" applyFill="1" applyBorder="1"/>
    <xf numFmtId="167" fontId="3" fillId="12" borderId="72" xfId="0" applyNumberFormat="1" applyFont="1" applyFill="1" applyBorder="1"/>
    <xf numFmtId="0" fontId="3" fillId="12" borderId="91" xfId="0" applyFont="1" applyFill="1" applyBorder="1"/>
    <xf numFmtId="0" fontId="3" fillId="12" borderId="34" xfId="0" applyFont="1" applyFill="1" applyBorder="1" applyAlignment="1">
      <alignment horizontal="right" vertical="center" textRotation="90"/>
    </xf>
    <xf numFmtId="0" fontId="3" fillId="12" borderId="35" xfId="0" applyFont="1" applyFill="1" applyBorder="1"/>
    <xf numFmtId="43" fontId="85" fillId="0" borderId="44" xfId="0" applyNumberFormat="1" applyFont="1" applyBorder="1" applyAlignment="1">
      <alignment horizontal="center" vertical="center"/>
    </xf>
    <xf numFmtId="173" fontId="9" fillId="12" borderId="0" xfId="0" applyNumberFormat="1" applyFont="1" applyFill="1" applyAlignment="1">
      <alignment horizontal="center" vertical="center"/>
    </xf>
    <xf numFmtId="4" fontId="41" fillId="0" borderId="109" xfId="0" applyNumberFormat="1" applyFont="1" applyBorder="1" applyAlignment="1">
      <alignment horizontal="right" vertical="center"/>
    </xf>
    <xf numFmtId="43" fontId="6" fillId="0" borderId="0" xfId="0" applyNumberFormat="1" applyFont="1"/>
    <xf numFmtId="173" fontId="6" fillId="0" borderId="0" xfId="0" applyNumberFormat="1" applyFont="1"/>
    <xf numFmtId="0" fontId="3" fillId="12" borderId="36" xfId="0" applyFont="1" applyFill="1" applyBorder="1"/>
    <xf numFmtId="0" fontId="3" fillId="12" borderId="1" xfId="0" applyFont="1" applyFill="1" applyBorder="1"/>
    <xf numFmtId="167" fontId="3" fillId="12" borderId="1" xfId="0" applyNumberFormat="1" applyFont="1" applyFill="1" applyBorder="1"/>
    <xf numFmtId="0" fontId="3" fillId="12" borderId="37" xfId="0" applyFont="1" applyFill="1" applyBorder="1"/>
    <xf numFmtId="0" fontId="3" fillId="12" borderId="32" xfId="0" applyFont="1" applyFill="1" applyBorder="1"/>
    <xf numFmtId="0" fontId="3" fillId="12" borderId="33" xfId="0" applyFont="1" applyFill="1" applyBorder="1"/>
    <xf numFmtId="175" fontId="104" fillId="0" borderId="0" xfId="0" applyNumberFormat="1" applyFont="1"/>
    <xf numFmtId="0" fontId="85" fillId="16" borderId="81" xfId="0" applyFont="1" applyFill="1" applyBorder="1" applyAlignment="1">
      <alignment horizontal="center" vertical="center"/>
    </xf>
    <xf numFmtId="0" fontId="3" fillId="16" borderId="34" xfId="0" applyFont="1" applyFill="1" applyBorder="1"/>
    <xf numFmtId="0" fontId="3" fillId="16" borderId="0" xfId="0" applyFont="1" applyFill="1"/>
    <xf numFmtId="167" fontId="3" fillId="16" borderId="0" xfId="0" applyNumberFormat="1" applyFont="1" applyFill="1"/>
    <xf numFmtId="0" fontId="3" fillId="16" borderId="35" xfId="0" applyFont="1" applyFill="1" applyBorder="1"/>
    <xf numFmtId="173" fontId="41" fillId="12" borderId="0" xfId="0" applyNumberFormat="1" applyFont="1" applyFill="1" applyAlignment="1">
      <alignment horizontal="center" vertical="center"/>
    </xf>
    <xf numFmtId="0" fontId="3" fillId="12" borderId="0" xfId="0" applyFont="1" applyFill="1" applyAlignment="1">
      <alignment horizontal="right" vertical="center" textRotation="90"/>
    </xf>
    <xf numFmtId="0" fontId="3" fillId="16" borderId="36" xfId="0" applyFont="1" applyFill="1" applyBorder="1"/>
    <xf numFmtId="0" fontId="3" fillId="16" borderId="1" xfId="0" applyFont="1" applyFill="1" applyBorder="1"/>
    <xf numFmtId="167" fontId="3" fillId="16" borderId="1" xfId="0" applyNumberFormat="1" applyFont="1" applyFill="1" applyBorder="1"/>
    <xf numFmtId="0" fontId="3" fillId="16" borderId="37" xfId="0" applyFont="1" applyFill="1" applyBorder="1"/>
    <xf numFmtId="0" fontId="85" fillId="16" borderId="78" xfId="0" applyFont="1" applyFill="1" applyBorder="1" applyAlignment="1">
      <alignment horizontal="center" vertical="center"/>
    </xf>
    <xf numFmtId="0" fontId="3" fillId="16" borderId="32" xfId="0" applyFont="1" applyFill="1" applyBorder="1"/>
    <xf numFmtId="0" fontId="3" fillId="16" borderId="3" xfId="0" applyFont="1" applyFill="1" applyBorder="1"/>
    <xf numFmtId="167" fontId="3" fillId="16" borderId="3" xfId="0" applyNumberFormat="1" applyFont="1" applyFill="1" applyBorder="1"/>
    <xf numFmtId="0" fontId="3" fillId="16" borderId="33" xfId="0" applyFont="1" applyFill="1" applyBorder="1"/>
    <xf numFmtId="0" fontId="41" fillId="12" borderId="0" xfId="0" applyFont="1" applyFill="1" applyAlignment="1">
      <alignment horizontal="center"/>
    </xf>
    <xf numFmtId="0" fontId="41" fillId="12" borderId="38" xfId="0" applyFont="1" applyFill="1" applyBorder="1"/>
    <xf numFmtId="41" fontId="6" fillId="0" borderId="0" xfId="0" applyNumberFormat="1" applyFont="1"/>
    <xf numFmtId="173" fontId="9" fillId="21" borderId="4" xfId="0" applyNumberFormat="1" applyFont="1" applyFill="1" applyBorder="1"/>
    <xf numFmtId="0" fontId="9" fillId="21" borderId="4" xfId="0" applyFont="1" applyFill="1" applyBorder="1"/>
    <xf numFmtId="0" fontId="9" fillId="12" borderId="0" xfId="0" applyFont="1" applyFill="1"/>
    <xf numFmtId="0" fontId="9" fillId="12" borderId="38" xfId="0" applyFont="1" applyFill="1" applyBorder="1"/>
    <xf numFmtId="0" fontId="9" fillId="21" borderId="0" xfId="0" applyFont="1" applyFill="1"/>
    <xf numFmtId="0" fontId="3" fillId="12" borderId="0" xfId="0" applyFont="1" applyFill="1"/>
    <xf numFmtId="167" fontId="3" fillId="12" borderId="0" xfId="0" applyNumberFormat="1" applyFont="1" applyFill="1"/>
    <xf numFmtId="167" fontId="3" fillId="12" borderId="125" xfId="0" applyNumberFormat="1" applyFont="1" applyFill="1" applyBorder="1"/>
    <xf numFmtId="0" fontId="3" fillId="12" borderId="128" xfId="0" applyFont="1" applyFill="1" applyBorder="1"/>
    <xf numFmtId="0" fontId="9" fillId="12" borderId="0" xfId="0" applyFont="1" applyFill="1" applyAlignment="1">
      <alignment horizontal="right"/>
    </xf>
    <xf numFmtId="0" fontId="9" fillId="12" borderId="0" xfId="0" applyFont="1" applyFill="1" applyAlignment="1">
      <alignment horizontal="left"/>
    </xf>
    <xf numFmtId="0" fontId="9" fillId="12" borderId="38" xfId="0" applyFont="1" applyFill="1" applyBorder="1" applyAlignment="1">
      <alignment horizontal="left"/>
    </xf>
    <xf numFmtId="0" fontId="3" fillId="12" borderId="34" xfId="0" applyFont="1" applyFill="1" applyBorder="1"/>
    <xf numFmtId="0" fontId="3" fillId="12" borderId="35" xfId="0" applyFont="1" applyFill="1" applyBorder="1" applyAlignment="1">
      <alignment horizontal="right" vertical="center" textRotation="90"/>
    </xf>
    <xf numFmtId="0" fontId="3" fillId="12" borderId="3" xfId="0" applyFont="1" applyFill="1" applyBorder="1"/>
    <xf numFmtId="167" fontId="3" fillId="12" borderId="3" xfId="0" applyNumberFormat="1" applyFont="1" applyFill="1" applyBorder="1"/>
    <xf numFmtId="0" fontId="6" fillId="0" borderId="38" xfId="0" applyFont="1" applyBorder="1"/>
    <xf numFmtId="0" fontId="9" fillId="0" borderId="0" xfId="0" applyFont="1" applyAlignment="1">
      <alignment horizontal="center"/>
    </xf>
    <xf numFmtId="0" fontId="9" fillId="0" borderId="38" xfId="0" applyFont="1" applyBorder="1" applyAlignment="1">
      <alignment horizontal="left"/>
    </xf>
    <xf numFmtId="43" fontId="85" fillId="0" borderId="130" xfId="0" applyNumberFormat="1" applyFont="1" applyBorder="1" applyAlignment="1">
      <alignment horizontal="center" vertical="center"/>
    </xf>
    <xf numFmtId="167" fontId="3" fillId="12" borderId="34" xfId="0" applyNumberFormat="1" applyFont="1" applyFill="1" applyBorder="1" applyAlignment="1">
      <alignment horizontal="right" vertical="center"/>
    </xf>
    <xf numFmtId="0" fontId="3" fillId="12" borderId="32" xfId="0" applyFont="1" applyFill="1" applyBorder="1" applyAlignment="1">
      <alignment horizontal="right"/>
    </xf>
    <xf numFmtId="0" fontId="3" fillId="12" borderId="33" xfId="0" applyFont="1" applyFill="1" applyBorder="1" applyAlignment="1">
      <alignment horizontal="left"/>
    </xf>
    <xf numFmtId="0" fontId="3" fillId="12" borderId="132" xfId="0" applyFont="1" applyFill="1" applyBorder="1"/>
    <xf numFmtId="3" fontId="3" fillId="12" borderId="132" xfId="0" applyNumberFormat="1" applyFont="1" applyFill="1" applyBorder="1" applyAlignment="1">
      <alignment vertical="center" textRotation="90"/>
    </xf>
    <xf numFmtId="3" fontId="3" fillId="12" borderId="132" xfId="0" applyNumberFormat="1" applyFont="1" applyFill="1" applyBorder="1" applyAlignment="1">
      <alignment horizontal="center"/>
    </xf>
    <xf numFmtId="167" fontId="3" fillId="12" borderId="132" xfId="0" applyNumberFormat="1" applyFont="1" applyFill="1" applyBorder="1"/>
    <xf numFmtId="1" fontId="3" fillId="12" borderId="3" xfId="0" applyNumberFormat="1" applyFont="1" applyFill="1" applyBorder="1" applyAlignment="1">
      <alignment vertical="center"/>
    </xf>
    <xf numFmtId="0" fontId="3" fillId="12" borderId="34" xfId="0" applyFont="1" applyFill="1" applyBorder="1" applyAlignment="1">
      <alignment horizontal="right"/>
    </xf>
    <xf numFmtId="0" fontId="3" fillId="12" borderId="35" xfId="0" applyFont="1" applyFill="1" applyBorder="1" applyAlignment="1">
      <alignment horizontal="left"/>
    </xf>
    <xf numFmtId="1" fontId="3" fillId="12" borderId="1" xfId="0" applyNumberFormat="1" applyFont="1" applyFill="1" applyBorder="1" applyAlignment="1">
      <alignment vertical="center"/>
    </xf>
    <xf numFmtId="0" fontId="41" fillId="16" borderId="0" xfId="0" applyFont="1" applyFill="1"/>
    <xf numFmtId="0" fontId="41" fillId="16" borderId="38" xfId="0" applyFont="1" applyFill="1" applyBorder="1"/>
    <xf numFmtId="0" fontId="6" fillId="16" borderId="0" xfId="0" applyFont="1" applyFill="1"/>
    <xf numFmtId="0" fontId="6" fillId="16" borderId="38" xfId="0" applyFont="1" applyFill="1" applyBorder="1"/>
    <xf numFmtId="0" fontId="6" fillId="16" borderId="76" xfId="0" applyFont="1" applyFill="1" applyBorder="1"/>
    <xf numFmtId="0" fontId="6" fillId="16" borderId="85" xfId="0" applyFont="1" applyFill="1" applyBorder="1"/>
    <xf numFmtId="1" fontId="3" fillId="12" borderId="0" xfId="0" applyNumberFormat="1" applyFont="1" applyFill="1" applyAlignment="1">
      <alignment horizontal="right" vertical="center" textRotation="90"/>
    </xf>
    <xf numFmtId="3" fontId="3" fillId="16" borderId="3" xfId="0" applyNumberFormat="1" applyFont="1" applyFill="1" applyBorder="1"/>
    <xf numFmtId="167" fontId="3" fillId="16" borderId="133" xfId="0" applyNumberFormat="1" applyFont="1" applyFill="1" applyBorder="1"/>
    <xf numFmtId="167" fontId="3" fillId="16" borderId="134" xfId="0" applyNumberFormat="1" applyFont="1" applyFill="1" applyBorder="1"/>
    <xf numFmtId="167" fontId="3" fillId="16" borderId="135" xfId="0" applyNumberFormat="1" applyFont="1" applyFill="1" applyBorder="1"/>
    <xf numFmtId="167" fontId="3" fillId="16" borderId="136" xfId="0" applyNumberFormat="1" applyFont="1" applyFill="1" applyBorder="1"/>
    <xf numFmtId="167" fontId="3" fillId="16" borderId="125" xfId="0" applyNumberFormat="1" applyFont="1" applyFill="1" applyBorder="1"/>
    <xf numFmtId="0" fontId="3" fillId="16" borderId="137" xfId="0" applyFont="1" applyFill="1" applyBorder="1"/>
    <xf numFmtId="167" fontId="3" fillId="16" borderId="138" xfId="0" applyNumberFormat="1" applyFont="1" applyFill="1" applyBorder="1"/>
    <xf numFmtId="167" fontId="3" fillId="16" borderId="121" xfId="0" applyNumberFormat="1" applyFont="1" applyFill="1" applyBorder="1"/>
    <xf numFmtId="3" fontId="3" fillId="16" borderId="1" xfId="0" applyNumberFormat="1" applyFont="1" applyFill="1" applyBorder="1" applyAlignment="1">
      <alignment horizontal="left"/>
    </xf>
    <xf numFmtId="0" fontId="6" fillId="16" borderId="34" xfId="0" applyFont="1" applyFill="1" applyBorder="1"/>
    <xf numFmtId="167" fontId="6" fillId="16" borderId="0" xfId="0" applyNumberFormat="1" applyFont="1" applyFill="1"/>
    <xf numFmtId="0" fontId="6" fillId="16" borderId="35" xfId="0" applyFont="1" applyFill="1" applyBorder="1"/>
    <xf numFmtId="0" fontId="6" fillId="16" borderId="36" xfId="0" applyFont="1" applyFill="1" applyBorder="1"/>
    <xf numFmtId="0" fontId="6" fillId="16" borderId="1" xfId="0" applyFont="1" applyFill="1" applyBorder="1"/>
    <xf numFmtId="167" fontId="6" fillId="16" borderId="1" xfId="0" applyNumberFormat="1" applyFont="1" applyFill="1" applyBorder="1"/>
    <xf numFmtId="0" fontId="6" fillId="16" borderId="37" xfId="0" applyFont="1" applyFill="1" applyBorder="1"/>
    <xf numFmtId="167" fontId="6" fillId="12" borderId="125" xfId="0" applyNumberFormat="1" applyFont="1" applyFill="1" applyBorder="1"/>
    <xf numFmtId="0" fontId="6" fillId="12" borderId="128" xfId="0" applyFont="1" applyFill="1" applyBorder="1"/>
    <xf numFmtId="0" fontId="3" fillId="0" borderId="0" xfId="0" applyFont="1"/>
    <xf numFmtId="0" fontId="3" fillId="16" borderId="54" xfId="0" applyFont="1" applyFill="1" applyBorder="1" applyAlignment="1">
      <alignment horizontal="right" vertical="center"/>
    </xf>
    <xf numFmtId="0" fontId="3" fillId="16" borderId="86" xfId="0" applyFont="1" applyFill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173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09" fillId="0" borderId="4" xfId="0" applyFont="1" applyBorder="1" applyAlignment="1">
      <alignment horizontal="center" vertical="center" wrapText="1"/>
    </xf>
    <xf numFmtId="0" fontId="109" fillId="0" borderId="4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81" fillId="0" borderId="0" xfId="0" applyFont="1" applyAlignment="1">
      <alignment horizontal="center" vertical="center"/>
    </xf>
    <xf numFmtId="0" fontId="113" fillId="0" borderId="4" xfId="0" quotePrefix="1" applyFont="1" applyBorder="1" applyAlignment="1">
      <alignment horizontal="center" vertical="center" wrapText="1"/>
    </xf>
    <xf numFmtId="0" fontId="81" fillId="0" borderId="59" xfId="0" applyFont="1" applyBorder="1" applyAlignment="1">
      <alignment horizontal="center" vertical="center"/>
    </xf>
    <xf numFmtId="0" fontId="41" fillId="0" borderId="59" xfId="0" applyFont="1" applyBorder="1" applyAlignment="1">
      <alignment horizontal="left" vertical="center"/>
    </xf>
    <xf numFmtId="14" fontId="41" fillId="0" borderId="59" xfId="0" applyNumberFormat="1" applyFont="1" applyBorder="1" applyAlignment="1">
      <alignment horizontal="center" vertical="center"/>
    </xf>
    <xf numFmtId="4" fontId="81" fillId="0" borderId="59" xfId="0" applyNumberFormat="1" applyFont="1" applyBorder="1" applyAlignment="1">
      <alignment horizontal="center" vertical="center"/>
    </xf>
    <xf numFmtId="2" fontId="41" fillId="0" borderId="59" xfId="0" applyNumberFormat="1" applyFont="1" applyBorder="1" applyAlignment="1">
      <alignment horizontal="center" vertical="center"/>
    </xf>
    <xf numFmtId="2" fontId="81" fillId="0" borderId="59" xfId="0" applyNumberFormat="1" applyFont="1" applyBorder="1" applyAlignment="1">
      <alignment horizontal="center" vertical="center"/>
    </xf>
    <xf numFmtId="2" fontId="81" fillId="21" borderId="59" xfId="0" applyNumberFormat="1" applyFont="1" applyFill="1" applyBorder="1" applyAlignment="1">
      <alignment horizontal="center" vertical="center"/>
    </xf>
    <xf numFmtId="4" fontId="41" fillId="21" borderId="59" xfId="0" applyNumberFormat="1" applyFont="1" applyFill="1" applyBorder="1" applyAlignment="1">
      <alignment horizontal="center" vertical="center"/>
    </xf>
    <xf numFmtId="4" fontId="86" fillId="0" borderId="59" xfId="0" applyNumberFormat="1" applyFont="1" applyBorder="1" applyAlignment="1">
      <alignment horizontal="center" vertical="center"/>
    </xf>
    <xf numFmtId="0" fontId="81" fillId="0" borderId="27" xfId="0" applyFont="1" applyBorder="1" applyAlignment="1">
      <alignment horizontal="center" vertical="center"/>
    </xf>
    <xf numFmtId="0" fontId="81" fillId="0" borderId="27" xfId="0" applyFont="1" applyBorder="1" applyAlignment="1">
      <alignment horizontal="left" vertical="center"/>
    </xf>
    <xf numFmtId="2" fontId="81" fillId="0" borderId="27" xfId="0" applyNumberFormat="1" applyFont="1" applyBorder="1" applyAlignment="1">
      <alignment horizontal="center" vertical="center"/>
    </xf>
    <xf numFmtId="4" fontId="81" fillId="0" borderId="27" xfId="0" applyNumberFormat="1" applyFont="1" applyBorder="1" applyAlignment="1">
      <alignment horizontal="center" vertical="center"/>
    </xf>
    <xf numFmtId="4" fontId="41" fillId="21" borderId="27" xfId="0" applyNumberFormat="1" applyFont="1" applyFill="1" applyBorder="1" applyAlignment="1">
      <alignment horizontal="center" vertical="center"/>
    </xf>
    <xf numFmtId="4" fontId="86" fillId="0" borderId="27" xfId="0" applyNumberFormat="1" applyFont="1" applyBorder="1" applyAlignment="1">
      <alignment horizontal="center" vertical="center"/>
    </xf>
    <xf numFmtId="0" fontId="81" fillId="0" borderId="58" xfId="0" applyFont="1" applyBorder="1" applyAlignment="1">
      <alignment horizontal="center" vertical="center"/>
    </xf>
    <xf numFmtId="0" fontId="81" fillId="0" borderId="27" xfId="0" applyFont="1" applyBorder="1" applyAlignment="1">
      <alignment horizontal="right" vertical="center"/>
    </xf>
    <xf numFmtId="168" fontId="41" fillId="0" borderId="27" xfId="0" applyNumberFormat="1" applyFont="1" applyBorder="1" applyAlignment="1">
      <alignment horizontal="center" vertical="center"/>
    </xf>
    <xf numFmtId="4" fontId="41" fillId="0" borderId="27" xfId="0" applyNumberFormat="1" applyFont="1" applyBorder="1" applyAlignment="1">
      <alignment horizontal="center" vertical="center"/>
    </xf>
    <xf numFmtId="0" fontId="81" fillId="0" borderId="61" xfId="0" applyFont="1" applyBorder="1" applyAlignment="1">
      <alignment horizontal="center" vertical="center"/>
    </xf>
    <xf numFmtId="0" fontId="81" fillId="0" borderId="61" xfId="0" applyFont="1" applyBorder="1" applyAlignment="1">
      <alignment horizontal="left" vertical="center"/>
    </xf>
    <xf numFmtId="2" fontId="81" fillId="0" borderId="61" xfId="0" applyNumberFormat="1" applyFont="1" applyBorder="1" applyAlignment="1">
      <alignment horizontal="center" vertical="center"/>
    </xf>
    <xf numFmtId="4" fontId="81" fillId="0" borderId="61" xfId="0" applyNumberFormat="1" applyFont="1" applyBorder="1" applyAlignment="1">
      <alignment horizontal="center" vertical="center"/>
    </xf>
    <xf numFmtId="0" fontId="3" fillId="16" borderId="68" xfId="0" applyFont="1" applyFill="1" applyBorder="1"/>
    <xf numFmtId="0" fontId="3" fillId="16" borderId="76" xfId="0" applyFont="1" applyFill="1" applyBorder="1"/>
    <xf numFmtId="167" fontId="3" fillId="16" borderId="76" xfId="0" applyNumberFormat="1" applyFont="1" applyFill="1" applyBorder="1"/>
    <xf numFmtId="0" fontId="3" fillId="16" borderId="139" xfId="0" applyFont="1" applyFill="1" applyBorder="1"/>
    <xf numFmtId="0" fontId="3" fillId="0" borderId="0" xfId="0" applyFont="1" applyAlignment="1">
      <alignment vertical="center"/>
    </xf>
    <xf numFmtId="2" fontId="3" fillId="0" borderId="4" xfId="0" applyNumberFormat="1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14" fillId="0" borderId="0" xfId="0" applyFont="1" applyAlignment="1">
      <alignment vertical="center"/>
    </xf>
    <xf numFmtId="0" fontId="115" fillId="0" borderId="0" xfId="0" applyFont="1"/>
    <xf numFmtId="164" fontId="41" fillId="0" borderId="0" xfId="0" applyNumberFormat="1" applyFont="1" applyAlignment="1">
      <alignment horizontal="center" vertical="center" textRotation="90"/>
    </xf>
    <xf numFmtId="164" fontId="41" fillId="0" borderId="0" xfId="0" applyNumberFormat="1" applyFont="1" applyAlignment="1">
      <alignment horizontal="center" textRotation="90"/>
    </xf>
    <xf numFmtId="0" fontId="6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164" fontId="8" fillId="0" borderId="0" xfId="0" applyNumberFormat="1" applyFont="1" applyAlignment="1" applyProtection="1">
      <alignment horizontal="center" vertical="center"/>
      <protection locked="0"/>
    </xf>
    <xf numFmtId="2" fontId="41" fillId="0" borderId="0" xfId="0" applyNumberFormat="1" applyFont="1" applyAlignment="1">
      <alignment horizontal="center" vertical="top"/>
    </xf>
    <xf numFmtId="164" fontId="41" fillId="0" borderId="0" xfId="0" applyNumberFormat="1" applyFont="1" applyAlignment="1">
      <alignment vertical="center" textRotation="90"/>
    </xf>
    <xf numFmtId="2" fontId="41" fillId="0" borderId="0" xfId="0" applyNumberFormat="1" applyFont="1" applyAlignment="1">
      <alignment vertical="center" textRotation="90"/>
    </xf>
    <xf numFmtId="0" fontId="72" fillId="0" borderId="0" xfId="0" applyFont="1" applyAlignment="1">
      <alignment vertical="center" wrapText="1"/>
    </xf>
    <xf numFmtId="2" fontId="41" fillId="0" borderId="0" xfId="0" applyNumberFormat="1" applyFont="1" applyAlignment="1" applyProtection="1">
      <alignment horizontal="center" vertical="center"/>
      <protection locked="0"/>
    </xf>
    <xf numFmtId="4" fontId="6" fillId="0" borderId="0" xfId="0" applyNumberFormat="1" applyFont="1" applyAlignment="1">
      <alignment horizontal="center" vertical="center" textRotation="90"/>
    </xf>
    <xf numFmtId="0" fontId="9" fillId="0" borderId="0" xfId="0" applyFont="1" applyAlignment="1" applyProtection="1">
      <alignment horizontal="center" vertical="center"/>
      <protection locked="0"/>
    </xf>
    <xf numFmtId="4" fontId="41" fillId="0" borderId="0" xfId="0" applyNumberFormat="1" applyFont="1" applyAlignment="1">
      <alignment horizontal="left" vertical="top"/>
    </xf>
    <xf numFmtId="168" fontId="41" fillId="0" borderId="0" xfId="0" applyNumberFormat="1" applyFont="1" applyAlignment="1">
      <alignment horizontal="center" textRotation="90"/>
    </xf>
    <xf numFmtId="4" fontId="41" fillId="0" borderId="0" xfId="0" applyNumberFormat="1" applyFont="1" applyAlignment="1">
      <alignment horizontal="right" vertical="top"/>
    </xf>
    <xf numFmtId="164" fontId="41" fillId="0" borderId="0" xfId="0" applyNumberFormat="1" applyFont="1" applyAlignment="1">
      <alignment textRotation="90"/>
    </xf>
    <xf numFmtId="168" fontId="41" fillId="0" borderId="0" xfId="0" applyNumberFormat="1" applyFont="1" applyAlignment="1">
      <alignment horizontal="center"/>
    </xf>
    <xf numFmtId="4" fontId="41" fillId="0" borderId="0" xfId="0" applyNumberFormat="1" applyFont="1" applyAlignment="1">
      <alignment horizontal="left"/>
    </xf>
    <xf numFmtId="0" fontId="3" fillId="15" borderId="0" xfId="0" applyFont="1" applyFill="1"/>
    <xf numFmtId="0" fontId="116" fillId="15" borderId="0" xfId="0" applyFont="1" applyFill="1"/>
    <xf numFmtId="0" fontId="41" fillId="0" borderId="3" xfId="0" applyFont="1" applyBorder="1" applyAlignment="1">
      <alignment horizontal="center"/>
    </xf>
    <xf numFmtId="173" fontId="3" fillId="0" borderId="4" xfId="0" applyNumberFormat="1" applyFont="1" applyBorder="1" applyAlignment="1">
      <alignment horizontal="center" vertical="center" wrapText="1"/>
    </xf>
    <xf numFmtId="4" fontId="6" fillId="15" borderId="0" xfId="0" applyNumberFormat="1" applyFont="1" applyFill="1" applyAlignment="1">
      <alignment horizontal="left" vertical="center"/>
    </xf>
    <xf numFmtId="0" fontId="107" fillId="0" borderId="4" xfId="0" applyFont="1" applyBorder="1" applyAlignment="1">
      <alignment vertical="center"/>
    </xf>
    <xf numFmtId="0" fontId="59" fillId="0" borderId="4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6" fillId="13" borderId="14" xfId="0" applyFont="1" applyFill="1" applyBorder="1" applyAlignment="1">
      <alignment horizontal="center"/>
    </xf>
    <xf numFmtId="0" fontId="6" fillId="13" borderId="21" xfId="0" applyFont="1" applyFill="1" applyBorder="1" applyAlignment="1">
      <alignment horizontal="center"/>
    </xf>
    <xf numFmtId="0" fontId="6" fillId="5" borderId="14" xfId="0" applyFont="1" applyFill="1" applyBorder="1" applyAlignment="1">
      <alignment horizontal="center"/>
    </xf>
    <xf numFmtId="0" fontId="6" fillId="5" borderId="21" xfId="0" applyFont="1" applyFill="1" applyBorder="1" applyAlignment="1">
      <alignment horizontal="center"/>
    </xf>
    <xf numFmtId="0" fontId="9" fillId="11" borderId="64" xfId="0" applyFont="1" applyFill="1" applyBorder="1" applyAlignment="1">
      <alignment horizontal="center" vertical="center"/>
    </xf>
    <xf numFmtId="0" fontId="9" fillId="11" borderId="81" xfId="0" applyFont="1" applyFill="1" applyBorder="1" applyAlignment="1">
      <alignment horizontal="center" vertical="center"/>
    </xf>
    <xf numFmtId="0" fontId="9" fillId="11" borderId="80" xfId="0" applyFont="1" applyFill="1" applyBorder="1" applyAlignment="1">
      <alignment horizontal="center" vertical="center"/>
    </xf>
    <xf numFmtId="0" fontId="9" fillId="4" borderId="64" xfId="0" applyFont="1" applyFill="1" applyBorder="1" applyAlignment="1">
      <alignment horizontal="center" vertical="center"/>
    </xf>
    <xf numFmtId="0" fontId="9" fillId="4" borderId="81" xfId="0" applyFont="1" applyFill="1" applyBorder="1" applyAlignment="1">
      <alignment horizontal="center" vertical="center"/>
    </xf>
    <xf numFmtId="0" fontId="9" fillId="4" borderId="8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8" fillId="0" borderId="78" xfId="0" applyFont="1" applyBorder="1" applyAlignment="1">
      <alignment horizontal="left" vertical="center"/>
    </xf>
    <xf numFmtId="0" fontId="8" fillId="0" borderId="106" xfId="0" applyFont="1" applyBorder="1" applyAlignment="1">
      <alignment horizontal="left" vertical="center"/>
    </xf>
    <xf numFmtId="0" fontId="6" fillId="0" borderId="2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07" xfId="0" applyFont="1" applyBorder="1" applyAlignment="1">
      <alignment horizontal="center"/>
    </xf>
    <xf numFmtId="0" fontId="6" fillId="0" borderId="108" xfId="0" applyFont="1" applyBorder="1" applyAlignment="1">
      <alignment horizontal="center"/>
    </xf>
    <xf numFmtId="0" fontId="6" fillId="8" borderId="108" xfId="0" applyFont="1" applyFill="1" applyBorder="1" applyAlignment="1">
      <alignment horizontal="center"/>
    </xf>
    <xf numFmtId="0" fontId="6" fillId="8" borderId="14" xfId="0" applyFont="1" applyFill="1" applyBorder="1" applyAlignment="1">
      <alignment horizontal="center"/>
    </xf>
    <xf numFmtId="43" fontId="41" fillId="0" borderId="109" xfId="0" applyNumberFormat="1" applyFont="1" applyBorder="1" applyAlignment="1">
      <alignment horizontal="center" vertical="center"/>
    </xf>
    <xf numFmtId="43" fontId="41" fillId="0" borderId="89" xfId="0" applyNumberFormat="1" applyFont="1" applyBorder="1" applyAlignment="1">
      <alignment horizontal="center" vertical="center"/>
    </xf>
    <xf numFmtId="43" fontId="41" fillId="0" borderId="4" xfId="0" applyNumberFormat="1" applyFont="1" applyBorder="1" applyAlignment="1">
      <alignment horizontal="center" vertical="center"/>
    </xf>
    <xf numFmtId="0" fontId="41" fillId="0" borderId="109" xfId="0" applyFont="1" applyBorder="1" applyAlignment="1">
      <alignment horizontal="center" vertical="center"/>
    </xf>
    <xf numFmtId="0" fontId="41" fillId="0" borderId="89" xfId="0" applyFont="1" applyBorder="1" applyAlignment="1">
      <alignment horizontal="center" vertical="center"/>
    </xf>
    <xf numFmtId="1" fontId="41" fillId="0" borderId="55" xfId="0" applyNumberFormat="1" applyFont="1" applyBorder="1" applyAlignment="1">
      <alignment horizontal="center" vertical="center"/>
    </xf>
    <xf numFmtId="1" fontId="41" fillId="0" borderId="89" xfId="0" applyNumberFormat="1" applyFont="1" applyBorder="1" applyAlignment="1">
      <alignment horizontal="center" vertical="center"/>
    </xf>
    <xf numFmtId="43" fontId="41" fillId="0" borderId="55" xfId="0" applyNumberFormat="1" applyFont="1" applyBorder="1" applyAlignment="1">
      <alignment horizontal="center" vertical="center"/>
    </xf>
    <xf numFmtId="0" fontId="41" fillId="0" borderId="55" xfId="0" applyFont="1" applyBorder="1" applyAlignment="1">
      <alignment horizontal="center" vertical="center"/>
    </xf>
    <xf numFmtId="0" fontId="41" fillId="12" borderId="32" xfId="0" applyFont="1" applyFill="1" applyBorder="1" applyAlignment="1">
      <alignment horizontal="right" vertical="center"/>
    </xf>
    <xf numFmtId="0" fontId="41" fillId="12" borderId="34" xfId="0" applyFont="1" applyFill="1" applyBorder="1" applyAlignment="1">
      <alignment horizontal="right" vertical="center"/>
    </xf>
    <xf numFmtId="0" fontId="41" fillId="12" borderId="36" xfId="0" applyFont="1" applyFill="1" applyBorder="1" applyAlignment="1">
      <alignment horizontal="right" vertical="center"/>
    </xf>
    <xf numFmtId="0" fontId="41" fillId="12" borderId="33" xfId="0" applyFont="1" applyFill="1" applyBorder="1" applyAlignment="1">
      <alignment horizontal="left" vertical="center"/>
    </xf>
    <xf numFmtId="0" fontId="41" fillId="12" borderId="35" xfId="0" applyFont="1" applyFill="1" applyBorder="1" applyAlignment="1">
      <alignment horizontal="left" vertical="center"/>
    </xf>
    <xf numFmtId="0" fontId="41" fillId="12" borderId="37" xfId="0" applyFont="1" applyFill="1" applyBorder="1" applyAlignment="1">
      <alignment horizontal="left" vertical="center"/>
    </xf>
    <xf numFmtId="0" fontId="41" fillId="0" borderId="4" xfId="0" applyFont="1" applyBorder="1" applyAlignment="1">
      <alignment horizontal="center" vertical="center"/>
    </xf>
    <xf numFmtId="1" fontId="6" fillId="12" borderId="54" xfId="0" applyNumberFormat="1" applyFont="1" applyFill="1" applyBorder="1" applyAlignment="1">
      <alignment horizontal="center"/>
    </xf>
    <xf numFmtId="1" fontId="6" fillId="12" borderId="110" xfId="0" applyNumberFormat="1" applyFont="1" applyFill="1" applyBorder="1" applyAlignment="1">
      <alignment horizontal="center"/>
    </xf>
    <xf numFmtId="1" fontId="6" fillId="12" borderId="86" xfId="0" applyNumberFormat="1" applyFont="1" applyFill="1" applyBorder="1" applyAlignment="1">
      <alignment horizontal="center"/>
    </xf>
    <xf numFmtId="1" fontId="41" fillId="0" borderId="4" xfId="0" applyNumberFormat="1" applyFont="1" applyBorder="1" applyAlignment="1">
      <alignment horizontal="center" vertical="center"/>
    </xf>
    <xf numFmtId="1" fontId="41" fillId="0" borderId="109" xfId="0" applyNumberFormat="1" applyFont="1" applyBorder="1" applyAlignment="1">
      <alignment horizontal="center" vertical="center"/>
    </xf>
    <xf numFmtId="0" fontId="6" fillId="12" borderId="110" xfId="0" applyFont="1" applyFill="1" applyBorder="1" applyAlignment="1">
      <alignment horizontal="center"/>
    </xf>
    <xf numFmtId="0" fontId="41" fillId="12" borderId="33" xfId="0" applyFont="1" applyFill="1" applyBorder="1" applyAlignment="1">
      <alignment vertical="center"/>
    </xf>
    <xf numFmtId="0" fontId="41" fillId="12" borderId="37" xfId="0" applyFont="1" applyFill="1" applyBorder="1" applyAlignment="1">
      <alignment vertical="center"/>
    </xf>
    <xf numFmtId="0" fontId="6" fillId="12" borderId="36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6" fillId="12" borderId="37" xfId="0" applyFont="1" applyFill="1" applyBorder="1" applyAlignment="1">
      <alignment horizontal="center"/>
    </xf>
    <xf numFmtId="0" fontId="41" fillId="0" borderId="4" xfId="0" applyFont="1" applyBorder="1" applyAlignment="1">
      <alignment horizontal="center" vertical="center" wrapText="1"/>
    </xf>
    <xf numFmtId="167" fontId="41" fillId="0" borderId="4" xfId="0" applyNumberFormat="1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0" fontId="41" fillId="12" borderId="54" xfId="0" applyFont="1" applyFill="1" applyBorder="1" applyAlignment="1">
      <alignment horizontal="right" vertical="center"/>
    </xf>
    <xf numFmtId="0" fontId="41" fillId="12" borderId="86" xfId="0" applyFont="1" applyFill="1" applyBorder="1" applyAlignment="1">
      <alignment vertical="center"/>
    </xf>
    <xf numFmtId="4" fontId="41" fillId="0" borderId="55" xfId="0" applyNumberFormat="1" applyFont="1" applyBorder="1" applyAlignment="1">
      <alignment horizontal="center" vertical="center"/>
    </xf>
    <xf numFmtId="4" fontId="41" fillId="0" borderId="89" xfId="0" applyNumberFormat="1" applyFont="1" applyBorder="1" applyAlignment="1">
      <alignment horizontal="center" vertical="center"/>
    </xf>
    <xf numFmtId="4" fontId="41" fillId="0" borderId="109" xfId="0" applyNumberFormat="1" applyFont="1" applyBorder="1" applyAlignment="1">
      <alignment horizontal="center" vertical="center"/>
    </xf>
    <xf numFmtId="0" fontId="41" fillId="0" borderId="54" xfId="0" applyFont="1" applyBorder="1" applyAlignment="1">
      <alignment horizontal="center" vertical="center"/>
    </xf>
    <xf numFmtId="0" fontId="41" fillId="0" borderId="110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54" xfId="0" applyFont="1" applyBorder="1" applyAlignment="1">
      <alignment horizontal="center" vertical="center" wrapText="1"/>
    </xf>
    <xf numFmtId="0" fontId="41" fillId="0" borderId="86" xfId="0" applyFont="1" applyBorder="1" applyAlignment="1">
      <alignment horizontal="center" vertical="center" wrapText="1"/>
    </xf>
    <xf numFmtId="0" fontId="41" fillId="12" borderId="35" xfId="0" applyFont="1" applyFill="1" applyBorder="1" applyAlignment="1">
      <alignment vertical="center"/>
    </xf>
    <xf numFmtId="0" fontId="41" fillId="0" borderId="32" xfId="0" applyFont="1" applyBorder="1" applyAlignment="1">
      <alignment horizontal="center" vertical="center"/>
    </xf>
    <xf numFmtId="0" fontId="41" fillId="0" borderId="34" xfId="0" applyFont="1" applyBorder="1" applyAlignment="1">
      <alignment horizontal="center" vertical="center"/>
    </xf>
    <xf numFmtId="0" fontId="41" fillId="0" borderId="36" xfId="0" applyFont="1" applyBorder="1" applyAlignment="1">
      <alignment horizontal="center" vertical="center"/>
    </xf>
    <xf numFmtId="0" fontId="41" fillId="0" borderId="33" xfId="0" applyFont="1" applyBorder="1" applyAlignment="1">
      <alignment horizontal="center" vertical="center"/>
    </xf>
    <xf numFmtId="0" fontId="41" fillId="0" borderId="35" xfId="0" applyFont="1" applyBorder="1" applyAlignment="1">
      <alignment horizontal="center" vertical="center"/>
    </xf>
    <xf numFmtId="0" fontId="41" fillId="0" borderId="37" xfId="0" applyFont="1" applyBorder="1" applyAlignment="1">
      <alignment horizontal="center" vertical="center"/>
    </xf>
    <xf numFmtId="0" fontId="6" fillId="12" borderId="0" xfId="0" applyFont="1" applyFill="1" applyAlignment="1">
      <alignment horizontal="center" textRotation="90"/>
    </xf>
    <xf numFmtId="3" fontId="6" fillId="12" borderId="3" xfId="0" applyNumberFormat="1" applyFont="1" applyFill="1" applyBorder="1" applyAlignment="1">
      <alignment horizontal="left" vertical="center" textRotation="46"/>
    </xf>
    <xf numFmtId="0" fontId="6" fillId="12" borderId="0" xfId="0" applyFont="1" applyFill="1" applyAlignment="1">
      <alignment horizontal="center"/>
    </xf>
    <xf numFmtId="1" fontId="6" fillId="12" borderId="3" xfId="0" applyNumberFormat="1" applyFont="1" applyFill="1" applyBorder="1" applyAlignment="1">
      <alignment horizontal="center" vertical="center"/>
    </xf>
    <xf numFmtId="1" fontId="6" fillId="12" borderId="1" xfId="0" applyNumberFormat="1" applyFont="1" applyFill="1" applyBorder="1" applyAlignment="1">
      <alignment horizontal="center" vertical="center"/>
    </xf>
    <xf numFmtId="0" fontId="42" fillId="0" borderId="4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/>
    </xf>
    <xf numFmtId="0" fontId="35" fillId="0" borderId="4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1" fillId="13" borderId="21" xfId="0" applyFont="1" applyFill="1" applyBorder="1" applyAlignment="1">
      <alignment horizontal="center"/>
    </xf>
    <xf numFmtId="0" fontId="20" fillId="0" borderId="78" xfId="0" applyFont="1" applyBorder="1" applyAlignment="1">
      <alignment horizontal="left" vertical="center"/>
    </xf>
    <xf numFmtId="0" fontId="20" fillId="0" borderId="106" xfId="0" applyFont="1" applyBorder="1" applyAlignment="1">
      <alignment horizontal="left" vertical="center"/>
    </xf>
    <xf numFmtId="164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0" fillId="0" borderId="14" xfId="0" applyFont="1" applyBorder="1" applyAlignment="1">
      <alignment horizontal="center"/>
    </xf>
    <xf numFmtId="0" fontId="20" fillId="0" borderId="2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2" fillId="0" borderId="92" xfId="0" applyFont="1" applyBorder="1" applyAlignment="1">
      <alignment horizontal="center"/>
    </xf>
    <xf numFmtId="0" fontId="20" fillId="0" borderId="88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77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7" xfId="0" applyFont="1" applyBorder="1" applyAlignment="1">
      <alignment horizontal="center"/>
    </xf>
    <xf numFmtId="0" fontId="1" fillId="0" borderId="108" xfId="0" applyFont="1" applyBorder="1" applyAlignment="1">
      <alignment horizontal="center"/>
    </xf>
    <xf numFmtId="0" fontId="1" fillId="8" borderId="108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4" fontId="6" fillId="3" borderId="111" xfId="0" applyNumberFormat="1" applyFont="1" applyFill="1" applyBorder="1" applyAlignment="1">
      <alignment horizontal="center" vertical="center"/>
    </xf>
    <xf numFmtId="4" fontId="6" fillId="3" borderId="10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 textRotation="90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textRotation="90"/>
    </xf>
    <xf numFmtId="0" fontId="6" fillId="0" borderId="0" xfId="0" applyFont="1" applyAlignment="1">
      <alignment horizontal="center"/>
    </xf>
    <xf numFmtId="0" fontId="6" fillId="6" borderId="0" xfId="0" applyFont="1" applyFill="1" applyAlignment="1">
      <alignment horizontal="center" vertical="center"/>
    </xf>
    <xf numFmtId="4" fontId="6" fillId="6" borderId="1" xfId="0" applyNumberFormat="1" applyFont="1" applyFill="1" applyBorder="1" applyAlignment="1">
      <alignment horizontal="center"/>
    </xf>
    <xf numFmtId="4" fontId="6" fillId="0" borderId="0" xfId="0" applyNumberFormat="1" applyFont="1" applyAlignment="1">
      <alignment horizontal="center"/>
    </xf>
    <xf numFmtId="4" fontId="6" fillId="6" borderId="3" xfId="0" applyNumberFormat="1" applyFont="1" applyFill="1" applyBorder="1" applyAlignment="1">
      <alignment horizontal="center"/>
    </xf>
    <xf numFmtId="169" fontId="41" fillId="0" borderId="0" xfId="0" applyNumberFormat="1" applyFont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165" fontId="89" fillId="0" borderId="3" xfId="0" applyNumberFormat="1" applyFont="1" applyBorder="1" applyAlignment="1">
      <alignment horizontal="center"/>
    </xf>
    <xf numFmtId="0" fontId="41" fillId="0" borderId="0" xfId="0" applyFont="1" applyAlignment="1">
      <alignment horizontal="left" vertical="center"/>
    </xf>
    <xf numFmtId="0" fontId="41" fillId="0" borderId="0" xfId="0" applyFont="1" applyAlignment="1">
      <alignment horizontal="center" vertical="center"/>
    </xf>
    <xf numFmtId="4" fontId="41" fillId="0" borderId="0" xfId="0" applyNumberFormat="1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56" fillId="0" borderId="54" xfId="0" applyFont="1" applyBorder="1" applyAlignment="1">
      <alignment horizontal="center" vertical="center"/>
    </xf>
    <xf numFmtId="0" fontId="56" fillId="0" borderId="110" xfId="0" applyFont="1" applyBorder="1" applyAlignment="1">
      <alignment horizontal="center" vertical="center"/>
    </xf>
    <xf numFmtId="0" fontId="56" fillId="0" borderId="86" xfId="0" applyFont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6" fillId="0" borderId="55" xfId="0" applyFont="1" applyBorder="1" applyAlignment="1">
      <alignment horizontal="center" vertical="center"/>
    </xf>
    <xf numFmtId="0" fontId="6" fillId="0" borderId="89" xfId="0" applyFont="1" applyBorder="1" applyAlignment="1">
      <alignment horizontal="center" vertical="center"/>
    </xf>
    <xf numFmtId="164" fontId="41" fillId="0" borderId="0" xfId="0" applyNumberFormat="1" applyFont="1" applyAlignment="1">
      <alignment horizontal="center" vertical="center" textRotation="90"/>
    </xf>
    <xf numFmtId="2" fontId="41" fillId="0" borderId="0" xfId="0" applyNumberFormat="1" applyFont="1" applyAlignment="1">
      <alignment horizontal="right" textRotation="90"/>
    </xf>
    <xf numFmtId="164" fontId="41" fillId="0" borderId="0" xfId="0" applyNumberFormat="1" applyFont="1" applyAlignment="1">
      <alignment horizontal="center" textRotation="90"/>
    </xf>
    <xf numFmtId="164" fontId="41" fillId="0" borderId="0" xfId="0" applyNumberFormat="1" applyFont="1" applyAlignment="1">
      <alignment horizontal="right" textRotation="90"/>
    </xf>
    <xf numFmtId="2" fontId="41" fillId="0" borderId="0" xfId="0" applyNumberFormat="1" applyFont="1" applyAlignment="1">
      <alignment horizontal="right" vertical="center" textRotation="90"/>
    </xf>
    <xf numFmtId="2" fontId="41" fillId="0" borderId="0" xfId="0" applyNumberFormat="1" applyFont="1" applyAlignment="1">
      <alignment horizontal="center"/>
    </xf>
    <xf numFmtId="0" fontId="69" fillId="0" borderId="54" xfId="0" applyFont="1" applyBorder="1" applyAlignment="1">
      <alignment horizontal="center" vertical="center" wrapText="1"/>
    </xf>
    <xf numFmtId="0" fontId="69" fillId="0" borderId="86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vertical="center"/>
    </xf>
    <xf numFmtId="0" fontId="84" fillId="0" borderId="0" xfId="0" applyFont="1" applyAlignment="1">
      <alignment horizontal="left" vertical="center"/>
    </xf>
    <xf numFmtId="164" fontId="41" fillId="0" borderId="0" xfId="0" applyNumberFormat="1" applyFont="1" applyAlignment="1">
      <alignment horizontal="right" vertical="center" textRotation="90"/>
    </xf>
    <xf numFmtId="14" fontId="84" fillId="0" borderId="0" xfId="0" applyNumberFormat="1" applyFont="1" applyAlignment="1">
      <alignment horizontal="left" vertical="center"/>
    </xf>
    <xf numFmtId="164" fontId="41" fillId="0" borderId="0" xfId="0" applyNumberFormat="1" applyFont="1" applyAlignment="1">
      <alignment horizontal="left" vertical="center" textRotation="90"/>
    </xf>
    <xf numFmtId="168" fontId="41" fillId="0" borderId="0" xfId="0" applyNumberFormat="1" applyFont="1" applyAlignment="1">
      <alignment horizontal="right" vertical="center" textRotation="90"/>
    </xf>
    <xf numFmtId="164" fontId="41" fillId="0" borderId="0" xfId="0" applyNumberFormat="1" applyFont="1" applyAlignment="1">
      <alignment horizontal="center" vertical="top" textRotation="90"/>
    </xf>
    <xf numFmtId="0" fontId="6" fillId="0" borderId="54" xfId="0" applyFont="1" applyBorder="1" applyAlignment="1">
      <alignment horizontal="center" vertical="center" wrapText="1"/>
    </xf>
    <xf numFmtId="0" fontId="6" fillId="0" borderId="86" xfId="0" applyFont="1" applyBorder="1" applyAlignment="1">
      <alignment horizontal="center" vertical="center" wrapText="1"/>
    </xf>
    <xf numFmtId="0" fontId="41" fillId="0" borderId="0" xfId="0" applyFont="1" applyAlignment="1">
      <alignment horizontal="right"/>
    </xf>
    <xf numFmtId="169" fontId="106" fillId="0" borderId="0" xfId="0" applyNumberFormat="1" applyFont="1" applyAlignment="1">
      <alignment horizontal="center" vertical="center"/>
    </xf>
    <xf numFmtId="0" fontId="9" fillId="0" borderId="0" xfId="0" applyFont="1" applyAlignment="1" applyProtection="1">
      <alignment horizontal="right" vertical="center"/>
      <protection locked="0"/>
    </xf>
    <xf numFmtId="14" fontId="37" fillId="0" borderId="0" xfId="0" applyNumberFormat="1" applyFont="1" applyAlignment="1" applyProtection="1">
      <alignment horizontal="left" vertical="center"/>
      <protection locked="0"/>
    </xf>
    <xf numFmtId="0" fontId="47" fillId="15" borderId="0" xfId="0" applyFont="1" applyFill="1" applyAlignment="1">
      <alignment horizontal="center" vertical="center"/>
    </xf>
    <xf numFmtId="2" fontId="41" fillId="0" borderId="0" xfId="0" applyNumberFormat="1" applyFont="1" applyAlignment="1">
      <alignment horizontal="center" vertical="top"/>
    </xf>
    <xf numFmtId="4" fontId="6" fillId="0" borderId="60" xfId="0" applyNumberFormat="1" applyFont="1" applyBorder="1" applyAlignment="1">
      <alignment horizontal="center" vertical="center"/>
    </xf>
    <xf numFmtId="4" fontId="6" fillId="0" borderId="113" xfId="0" applyNumberFormat="1" applyFont="1" applyBorder="1" applyAlignment="1">
      <alignment horizontal="center" vertical="center"/>
    </xf>
    <xf numFmtId="4" fontId="6" fillId="0" borderId="117" xfId="0" applyNumberFormat="1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 wrapText="1"/>
    </xf>
    <xf numFmtId="0" fontId="6" fillId="0" borderId="73" xfId="0" applyFont="1" applyBorder="1" applyAlignment="1">
      <alignment horizontal="center" vertical="center" wrapText="1"/>
    </xf>
    <xf numFmtId="0" fontId="41" fillId="0" borderId="4" xfId="0" applyFont="1" applyBorder="1" applyAlignment="1">
      <alignment horizontal="left" vertical="center" wrapText="1"/>
    </xf>
    <xf numFmtId="164" fontId="41" fillId="0" borderId="0" xfId="0" applyNumberFormat="1" applyFont="1" applyAlignment="1">
      <alignment horizontal="center" vertical="center"/>
    </xf>
    <xf numFmtId="2" fontId="41" fillId="0" borderId="0" xfId="0" applyNumberFormat="1" applyFont="1" applyAlignment="1" applyProtection="1">
      <alignment horizontal="center" vertical="top"/>
      <protection locked="0"/>
    </xf>
    <xf numFmtId="4" fontId="6" fillId="0" borderId="0" xfId="0" applyNumberFormat="1" applyFont="1" applyAlignment="1">
      <alignment horizontal="left" vertical="center" textRotation="90"/>
    </xf>
    <xf numFmtId="0" fontId="6" fillId="0" borderId="0" xfId="0" applyFont="1" applyAlignment="1">
      <alignment horizontal="left" vertical="center" textRotation="90"/>
    </xf>
    <xf numFmtId="0" fontId="35" fillId="0" borderId="4" xfId="0" applyFont="1" applyBorder="1" applyAlignment="1">
      <alignment horizontal="left" vertical="center"/>
    </xf>
    <xf numFmtId="0" fontId="69" fillId="0" borderId="0" xfId="0" applyFont="1" applyAlignment="1">
      <alignment horizontal="left" vertical="center" wrapText="1"/>
    </xf>
    <xf numFmtId="0" fontId="69" fillId="0" borderId="0" xfId="0" applyFont="1" applyAlignment="1">
      <alignment horizontal="left" vertical="center"/>
    </xf>
    <xf numFmtId="0" fontId="41" fillId="6" borderId="0" xfId="0" applyFont="1" applyFill="1" applyAlignment="1">
      <alignment horizontal="center" vertical="center"/>
    </xf>
    <xf numFmtId="4" fontId="41" fillId="6" borderId="1" xfId="0" applyNumberFormat="1" applyFont="1" applyFill="1" applyBorder="1" applyAlignment="1">
      <alignment horizontal="center" vertical="center"/>
    </xf>
    <xf numFmtId="0" fontId="76" fillId="0" borderId="0" xfId="0" applyFont="1" applyAlignment="1">
      <alignment horizontal="left" vertical="center" wrapText="1"/>
    </xf>
    <xf numFmtId="0" fontId="41" fillId="0" borderId="0" xfId="0" applyFont="1" applyAlignment="1">
      <alignment horizontal="right" vertical="center"/>
    </xf>
    <xf numFmtId="0" fontId="100" fillId="0" borderId="0" xfId="0" applyFont="1" applyAlignment="1">
      <alignment horizontal="left" vertical="center"/>
    </xf>
    <xf numFmtId="0" fontId="1" fillId="13" borderId="14" xfId="0" applyFont="1" applyFill="1" applyBorder="1" applyAlignment="1">
      <alignment horizontal="center" vertical="center"/>
    </xf>
    <xf numFmtId="0" fontId="1" fillId="13" borderId="21" xfId="0" applyFont="1" applyFill="1" applyBorder="1" applyAlignment="1">
      <alignment horizontal="center" vertical="center"/>
    </xf>
    <xf numFmtId="0" fontId="20" fillId="0" borderId="78" xfId="0" applyFont="1" applyBorder="1" applyAlignment="1">
      <alignment horizontal="center" vertical="center"/>
    </xf>
    <xf numFmtId="0" fontId="20" fillId="0" borderId="106" xfId="0" applyFont="1" applyBorder="1" applyAlignment="1">
      <alignment horizontal="center" vertical="center"/>
    </xf>
    <xf numFmtId="0" fontId="32" fillId="0" borderId="112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32" fillId="0" borderId="92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0" borderId="108" xfId="0" applyFont="1" applyBorder="1" applyAlignment="1">
      <alignment horizontal="center" vertical="center"/>
    </xf>
    <xf numFmtId="0" fontId="1" fillId="8" borderId="108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6" fillId="0" borderId="46" xfId="0" applyFont="1" applyBorder="1" applyAlignment="1">
      <alignment horizontal="center" vertical="center" wrapText="1"/>
    </xf>
    <xf numFmtId="0" fontId="6" fillId="0" borderId="109" xfId="0" applyFont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 wrapText="1"/>
    </xf>
    <xf numFmtId="0" fontId="41" fillId="0" borderId="0" xfId="0" applyFont="1" applyAlignment="1">
      <alignment horizontal="right" vertical="center" textRotation="90"/>
    </xf>
    <xf numFmtId="0" fontId="6" fillId="0" borderId="54" xfId="0" applyFont="1" applyBorder="1" applyAlignment="1">
      <alignment horizontal="center" vertical="center"/>
    </xf>
    <xf numFmtId="0" fontId="6" fillId="0" borderId="110" xfId="0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4" fontId="41" fillId="6" borderId="3" xfId="0" applyNumberFormat="1" applyFont="1" applyFill="1" applyBorder="1" applyAlignment="1">
      <alignment horizontal="center" vertical="center"/>
    </xf>
    <xf numFmtId="2" fontId="41" fillId="0" borderId="0" xfId="0" applyNumberFormat="1" applyFont="1" applyAlignment="1">
      <alignment horizontal="left" vertical="center" textRotation="90"/>
    </xf>
    <xf numFmtId="4" fontId="41" fillId="0" borderId="0" xfId="0" applyNumberFormat="1" applyFont="1" applyAlignment="1">
      <alignment horizontal="center"/>
    </xf>
    <xf numFmtId="4" fontId="41" fillId="0" borderId="0" xfId="0" applyNumberFormat="1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2" fontId="41" fillId="0" borderId="0" xfId="0" applyNumberFormat="1" applyFont="1" applyAlignment="1">
      <alignment horizontal="center" vertical="center" textRotation="90"/>
    </xf>
    <xf numFmtId="2" fontId="35" fillId="0" borderId="0" xfId="0" applyNumberFormat="1" applyFont="1" applyAlignment="1" applyProtection="1">
      <alignment horizontal="right" textRotation="90"/>
      <protection locked="0"/>
    </xf>
    <xf numFmtId="0" fontId="62" fillId="15" borderId="4" xfId="0" applyFont="1" applyFill="1" applyBorder="1" applyAlignment="1">
      <alignment horizontal="center" vertical="center"/>
    </xf>
    <xf numFmtId="0" fontId="62" fillId="15" borderId="1" xfId="0" applyFont="1" applyFill="1" applyBorder="1" applyAlignment="1">
      <alignment horizontal="center" vertical="center"/>
    </xf>
    <xf numFmtId="14" fontId="64" fillId="0" borderId="54" xfId="0" applyNumberFormat="1" applyFont="1" applyBorder="1" applyAlignment="1">
      <alignment horizontal="left" vertical="center"/>
    </xf>
    <xf numFmtId="0" fontId="64" fillId="0" borderId="86" xfId="0" applyFont="1" applyBorder="1" applyAlignment="1">
      <alignment horizontal="left" vertical="center"/>
    </xf>
    <xf numFmtId="0" fontId="62" fillId="17" borderId="4" xfId="0" applyFont="1" applyFill="1" applyBorder="1" applyAlignment="1">
      <alignment horizontal="center" vertical="center"/>
    </xf>
    <xf numFmtId="0" fontId="63" fillId="18" borderId="4" xfId="0" applyFont="1" applyFill="1" applyBorder="1" applyAlignment="1">
      <alignment horizontal="center" vertical="center"/>
    </xf>
    <xf numFmtId="0" fontId="62" fillId="17" borderId="3" xfId="0" applyFont="1" applyFill="1" applyBorder="1" applyAlignment="1">
      <alignment horizontal="center" vertical="center"/>
    </xf>
    <xf numFmtId="0" fontId="103" fillId="0" borderId="22" xfId="0" applyFont="1" applyBorder="1" applyAlignment="1">
      <alignment horizontal="center" vertical="center"/>
    </xf>
    <xf numFmtId="0" fontId="103" fillId="0" borderId="14" xfId="0" applyFont="1" applyBorder="1" applyAlignment="1">
      <alignment horizontal="center" vertical="center"/>
    </xf>
    <xf numFmtId="0" fontId="103" fillId="0" borderId="21" xfId="0" applyFont="1" applyBorder="1" applyAlignment="1">
      <alignment horizontal="center" vertical="center"/>
    </xf>
    <xf numFmtId="0" fontId="85" fillId="0" borderId="40" xfId="0" applyFont="1" applyBorder="1" applyAlignment="1">
      <alignment horizontal="center" vertical="center" wrapText="1"/>
    </xf>
    <xf numFmtId="0" fontId="85" fillId="0" borderId="50" xfId="0" applyFont="1" applyBorder="1" applyAlignment="1">
      <alignment horizontal="center" vertical="center" wrapText="1"/>
    </xf>
    <xf numFmtId="167" fontId="85" fillId="0" borderId="8" xfId="0" applyNumberFormat="1" applyFont="1" applyBorder="1" applyAlignment="1">
      <alignment horizontal="center" vertical="center"/>
    </xf>
    <xf numFmtId="167" fontId="85" fillId="0" borderId="51" xfId="0" applyNumberFormat="1" applyFont="1" applyBorder="1" applyAlignment="1">
      <alignment horizontal="center" vertical="center"/>
    </xf>
    <xf numFmtId="0" fontId="85" fillId="0" borderId="8" xfId="0" applyFont="1" applyBorder="1" applyAlignment="1">
      <alignment horizontal="center" vertical="center" wrapText="1"/>
    </xf>
    <xf numFmtId="0" fontId="85" fillId="0" borderId="51" xfId="0" applyFont="1" applyBorder="1" applyAlignment="1">
      <alignment horizontal="center" vertical="center" wrapText="1"/>
    </xf>
    <xf numFmtId="0" fontId="85" fillId="0" borderId="9" xfId="0" applyFont="1" applyBorder="1" applyAlignment="1">
      <alignment horizontal="center" vertical="center" wrapText="1"/>
    </xf>
    <xf numFmtId="0" fontId="85" fillId="0" borderId="119" xfId="0" applyFont="1" applyBorder="1" applyAlignment="1">
      <alignment horizontal="center" vertical="center" wrapText="1"/>
    </xf>
    <xf numFmtId="0" fontId="85" fillId="0" borderId="20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85" fillId="0" borderId="83" xfId="0" applyFont="1" applyBorder="1" applyAlignment="1">
      <alignment horizontal="center" vertical="center"/>
    </xf>
    <xf numFmtId="0" fontId="85" fillId="0" borderId="81" xfId="0" applyFont="1" applyBorder="1" applyAlignment="1">
      <alignment horizontal="center" vertical="center"/>
    </xf>
    <xf numFmtId="0" fontId="85" fillId="0" borderId="106" xfId="0" applyFont="1" applyBorder="1" applyAlignment="1">
      <alignment horizontal="center" vertical="center"/>
    </xf>
    <xf numFmtId="173" fontId="85" fillId="12" borderId="120" xfId="0" applyNumberFormat="1" applyFont="1" applyFill="1" applyBorder="1" applyAlignment="1">
      <alignment horizontal="center" vertical="center"/>
    </xf>
    <xf numFmtId="173" fontId="85" fillId="12" borderId="91" xfId="0" applyNumberFormat="1" applyFont="1" applyFill="1" applyBorder="1" applyAlignment="1">
      <alignment horizontal="center" vertical="center"/>
    </xf>
    <xf numFmtId="173" fontId="85" fillId="12" borderId="34" xfId="0" applyNumberFormat="1" applyFont="1" applyFill="1" applyBorder="1" applyAlignment="1">
      <alignment horizontal="center" vertical="center"/>
    </xf>
    <xf numFmtId="173" fontId="85" fillId="12" borderId="35" xfId="0" applyNumberFormat="1" applyFont="1" applyFill="1" applyBorder="1" applyAlignment="1">
      <alignment horizontal="center" vertical="center"/>
    </xf>
    <xf numFmtId="173" fontId="85" fillId="12" borderId="36" xfId="0" applyNumberFormat="1" applyFont="1" applyFill="1" applyBorder="1" applyAlignment="1">
      <alignment horizontal="center" vertical="center"/>
    </xf>
    <xf numFmtId="173" fontId="85" fillId="12" borderId="37" xfId="0" applyNumberFormat="1" applyFont="1" applyFill="1" applyBorder="1" applyAlignment="1">
      <alignment horizontal="center" vertical="center"/>
    </xf>
    <xf numFmtId="0" fontId="85" fillId="0" borderId="19" xfId="0" applyFont="1" applyBorder="1" applyAlignment="1">
      <alignment horizontal="center" vertical="center"/>
    </xf>
    <xf numFmtId="0" fontId="85" fillId="0" borderId="109" xfId="0" applyFont="1" applyBorder="1" applyAlignment="1">
      <alignment horizontal="center" vertical="center"/>
    </xf>
    <xf numFmtId="0" fontId="85" fillId="0" borderId="89" xfId="0" applyFont="1" applyBorder="1" applyAlignment="1">
      <alignment horizontal="center" vertical="center"/>
    </xf>
    <xf numFmtId="1" fontId="85" fillId="0" borderId="19" xfId="0" applyNumberFormat="1" applyFont="1" applyBorder="1" applyAlignment="1">
      <alignment horizontal="center" vertical="center"/>
    </xf>
    <xf numFmtId="1" fontId="85" fillId="0" borderId="109" xfId="0" applyNumberFormat="1" applyFont="1" applyBorder="1" applyAlignment="1">
      <alignment horizontal="center" vertical="center"/>
    </xf>
    <xf numFmtId="1" fontId="85" fillId="0" borderId="89" xfId="0" applyNumberFormat="1" applyFont="1" applyBorder="1" applyAlignment="1">
      <alignment horizontal="center" vertical="center"/>
    </xf>
    <xf numFmtId="43" fontId="85" fillId="0" borderId="120" xfId="0" applyNumberFormat="1" applyFont="1" applyBorder="1" applyAlignment="1">
      <alignment horizontal="center" vertical="center"/>
    </xf>
    <xf numFmtId="43" fontId="85" fillId="0" borderId="34" xfId="0" applyNumberFormat="1" applyFont="1" applyBorder="1" applyAlignment="1">
      <alignment horizontal="center" vertical="center"/>
    </xf>
    <xf numFmtId="43" fontId="85" fillId="0" borderId="36" xfId="0" applyNumberFormat="1" applyFont="1" applyBorder="1" applyAlignment="1">
      <alignment horizontal="center" vertical="center"/>
    </xf>
    <xf numFmtId="43" fontId="85" fillId="0" borderId="41" xfId="0" applyNumberFormat="1" applyFont="1" applyBorder="1" applyAlignment="1">
      <alignment horizontal="center" vertical="center"/>
    </xf>
    <xf numFmtId="43" fontId="85" fillId="0" borderId="44" xfId="0" applyNumberFormat="1" applyFont="1" applyBorder="1" applyAlignment="1">
      <alignment horizontal="center" vertical="center"/>
    </xf>
    <xf numFmtId="173" fontId="9" fillId="12" borderId="72" xfId="0" applyNumberFormat="1" applyFont="1" applyFill="1" applyBorder="1" applyAlignment="1">
      <alignment horizontal="center" vertical="center"/>
    </xf>
    <xf numFmtId="173" fontId="9" fillId="12" borderId="0" xfId="0" applyNumberFormat="1" applyFont="1" applyFill="1" applyAlignment="1">
      <alignment horizontal="center" vertical="center"/>
    </xf>
    <xf numFmtId="4" fontId="41" fillId="0" borderId="19" xfId="0" applyNumberFormat="1" applyFont="1" applyBorder="1" applyAlignment="1">
      <alignment horizontal="center" vertical="center"/>
    </xf>
    <xf numFmtId="4" fontId="41" fillId="0" borderId="19" xfId="0" applyNumberFormat="1" applyFont="1" applyBorder="1" applyAlignment="1">
      <alignment horizontal="right" vertical="center"/>
    </xf>
    <xf numFmtId="4" fontId="41" fillId="0" borderId="109" xfId="0" applyNumberFormat="1" applyFont="1" applyBorder="1" applyAlignment="1">
      <alignment horizontal="right" vertical="center"/>
    </xf>
    <xf numFmtId="0" fontId="3" fillId="12" borderId="121" xfId="0" applyFont="1" applyFill="1" applyBorder="1" applyAlignment="1">
      <alignment horizontal="center"/>
    </xf>
    <xf numFmtId="0" fontId="3" fillId="12" borderId="122" xfId="0" applyFont="1" applyFill="1" applyBorder="1" applyAlignment="1">
      <alignment horizontal="center"/>
    </xf>
    <xf numFmtId="174" fontId="85" fillId="12" borderId="32" xfId="0" applyNumberFormat="1" applyFont="1" applyFill="1" applyBorder="1" applyAlignment="1">
      <alignment horizontal="center" vertical="center"/>
    </xf>
    <xf numFmtId="174" fontId="85" fillId="12" borderId="33" xfId="0" applyNumberFormat="1" applyFont="1" applyFill="1" applyBorder="1" applyAlignment="1">
      <alignment horizontal="center" vertical="center"/>
    </xf>
    <xf numFmtId="174" fontId="85" fillId="12" borderId="36" xfId="0" applyNumberFormat="1" applyFont="1" applyFill="1" applyBorder="1" applyAlignment="1">
      <alignment horizontal="center" vertical="center"/>
    </xf>
    <xf numFmtId="174" fontId="85" fillId="12" borderId="37" xfId="0" applyNumberFormat="1" applyFont="1" applyFill="1" applyBorder="1" applyAlignment="1">
      <alignment horizontal="center" vertical="center"/>
    </xf>
    <xf numFmtId="1" fontId="85" fillId="0" borderId="55" xfId="0" applyNumberFormat="1" applyFont="1" applyBorder="1" applyAlignment="1">
      <alignment horizontal="center" vertical="center"/>
    </xf>
    <xf numFmtId="173" fontId="85" fillId="12" borderId="32" xfId="0" applyNumberFormat="1" applyFont="1" applyFill="1" applyBorder="1" applyAlignment="1">
      <alignment horizontal="center" vertical="center"/>
    </xf>
    <xf numFmtId="173" fontId="85" fillId="12" borderId="33" xfId="0" applyNumberFormat="1" applyFont="1" applyFill="1" applyBorder="1" applyAlignment="1">
      <alignment horizontal="center" vertical="center"/>
    </xf>
    <xf numFmtId="173" fontId="41" fillId="12" borderId="32" xfId="0" applyNumberFormat="1" applyFont="1" applyFill="1" applyBorder="1" applyAlignment="1">
      <alignment horizontal="center" vertical="center"/>
    </xf>
    <xf numFmtId="173" fontId="41" fillId="12" borderId="33" xfId="0" applyNumberFormat="1" applyFont="1" applyFill="1" applyBorder="1" applyAlignment="1">
      <alignment horizontal="center" vertical="center"/>
    </xf>
    <xf numFmtId="173" fontId="41" fillId="12" borderId="36" xfId="0" applyNumberFormat="1" applyFont="1" applyFill="1" applyBorder="1" applyAlignment="1">
      <alignment horizontal="center" vertical="center"/>
    </xf>
    <xf numFmtId="173" fontId="41" fillId="12" borderId="37" xfId="0" applyNumberFormat="1" applyFont="1" applyFill="1" applyBorder="1" applyAlignment="1">
      <alignment horizontal="center" vertical="center"/>
    </xf>
    <xf numFmtId="173" fontId="85" fillId="16" borderId="32" xfId="0" applyNumberFormat="1" applyFont="1" applyFill="1" applyBorder="1" applyAlignment="1">
      <alignment horizontal="center" vertical="center"/>
    </xf>
    <xf numFmtId="173" fontId="85" fillId="16" borderId="33" xfId="0" applyNumberFormat="1" applyFont="1" applyFill="1" applyBorder="1" applyAlignment="1">
      <alignment horizontal="center" vertical="center"/>
    </xf>
    <xf numFmtId="173" fontId="85" fillId="16" borderId="34" xfId="0" applyNumberFormat="1" applyFont="1" applyFill="1" applyBorder="1" applyAlignment="1">
      <alignment horizontal="center" vertical="center"/>
    </xf>
    <xf numFmtId="173" fontId="85" fillId="16" borderId="35" xfId="0" applyNumberFormat="1" applyFont="1" applyFill="1" applyBorder="1" applyAlignment="1">
      <alignment horizontal="center" vertical="center"/>
    </xf>
    <xf numFmtId="173" fontId="85" fillId="16" borderId="36" xfId="0" applyNumberFormat="1" applyFont="1" applyFill="1" applyBorder="1" applyAlignment="1">
      <alignment horizontal="center" vertical="center"/>
    </xf>
    <xf numFmtId="173" fontId="85" fillId="16" borderId="37" xfId="0" applyNumberFormat="1" applyFont="1" applyFill="1" applyBorder="1" applyAlignment="1">
      <alignment horizontal="center" vertical="center"/>
    </xf>
    <xf numFmtId="0" fontId="85" fillId="16" borderId="55" xfId="0" applyFont="1" applyFill="1" applyBorder="1" applyAlignment="1">
      <alignment horizontal="center" vertical="center"/>
    </xf>
    <xf numFmtId="0" fontId="85" fillId="16" borderId="109" xfId="0" applyFont="1" applyFill="1" applyBorder="1" applyAlignment="1">
      <alignment horizontal="center" vertical="center"/>
    </xf>
    <xf numFmtId="0" fontId="85" fillId="16" borderId="89" xfId="0" applyFont="1" applyFill="1" applyBorder="1" applyAlignment="1">
      <alignment horizontal="center" vertical="center"/>
    </xf>
    <xf numFmtId="1" fontId="85" fillId="16" borderId="55" xfId="0" applyNumberFormat="1" applyFont="1" applyFill="1" applyBorder="1" applyAlignment="1">
      <alignment horizontal="center" vertical="center"/>
    </xf>
    <xf numFmtId="1" fontId="85" fillId="16" borderId="109" xfId="0" applyNumberFormat="1" applyFont="1" applyFill="1" applyBorder="1" applyAlignment="1">
      <alignment horizontal="center" vertical="center"/>
    </xf>
    <xf numFmtId="1" fontId="85" fillId="16" borderId="89" xfId="0" applyNumberFormat="1" applyFont="1" applyFill="1" applyBorder="1" applyAlignment="1">
      <alignment horizontal="center" vertical="center"/>
    </xf>
    <xf numFmtId="43" fontId="85" fillId="16" borderId="32" xfId="0" applyNumberFormat="1" applyFont="1" applyFill="1" applyBorder="1" applyAlignment="1">
      <alignment horizontal="center" vertical="center"/>
    </xf>
    <xf numFmtId="43" fontId="85" fillId="16" borderId="34" xfId="0" applyNumberFormat="1" applyFont="1" applyFill="1" applyBorder="1" applyAlignment="1">
      <alignment horizontal="center" vertical="center"/>
    </xf>
    <xf numFmtId="43" fontId="85" fillId="16" borderId="36" xfId="0" applyNumberFormat="1" applyFont="1" applyFill="1" applyBorder="1" applyAlignment="1">
      <alignment horizontal="center" vertical="center"/>
    </xf>
    <xf numFmtId="4" fontId="9" fillId="0" borderId="23" xfId="0" applyNumberFormat="1" applyFont="1" applyBorder="1" applyAlignment="1">
      <alignment horizontal="center" vertical="center"/>
    </xf>
    <xf numFmtId="4" fontId="9" fillId="0" borderId="38" xfId="0" applyNumberFormat="1" applyFont="1" applyBorder="1" applyAlignment="1">
      <alignment horizontal="center" vertical="center"/>
    </xf>
    <xf numFmtId="4" fontId="9" fillId="0" borderId="85" xfId="0" applyNumberFormat="1" applyFont="1" applyBorder="1" applyAlignment="1">
      <alignment horizontal="center" vertical="center"/>
    </xf>
    <xf numFmtId="0" fontId="85" fillId="16" borderId="81" xfId="0" applyFont="1" applyFill="1" applyBorder="1" applyAlignment="1">
      <alignment horizontal="center" vertical="center"/>
    </xf>
    <xf numFmtId="0" fontId="85" fillId="16" borderId="106" xfId="0" applyFont="1" applyFill="1" applyBorder="1" applyAlignment="1">
      <alignment horizontal="center" vertical="center"/>
    </xf>
    <xf numFmtId="0" fontId="3" fillId="12" borderId="123" xfId="0" applyFont="1" applyFill="1" applyBorder="1" applyAlignment="1">
      <alignment horizontal="center"/>
    </xf>
    <xf numFmtId="0" fontId="3" fillId="12" borderId="124" xfId="0" applyFont="1" applyFill="1" applyBorder="1" applyAlignment="1">
      <alignment horizontal="center"/>
    </xf>
    <xf numFmtId="0" fontId="41" fillId="12" borderId="0" xfId="0" applyFont="1" applyFill="1" applyAlignment="1">
      <alignment horizontal="center" vertical="center"/>
    </xf>
    <xf numFmtId="0" fontId="41" fillId="12" borderId="76" xfId="0" applyFont="1" applyFill="1" applyBorder="1" applyAlignment="1">
      <alignment horizontal="center" vertical="center"/>
    </xf>
    <xf numFmtId="4" fontId="41" fillId="0" borderId="67" xfId="0" applyNumberFormat="1" applyFont="1" applyBorder="1" applyAlignment="1">
      <alignment horizontal="center" vertical="center"/>
    </xf>
    <xf numFmtId="0" fontId="3" fillId="12" borderId="110" xfId="0" applyFont="1" applyFill="1" applyBorder="1" applyAlignment="1">
      <alignment horizontal="center"/>
    </xf>
    <xf numFmtId="173" fontId="85" fillId="12" borderId="34" xfId="0" applyNumberFormat="1" applyFont="1" applyFill="1" applyBorder="1" applyAlignment="1">
      <alignment horizontal="right" vertical="center"/>
    </xf>
    <xf numFmtId="173" fontId="85" fillId="12" borderId="36" xfId="0" applyNumberFormat="1" applyFont="1" applyFill="1" applyBorder="1" applyAlignment="1">
      <alignment horizontal="right" vertical="center"/>
    </xf>
    <xf numFmtId="173" fontId="85" fillId="12" borderId="33" xfId="0" applyNumberFormat="1" applyFont="1" applyFill="1" applyBorder="1" applyAlignment="1">
      <alignment vertical="center"/>
    </xf>
    <xf numFmtId="173" fontId="85" fillId="12" borderId="37" xfId="0" applyNumberFormat="1" applyFont="1" applyFill="1" applyBorder="1" applyAlignment="1">
      <alignment vertical="center"/>
    </xf>
    <xf numFmtId="1" fontId="105" fillId="0" borderId="55" xfId="0" applyNumberFormat="1" applyFont="1" applyBorder="1" applyAlignment="1">
      <alignment horizontal="center" vertical="center"/>
    </xf>
    <xf numFmtId="1" fontId="105" fillId="0" borderId="89" xfId="0" applyNumberFormat="1" applyFont="1" applyBorder="1" applyAlignment="1">
      <alignment horizontal="center" vertical="center"/>
    </xf>
    <xf numFmtId="0" fontId="9" fillId="12" borderId="72" xfId="0" applyFont="1" applyFill="1" applyBorder="1" applyAlignment="1">
      <alignment horizontal="center"/>
    </xf>
    <xf numFmtId="0" fontId="9" fillId="12" borderId="23" xfId="0" applyFont="1" applyFill="1" applyBorder="1" applyAlignment="1">
      <alignment horizontal="center"/>
    </xf>
    <xf numFmtId="0" fontId="85" fillId="0" borderId="55" xfId="0" applyFont="1" applyBorder="1" applyAlignment="1">
      <alignment horizontal="center" vertical="center"/>
    </xf>
    <xf numFmtId="43" fontId="85" fillId="0" borderId="32" xfId="0" applyNumberFormat="1" applyFont="1" applyBorder="1" applyAlignment="1">
      <alignment horizontal="center" vertical="center"/>
    </xf>
    <xf numFmtId="1" fontId="3" fillId="12" borderId="126" xfId="0" applyNumberFormat="1" applyFont="1" applyFill="1" applyBorder="1" applyAlignment="1">
      <alignment horizontal="center"/>
    </xf>
    <xf numFmtId="1" fontId="3" fillId="12" borderId="127" xfId="0" applyNumberFormat="1" applyFont="1" applyFill="1" applyBorder="1" applyAlignment="1">
      <alignment horizontal="center"/>
    </xf>
    <xf numFmtId="43" fontId="85" fillId="0" borderId="129" xfId="0" applyNumberFormat="1" applyFont="1" applyBorder="1" applyAlignment="1">
      <alignment horizontal="center" vertical="center"/>
    </xf>
    <xf numFmtId="0" fontId="85" fillId="0" borderId="78" xfId="0" applyFont="1" applyBorder="1" applyAlignment="1">
      <alignment horizontal="center" vertical="center"/>
    </xf>
    <xf numFmtId="173" fontId="85" fillId="12" borderId="32" xfId="0" applyNumberFormat="1" applyFont="1" applyFill="1" applyBorder="1" applyAlignment="1">
      <alignment horizontal="right" vertical="center"/>
    </xf>
    <xf numFmtId="173" fontId="85" fillId="12" borderId="33" xfId="0" applyNumberFormat="1" applyFont="1" applyFill="1" applyBorder="1" applyAlignment="1">
      <alignment horizontal="left" vertical="center"/>
    </xf>
    <xf numFmtId="173" fontId="85" fillId="12" borderId="35" xfId="0" applyNumberFormat="1" applyFont="1" applyFill="1" applyBorder="1" applyAlignment="1">
      <alignment horizontal="left" vertical="center"/>
    </xf>
    <xf numFmtId="173" fontId="85" fillId="12" borderId="37" xfId="0" applyNumberFormat="1" applyFont="1" applyFill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1" fontId="105" fillId="0" borderId="4" xfId="0" applyNumberFormat="1" applyFont="1" applyBorder="1" applyAlignment="1">
      <alignment horizontal="center" vertical="center"/>
    </xf>
    <xf numFmtId="43" fontId="85" fillId="0" borderId="54" xfId="0" applyNumberFormat="1" applyFont="1" applyBorder="1" applyAlignment="1">
      <alignment horizontal="center" vertical="center"/>
    </xf>
    <xf numFmtId="1" fontId="3" fillId="12" borderId="54" xfId="0" applyNumberFormat="1" applyFont="1" applyFill="1" applyBorder="1" applyAlignment="1">
      <alignment horizontal="center"/>
    </xf>
    <xf numFmtId="1" fontId="3" fillId="12" borderId="110" xfId="0" applyNumberFormat="1" applyFont="1" applyFill="1" applyBorder="1" applyAlignment="1">
      <alignment horizontal="center"/>
    </xf>
    <xf numFmtId="1" fontId="3" fillId="12" borderId="86" xfId="0" applyNumberFormat="1" applyFont="1" applyFill="1" applyBorder="1" applyAlignment="1">
      <alignment horizontal="center"/>
    </xf>
    <xf numFmtId="1" fontId="85" fillId="0" borderId="4" xfId="0" applyNumberFormat="1" applyFont="1" applyBorder="1" applyAlignment="1">
      <alignment horizontal="center" vertical="center"/>
    </xf>
    <xf numFmtId="43" fontId="85" fillId="0" borderId="4" xfId="0" applyNumberFormat="1" applyFont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9" fillId="12" borderId="3" xfId="0" applyFont="1" applyFill="1" applyBorder="1" applyAlignment="1">
      <alignment horizontal="center"/>
    </xf>
    <xf numFmtId="0" fontId="9" fillId="12" borderId="131" xfId="0" applyFont="1" applyFill="1" applyBorder="1" applyAlignment="1">
      <alignment horizontal="center"/>
    </xf>
    <xf numFmtId="0" fontId="9" fillId="12" borderId="0" xfId="0" applyFont="1" applyFill="1" applyAlignment="1">
      <alignment horizontal="center"/>
    </xf>
    <xf numFmtId="0" fontId="9" fillId="12" borderId="38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38" xfId="0" applyFont="1" applyBorder="1" applyAlignment="1">
      <alignment horizontal="left"/>
    </xf>
    <xf numFmtId="43" fontId="85" fillId="16" borderId="4" xfId="0" applyNumberFormat="1" applyFont="1" applyFill="1" applyBorder="1" applyAlignment="1">
      <alignment horizontal="center" vertical="center"/>
    </xf>
    <xf numFmtId="0" fontId="3" fillId="12" borderId="53" xfId="0" applyFont="1" applyFill="1" applyBorder="1" applyAlignment="1">
      <alignment horizontal="center"/>
    </xf>
    <xf numFmtId="0" fontId="3" fillId="12" borderId="76" xfId="0" applyFont="1" applyFill="1" applyBorder="1" applyAlignment="1">
      <alignment horizontal="center"/>
    </xf>
    <xf numFmtId="0" fontId="3" fillId="12" borderId="85" xfId="0" applyFont="1" applyFill="1" applyBorder="1" applyAlignment="1">
      <alignment horizontal="center"/>
    </xf>
    <xf numFmtId="0" fontId="3" fillId="0" borderId="123" xfId="0" applyFont="1" applyBorder="1" applyAlignment="1">
      <alignment horizontal="center"/>
    </xf>
    <xf numFmtId="0" fontId="3" fillId="0" borderId="121" xfId="0" applyFont="1" applyBorder="1" applyAlignment="1">
      <alignment horizontal="center"/>
    </xf>
    <xf numFmtId="0" fontId="85" fillId="16" borderId="79" xfId="0" applyFont="1" applyFill="1" applyBorder="1" applyAlignment="1">
      <alignment horizontal="center" vertical="center"/>
    </xf>
    <xf numFmtId="173" fontId="85" fillId="16" borderId="68" xfId="0" applyNumberFormat="1" applyFont="1" applyFill="1" applyBorder="1" applyAlignment="1">
      <alignment horizontal="center" vertical="center"/>
    </xf>
    <xf numFmtId="173" fontId="85" fillId="16" borderId="139" xfId="0" applyNumberFormat="1" applyFont="1" applyFill="1" applyBorder="1" applyAlignment="1">
      <alignment horizontal="center" vertical="center"/>
    </xf>
    <xf numFmtId="0" fontId="85" fillId="16" borderId="67" xfId="0" applyFont="1" applyFill="1" applyBorder="1" applyAlignment="1">
      <alignment horizontal="center" vertical="center"/>
    </xf>
    <xf numFmtId="1" fontId="85" fillId="0" borderId="67" xfId="0" applyNumberFormat="1" applyFont="1" applyBorder="1" applyAlignment="1">
      <alignment horizontal="center" vertical="center"/>
    </xf>
    <xf numFmtId="43" fontId="85" fillId="16" borderId="68" xfId="0" applyNumberFormat="1" applyFont="1" applyFill="1" applyBorder="1" applyAlignment="1">
      <alignment horizontal="center" vertical="center"/>
    </xf>
    <xf numFmtId="43" fontId="85" fillId="0" borderId="130" xfId="0" applyNumberFormat="1" applyFont="1" applyBorder="1" applyAlignment="1">
      <alignment horizontal="center" vertical="center"/>
    </xf>
    <xf numFmtId="43" fontId="85" fillId="0" borderId="75" xfId="0" applyNumberFormat="1" applyFont="1" applyBorder="1" applyAlignment="1">
      <alignment horizontal="center" vertical="center"/>
    </xf>
    <xf numFmtId="1" fontId="3" fillId="12" borderId="121" xfId="0" applyNumberFormat="1" applyFont="1" applyFill="1" applyBorder="1" applyAlignment="1">
      <alignment horizontal="center"/>
    </xf>
    <xf numFmtId="0" fontId="41" fillId="16" borderId="81" xfId="0" applyFont="1" applyFill="1" applyBorder="1" applyAlignment="1">
      <alignment horizontal="center" vertical="center"/>
    </xf>
    <xf numFmtId="0" fontId="41" fillId="16" borderId="106" xfId="0" applyFont="1" applyFill="1" applyBorder="1" applyAlignment="1">
      <alignment horizontal="center" vertical="center"/>
    </xf>
    <xf numFmtId="173" fontId="41" fillId="16" borderId="34" xfId="0" applyNumberFormat="1" applyFont="1" applyFill="1" applyBorder="1" applyAlignment="1">
      <alignment horizontal="center" vertical="center"/>
    </xf>
    <xf numFmtId="173" fontId="41" fillId="16" borderId="35" xfId="0" applyNumberFormat="1" applyFont="1" applyFill="1" applyBorder="1" applyAlignment="1">
      <alignment horizontal="center" vertical="center"/>
    </xf>
    <xf numFmtId="173" fontId="41" fillId="16" borderId="36" xfId="0" applyNumberFormat="1" applyFont="1" applyFill="1" applyBorder="1" applyAlignment="1">
      <alignment horizontal="center" vertical="center"/>
    </xf>
    <xf numFmtId="173" fontId="41" fillId="16" borderId="37" xfId="0" applyNumberFormat="1" applyFont="1" applyFill="1" applyBorder="1" applyAlignment="1">
      <alignment horizontal="center" vertical="center"/>
    </xf>
    <xf numFmtId="0" fontId="41" fillId="16" borderId="109" xfId="0" applyFont="1" applyFill="1" applyBorder="1" applyAlignment="1">
      <alignment horizontal="center" vertical="center"/>
    </xf>
    <xf numFmtId="0" fontId="41" fillId="16" borderId="89" xfId="0" applyFont="1" applyFill="1" applyBorder="1" applyAlignment="1">
      <alignment horizontal="center" vertical="center"/>
    </xf>
    <xf numFmtId="1" fontId="106" fillId="16" borderId="109" xfId="0" applyNumberFormat="1" applyFont="1" applyFill="1" applyBorder="1" applyAlignment="1">
      <alignment horizontal="center" vertical="center"/>
    </xf>
    <xf numFmtId="1" fontId="106" fillId="16" borderId="89" xfId="0" applyNumberFormat="1" applyFont="1" applyFill="1" applyBorder="1" applyAlignment="1">
      <alignment horizontal="center" vertical="center"/>
    </xf>
    <xf numFmtId="43" fontId="41" fillId="16" borderId="34" xfId="0" applyNumberFormat="1" applyFont="1" applyFill="1" applyBorder="1" applyAlignment="1">
      <alignment horizontal="center" vertical="center"/>
    </xf>
    <xf numFmtId="43" fontId="41" fillId="16" borderId="36" xfId="0" applyNumberFormat="1" applyFont="1" applyFill="1" applyBorder="1" applyAlignment="1">
      <alignment horizontal="center" vertical="center"/>
    </xf>
    <xf numFmtId="43" fontId="41" fillId="0" borderId="34" xfId="0" applyNumberFormat="1" applyFont="1" applyBorder="1" applyAlignment="1">
      <alignment horizontal="center" vertical="center"/>
    </xf>
    <xf numFmtId="1" fontId="6" fillId="12" borderId="126" xfId="0" applyNumberFormat="1" applyFont="1" applyFill="1" applyBorder="1" applyAlignment="1">
      <alignment horizontal="center"/>
    </xf>
    <xf numFmtId="1" fontId="6" fillId="12" borderId="127" xfId="0" applyNumberFormat="1" applyFont="1" applyFill="1" applyBorder="1" applyAlignment="1">
      <alignment horizontal="center"/>
    </xf>
    <xf numFmtId="0" fontId="41" fillId="0" borderId="78" xfId="0" applyFont="1" applyBorder="1" applyAlignment="1">
      <alignment horizontal="center" vertical="center"/>
    </xf>
    <xf numFmtId="0" fontId="41" fillId="0" borderId="81" xfId="0" applyFont="1" applyBorder="1" applyAlignment="1">
      <alignment horizontal="center" vertical="center"/>
    </xf>
    <xf numFmtId="0" fontId="41" fillId="0" borderId="106" xfId="0" applyFont="1" applyBorder="1" applyAlignment="1">
      <alignment horizontal="center" vertical="center"/>
    </xf>
    <xf numFmtId="173" fontId="41" fillId="12" borderId="34" xfId="0" applyNumberFormat="1" applyFont="1" applyFill="1" applyBorder="1" applyAlignment="1">
      <alignment horizontal="center" vertical="center"/>
    </xf>
    <xf numFmtId="173" fontId="41" fillId="12" borderId="35" xfId="0" applyNumberFormat="1" applyFont="1" applyFill="1" applyBorder="1" applyAlignment="1">
      <alignment horizontal="center" vertical="center"/>
    </xf>
    <xf numFmtId="1" fontId="106" fillId="0" borderId="55" xfId="0" applyNumberFormat="1" applyFont="1" applyBorder="1" applyAlignment="1">
      <alignment horizontal="center" vertical="center"/>
    </xf>
    <xf numFmtId="1" fontId="106" fillId="0" borderId="109" xfId="0" applyNumberFormat="1" applyFont="1" applyBorder="1" applyAlignment="1">
      <alignment horizontal="center" vertical="center"/>
    </xf>
    <xf numFmtId="1" fontId="106" fillId="0" borderId="89" xfId="0" applyNumberFormat="1" applyFont="1" applyBorder="1" applyAlignment="1">
      <alignment horizontal="center" vertical="center"/>
    </xf>
    <xf numFmtId="43" fontId="41" fillId="0" borderId="54" xfId="0" applyNumberFormat="1" applyFont="1" applyBorder="1" applyAlignment="1">
      <alignment horizontal="center" vertical="center"/>
    </xf>
    <xf numFmtId="0" fontId="6" fillId="12" borderId="121" xfId="0" applyFont="1" applyFill="1" applyBorder="1" applyAlignment="1">
      <alignment horizontal="center"/>
    </xf>
    <xf numFmtId="2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07" fillId="0" borderId="54" xfId="0" applyFont="1" applyBorder="1" applyAlignment="1">
      <alignment horizontal="center" vertical="center"/>
    </xf>
    <xf numFmtId="0" fontId="107" fillId="0" borderId="110" xfId="0" applyFont="1" applyBorder="1" applyAlignment="1">
      <alignment horizontal="center" vertical="center"/>
    </xf>
    <xf numFmtId="0" fontId="107" fillId="0" borderId="86" xfId="0" applyFont="1" applyBorder="1" applyAlignment="1">
      <alignment horizontal="center" vertical="center"/>
    </xf>
    <xf numFmtId="14" fontId="9" fillId="0" borderId="0" xfId="0" applyNumberFormat="1" applyFont="1" applyAlignment="1" applyProtection="1">
      <alignment horizontal="right" vertical="center"/>
      <protection locked="0"/>
    </xf>
    <xf numFmtId="0" fontId="106" fillId="0" borderId="0" xfId="0" applyFont="1" applyAlignment="1">
      <alignment horizontal="left" vertical="center"/>
    </xf>
    <xf numFmtId="4" fontId="41" fillId="0" borderId="0" xfId="0" applyNumberFormat="1" applyFont="1" applyFill="1" applyAlignment="1">
      <alignment horizontal="center" vertical="center"/>
    </xf>
    <xf numFmtId="0" fontId="41" fillId="0" borderId="0" xfId="0" applyFont="1" applyFill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9" fillId="0" borderId="0" xfId="0" applyFont="1" applyAlignment="1" applyProtection="1">
      <alignment vertical="center"/>
      <protection locked="0"/>
    </xf>
    <xf numFmtId="14" fontId="9" fillId="0" borderId="0" xfId="0" applyNumberFormat="1" applyFont="1" applyAlignment="1" applyProtection="1">
      <alignment vertical="center"/>
      <protection locked="0"/>
    </xf>
    <xf numFmtId="0" fontId="69" fillId="0" borderId="0" xfId="0" applyFont="1" applyFill="1" applyAlignment="1">
      <alignment vertical="center" wrapText="1"/>
    </xf>
    <xf numFmtId="0" fontId="69" fillId="0" borderId="0" xfId="0" applyFont="1" applyFill="1" applyAlignment="1">
      <alignment vertical="center"/>
    </xf>
    <xf numFmtId="0" fontId="69" fillId="0" borderId="0" xfId="0" applyFont="1" applyFill="1" applyAlignment="1">
      <alignment horizontal="left" vertical="center"/>
    </xf>
    <xf numFmtId="4" fontId="41" fillId="0" borderId="0" xfId="0" applyNumberFormat="1" applyFont="1" applyFill="1" applyBorder="1" applyAlignment="1">
      <alignment horizontal="center" vertical="center"/>
    </xf>
    <xf numFmtId="0" fontId="69" fillId="0" borderId="0" xfId="0" applyFont="1" applyAlignment="1">
      <alignment horizontal="right" vertical="center"/>
    </xf>
    <xf numFmtId="0" fontId="9" fillId="0" borderId="0" xfId="0" applyFont="1" applyAlignment="1">
      <alignment vertical="center" wrapText="1"/>
    </xf>
    <xf numFmtId="3" fontId="41" fillId="0" borderId="0" xfId="0" applyNumberFormat="1" applyFont="1" applyAlignment="1">
      <alignment horizontal="center" vertical="center"/>
    </xf>
    <xf numFmtId="0" fontId="91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3" fontId="1" fillId="8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center" vertical="center"/>
    </xf>
    <xf numFmtId="2" fontId="32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4" fontId="20" fillId="0" borderId="0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7" fontId="1" fillId="7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Border="1" applyAlignment="1">
      <alignment horizontal="center" vertical="center"/>
    </xf>
    <xf numFmtId="165" fontId="25" fillId="4" borderId="0" xfId="0" applyNumberFormat="1" applyFont="1" applyFill="1" applyBorder="1" applyAlignment="1">
      <alignment horizontal="center" vertical="center"/>
    </xf>
    <xf numFmtId="2" fontId="25" fillId="4" borderId="0" xfId="0" applyNumberFormat="1" applyFont="1" applyFill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165" fontId="28" fillId="0" borderId="0" xfId="0" applyNumberFormat="1" applyFont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165" fontId="26" fillId="0" borderId="0" xfId="0" applyNumberFormat="1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5" fontId="2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/>
    </xf>
    <xf numFmtId="2" fontId="26" fillId="2" borderId="0" xfId="0" applyNumberFormat="1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29" fillId="10" borderId="0" xfId="0" applyFont="1" applyFill="1" applyBorder="1" applyAlignment="1">
      <alignment horizontal="center" vertical="center"/>
    </xf>
    <xf numFmtId="4" fontId="29" fillId="10" borderId="0" xfId="0" applyNumberFormat="1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/>
    </xf>
    <xf numFmtId="4" fontId="29" fillId="6" borderId="0" xfId="0" applyNumberFormat="1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165" fontId="26" fillId="11" borderId="0" xfId="0" applyNumberFormat="1" applyFont="1" applyFill="1" applyBorder="1" applyAlignment="1">
      <alignment horizontal="center" vertical="center"/>
    </xf>
    <xf numFmtId="0" fontId="26" fillId="11" borderId="0" xfId="0" applyFont="1" applyFill="1" applyBorder="1" applyAlignment="1">
      <alignment horizontal="center" vertical="center"/>
    </xf>
    <xf numFmtId="2" fontId="26" fillId="11" borderId="0" xfId="0" applyNumberFormat="1" applyFont="1" applyFill="1" applyBorder="1" applyAlignment="1">
      <alignment horizontal="center" vertical="center"/>
    </xf>
    <xf numFmtId="165" fontId="20" fillId="0" borderId="0" xfId="0" applyNumberFormat="1" applyFont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26" fillId="7" borderId="0" xfId="0" applyFont="1" applyFill="1" applyBorder="1" applyAlignment="1">
      <alignment horizontal="center" vertical="center"/>
    </xf>
    <xf numFmtId="4" fontId="29" fillId="8" borderId="0" xfId="0" applyNumberFormat="1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165" fontId="29" fillId="4" borderId="0" xfId="0" applyNumberFormat="1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65" fontId="22" fillId="0" borderId="0" xfId="0" applyNumberFormat="1" applyFont="1" applyBorder="1" applyAlignment="1">
      <alignment horizontal="center" vertical="center"/>
    </xf>
    <xf numFmtId="4" fontId="26" fillId="0" borderId="0" xfId="0" applyNumberFormat="1" applyFont="1" applyBorder="1" applyAlignment="1">
      <alignment horizontal="center" vertical="center"/>
    </xf>
    <xf numFmtId="167" fontId="26" fillId="0" borderId="0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4" fontId="20" fillId="2" borderId="0" xfId="0" applyNumberFormat="1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4" fontId="0" fillId="2" borderId="0" xfId="0" applyNumberFormat="1" applyFill="1" applyBorder="1" applyAlignment="1">
      <alignment horizontal="center" vertical="center"/>
    </xf>
    <xf numFmtId="4" fontId="20" fillId="4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 vertical="center"/>
    </xf>
    <xf numFmtId="168" fontId="6" fillId="0" borderId="0" xfId="0" applyNumberFormat="1" applyFont="1" applyBorder="1" applyAlignment="1">
      <alignment horizontal="center" vertical="center"/>
    </xf>
    <xf numFmtId="4" fontId="6" fillId="0" borderId="0" xfId="0" applyNumberFormat="1" applyFont="1" applyBorder="1" applyAlignment="1">
      <alignment horizontal="center" vertical="center"/>
    </xf>
    <xf numFmtId="168" fontId="6" fillId="8" borderId="0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56" fillId="15" borderId="0" xfId="0" applyFont="1" applyFill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7" fillId="0" borderId="0" xfId="0" quotePrefix="1" applyFont="1" applyBorder="1" applyProtection="1">
      <protection locked="0"/>
    </xf>
    <xf numFmtId="0" fontId="47" fillId="0" borderId="0" xfId="0" applyFont="1" applyBorder="1" applyProtection="1">
      <protection locked="0"/>
    </xf>
    <xf numFmtId="0" fontId="41" fillId="0" borderId="0" xfId="0" applyFont="1" applyFill="1" applyAlignment="1">
      <alignment horizontal="left" vertical="center"/>
    </xf>
    <xf numFmtId="0" fontId="41" fillId="0" borderId="0" xfId="0" applyFont="1" applyFill="1" applyAlignment="1">
      <alignment horizontal="right" vertical="center"/>
    </xf>
    <xf numFmtId="0" fontId="41" fillId="0" borderId="0" xfId="0" applyFont="1" applyFill="1" applyAlignment="1">
      <alignment vertical="center"/>
    </xf>
    <xf numFmtId="1" fontId="41" fillId="0" borderId="0" xfId="0" applyNumberFormat="1" applyFont="1" applyFill="1" applyAlignment="1">
      <alignment horizontal="center" vertical="center"/>
    </xf>
    <xf numFmtId="0" fontId="41" fillId="0" borderId="0" xfId="0" quotePrefix="1" applyFont="1" applyFill="1" applyAlignment="1">
      <alignment horizontal="center" vertical="center"/>
    </xf>
    <xf numFmtId="0" fontId="41" fillId="0" borderId="0" xfId="0" applyFont="1" applyFill="1" applyBorder="1" applyAlignment="1">
      <alignment horizontal="left" vertical="center"/>
    </xf>
    <xf numFmtId="0" fontId="41" fillId="0" borderId="0" xfId="0" applyFont="1" applyFill="1" applyBorder="1" applyAlignment="1">
      <alignment horizontal="right"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vertical="center"/>
    </xf>
    <xf numFmtId="4" fontId="41" fillId="0" borderId="0" xfId="0" applyNumberFormat="1" applyFont="1" applyFill="1" applyBorder="1" applyAlignment="1">
      <alignment vertical="center"/>
    </xf>
    <xf numFmtId="0" fontId="30" fillId="0" borderId="0" xfId="0" applyFont="1" applyFill="1" applyBorder="1"/>
    <xf numFmtId="1" fontId="41" fillId="0" borderId="0" xfId="0" applyNumberFormat="1" applyFont="1" applyFill="1" applyBorder="1" applyAlignment="1">
      <alignment horizontal="center" vertical="center"/>
    </xf>
    <xf numFmtId="0" fontId="41" fillId="0" borderId="0" xfId="0" quotePrefix="1" applyFont="1" applyFill="1" applyBorder="1" applyAlignment="1">
      <alignment horizontal="center" vertical="center"/>
    </xf>
    <xf numFmtId="4" fontId="41" fillId="0" borderId="0" xfId="0" quotePrefix="1" applyNumberFormat="1" applyFont="1" applyFill="1" applyAlignment="1">
      <alignment horizontal="center" vertical="center"/>
    </xf>
    <xf numFmtId="166" fontId="41" fillId="0" borderId="0" xfId="0" applyNumberFormat="1" applyFont="1" applyFill="1" applyAlignment="1">
      <alignment horizontal="center" vertical="center"/>
    </xf>
    <xf numFmtId="167" fontId="41" fillId="0" borderId="0" xfId="0" applyNumberFormat="1" applyFont="1" applyFill="1" applyAlignment="1">
      <alignment horizontal="center" vertical="center"/>
    </xf>
    <xf numFmtId="165" fontId="41" fillId="0" borderId="0" xfId="0" quotePrefix="1" applyNumberFormat="1" applyFont="1" applyFill="1" applyAlignment="1">
      <alignment horizontal="center" vertical="center"/>
    </xf>
    <xf numFmtId="2" fontId="41" fillId="0" borderId="0" xfId="0" quotePrefix="1" applyNumberFormat="1" applyFont="1" applyFill="1" applyAlignment="1">
      <alignment horizontal="center" vertical="center"/>
    </xf>
    <xf numFmtId="4" fontId="41" fillId="0" borderId="0" xfId="0" applyNumberFormat="1" applyFont="1" applyFill="1" applyAlignment="1">
      <alignment horizontal="left" vertical="center"/>
    </xf>
    <xf numFmtId="166" fontId="41" fillId="0" borderId="0" xfId="0" quotePrefix="1" applyNumberFormat="1" applyFont="1" applyFill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4" fontId="6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4" fontId="6" fillId="0" borderId="0" xfId="0" applyNumberFormat="1" applyFont="1" applyBorder="1" applyAlignment="1">
      <alignment horizontal="right" vertical="center"/>
    </xf>
    <xf numFmtId="0" fontId="56" fillId="15" borderId="0" xfId="0" quotePrefix="1" applyFont="1" applyFill="1" applyBorder="1" applyAlignment="1">
      <alignment horizontal="center" vertical="center"/>
    </xf>
    <xf numFmtId="0" fontId="57" fillId="0" borderId="0" xfId="0" applyFont="1" applyBorder="1"/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7" fontId="8" fillId="0" borderId="0" xfId="0" applyNumberFormat="1" applyFont="1" applyFill="1" applyBorder="1" applyAlignment="1">
      <alignment horizontal="center" vertical="center"/>
    </xf>
    <xf numFmtId="0" fontId="9" fillId="0" borderId="0" xfId="0" quotePrefix="1" applyFont="1" applyAlignment="1">
      <alignment vertical="center" wrapText="1"/>
    </xf>
    <xf numFmtId="0" fontId="106" fillId="0" borderId="0" xfId="0" applyFont="1" applyAlignment="1">
      <alignment vertical="center"/>
    </xf>
  </cellXfs>
  <cellStyles count="1">
    <cellStyle name="Normal" xfId="0" builtinId="0"/>
  </cellStyles>
  <dxfs count="1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emf"/><Relationship Id="rId5" Type="http://schemas.openxmlformats.org/officeDocument/2006/relationships/image" Target="../media/image24.wmf"/><Relationship Id="rId4" Type="http://schemas.openxmlformats.org/officeDocument/2006/relationships/image" Target="../media/image23.w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w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wmf"/><Relationship Id="rId1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w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wmf"/><Relationship Id="rId1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w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wmf"/><Relationship Id="rId14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w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wmf"/><Relationship Id="rId1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54</xdr:row>
      <xdr:rowOff>104775</xdr:rowOff>
    </xdr:from>
    <xdr:to>
      <xdr:col>9</xdr:col>
      <xdr:colOff>180975</xdr:colOff>
      <xdr:row>56</xdr:row>
      <xdr:rowOff>9525</xdr:rowOff>
    </xdr:to>
    <xdr:pic>
      <xdr:nvPicPr>
        <xdr:cNvPr id="473629" name="Picture 1" descr="4T42-44">
          <a:extLst>
            <a:ext uri="{FF2B5EF4-FFF2-40B4-BE49-F238E27FC236}">
              <a16:creationId xmlns:a16="http://schemas.microsoft.com/office/drawing/2014/main" id="{00000000-0008-0000-0100-00001D3A0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216" t="55437" r="25687" b="33511"/>
        <a:stretch>
          <a:fillRect/>
        </a:stretch>
      </xdr:blipFill>
      <xdr:spPr bwMode="auto">
        <a:xfrm>
          <a:off x="1028700" y="9829800"/>
          <a:ext cx="1819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</xdr:colOff>
      <xdr:row>64</xdr:row>
      <xdr:rowOff>104775</xdr:rowOff>
    </xdr:from>
    <xdr:to>
      <xdr:col>9</xdr:col>
      <xdr:colOff>180975</xdr:colOff>
      <xdr:row>66</xdr:row>
      <xdr:rowOff>9525</xdr:rowOff>
    </xdr:to>
    <xdr:pic>
      <xdr:nvPicPr>
        <xdr:cNvPr id="473630" name="Picture 2" descr="4T42-44">
          <a:extLst>
            <a:ext uri="{FF2B5EF4-FFF2-40B4-BE49-F238E27FC236}">
              <a16:creationId xmlns:a16="http://schemas.microsoft.com/office/drawing/2014/main" id="{00000000-0008-0000-0100-00001E3A0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216" t="55437" r="25687" b="33511"/>
        <a:stretch>
          <a:fillRect/>
        </a:stretch>
      </xdr:blipFill>
      <xdr:spPr bwMode="auto">
        <a:xfrm>
          <a:off x="1028700" y="11401425"/>
          <a:ext cx="1819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114300</xdr:colOff>
      <xdr:row>69</xdr:row>
      <xdr:rowOff>142875</xdr:rowOff>
    </xdr:from>
    <xdr:to>
      <xdr:col>7</xdr:col>
      <xdr:colOff>152400</xdr:colOff>
      <xdr:row>73</xdr:row>
      <xdr:rowOff>47625</xdr:rowOff>
    </xdr:to>
    <xdr:pic>
      <xdr:nvPicPr>
        <xdr:cNvPr id="473631" name="Picture 3" descr="4T42-44">
          <a:extLst>
            <a:ext uri="{FF2B5EF4-FFF2-40B4-BE49-F238E27FC236}">
              <a16:creationId xmlns:a16="http://schemas.microsoft.com/office/drawing/2014/main" id="{00000000-0008-0000-0100-00001F3A0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882" t="22104" r="50589" b="46524"/>
        <a:stretch>
          <a:fillRect/>
        </a:stretch>
      </xdr:blipFill>
      <xdr:spPr bwMode="auto">
        <a:xfrm>
          <a:off x="1781175" y="12258675"/>
          <a:ext cx="6953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186</xdr:row>
      <xdr:rowOff>0</xdr:rowOff>
    </xdr:from>
    <xdr:to>
      <xdr:col>9</xdr:col>
      <xdr:colOff>304800</xdr:colOff>
      <xdr:row>186</xdr:row>
      <xdr:rowOff>0</xdr:rowOff>
    </xdr:to>
    <xdr:grpSp>
      <xdr:nvGrpSpPr>
        <xdr:cNvPr id="2" name="Group 9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4575175" y="40900350"/>
          <a:ext cx="2085975" cy="0"/>
          <a:chOff x="497" y="3068"/>
          <a:chExt cx="140" cy="102"/>
        </a:xfrm>
      </xdr:grpSpPr>
      <xdr:sp macro="" textlink="">
        <xdr:nvSpPr>
          <xdr:cNvPr id="3" name="Line 10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20"/>
            <a:ext cx="0" cy="4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1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119"/>
            <a:ext cx="0" cy="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12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518" y="3120"/>
            <a:ext cx="112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13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67"/>
            <a:ext cx="112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1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69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5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068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6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74"/>
            <a:ext cx="113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7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497" y="3120"/>
            <a:ext cx="1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8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498" y="3167"/>
            <a:ext cx="2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9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505" y="3117"/>
            <a:ext cx="0" cy="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3" name="Group 20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GrpSpPr>
            <a:grpSpLocks/>
          </xdr:cNvGrpSpPr>
        </xdr:nvGrpSpPr>
        <xdr:grpSpPr bwMode="auto">
          <a:xfrm>
            <a:off x="531" y="3115"/>
            <a:ext cx="10" cy="6"/>
            <a:chOff x="545" y="3239"/>
            <a:chExt cx="10" cy="6"/>
          </a:xfrm>
        </xdr:grpSpPr>
        <xdr:sp macro="" textlink="">
          <xdr:nvSpPr>
            <xdr:cNvPr id="50" name="Line 21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" name="Line 22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4" name="Group 2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GrpSpPr>
            <a:grpSpLocks/>
          </xdr:cNvGrpSpPr>
        </xdr:nvGrpSpPr>
        <xdr:grpSpPr bwMode="auto">
          <a:xfrm>
            <a:off x="515" y="3114"/>
            <a:ext cx="10" cy="6"/>
            <a:chOff x="545" y="3239"/>
            <a:chExt cx="10" cy="6"/>
          </a:xfrm>
        </xdr:grpSpPr>
        <xdr:sp macro="" textlink="">
          <xdr:nvSpPr>
            <xdr:cNvPr id="48" name="Line 24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" name="Line 25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5" name="Group 26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GrpSpPr>
            <a:grpSpLocks/>
          </xdr:cNvGrpSpPr>
        </xdr:nvGrpSpPr>
        <xdr:grpSpPr bwMode="auto">
          <a:xfrm>
            <a:off x="548" y="3115"/>
            <a:ext cx="10" cy="6"/>
            <a:chOff x="545" y="3239"/>
            <a:chExt cx="10" cy="6"/>
          </a:xfrm>
        </xdr:grpSpPr>
        <xdr:sp macro="" textlink="">
          <xdr:nvSpPr>
            <xdr:cNvPr id="46" name="Line 27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" name="Line 28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6" name="Group 29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>
            <a:grpSpLocks/>
          </xdr:cNvGrpSpPr>
        </xdr:nvGrpSpPr>
        <xdr:grpSpPr bwMode="auto">
          <a:xfrm>
            <a:off x="564" y="3113"/>
            <a:ext cx="10" cy="6"/>
            <a:chOff x="545" y="3239"/>
            <a:chExt cx="10" cy="6"/>
          </a:xfrm>
        </xdr:grpSpPr>
        <xdr:sp macro="" textlink="">
          <xdr:nvSpPr>
            <xdr:cNvPr id="44" name="Line 30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5" name="Line 31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7" name="Group 32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GrpSpPr>
            <a:grpSpLocks/>
          </xdr:cNvGrpSpPr>
        </xdr:nvGrpSpPr>
        <xdr:grpSpPr bwMode="auto">
          <a:xfrm>
            <a:off x="584" y="3113"/>
            <a:ext cx="10" cy="6"/>
            <a:chOff x="545" y="3239"/>
            <a:chExt cx="10" cy="6"/>
          </a:xfrm>
        </xdr:grpSpPr>
        <xdr:sp macro="" textlink="">
          <xdr:nvSpPr>
            <xdr:cNvPr id="42" name="Line 33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3" name="Line 34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8" name="Group 35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GrpSpPr>
            <a:grpSpLocks/>
          </xdr:cNvGrpSpPr>
        </xdr:nvGrpSpPr>
        <xdr:grpSpPr bwMode="auto">
          <a:xfrm>
            <a:off x="600" y="3114"/>
            <a:ext cx="10" cy="6"/>
            <a:chOff x="545" y="3239"/>
            <a:chExt cx="10" cy="6"/>
          </a:xfrm>
        </xdr:grpSpPr>
        <xdr:sp macro="" textlink="">
          <xdr:nvSpPr>
            <xdr:cNvPr id="40" name="Line 36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" name="Line 37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9" name="Group 3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GrpSpPr>
            <a:grpSpLocks/>
          </xdr:cNvGrpSpPr>
        </xdr:nvGrpSpPr>
        <xdr:grpSpPr bwMode="auto">
          <a:xfrm>
            <a:off x="617" y="3113"/>
            <a:ext cx="10" cy="6"/>
            <a:chOff x="545" y="3239"/>
            <a:chExt cx="10" cy="6"/>
          </a:xfrm>
        </xdr:grpSpPr>
        <xdr:sp macro="" textlink="">
          <xdr:nvSpPr>
            <xdr:cNvPr id="38" name="Line 39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" name="Line 40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0" name="Group 41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GrpSpPr>
            <a:grpSpLocks/>
          </xdr:cNvGrpSpPr>
        </xdr:nvGrpSpPr>
        <xdr:grpSpPr bwMode="auto">
          <a:xfrm>
            <a:off x="630" y="3123"/>
            <a:ext cx="7" cy="9"/>
            <a:chOff x="653" y="3197"/>
            <a:chExt cx="7" cy="9"/>
          </a:xfrm>
        </xdr:grpSpPr>
        <xdr:sp macro="" textlink="">
          <xdr:nvSpPr>
            <xdr:cNvPr id="36" name="Line 42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" name="Line 43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1" name="Group 4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GrpSpPr>
            <a:grpSpLocks/>
          </xdr:cNvGrpSpPr>
        </xdr:nvGrpSpPr>
        <xdr:grpSpPr bwMode="auto">
          <a:xfrm>
            <a:off x="629" y="3140"/>
            <a:ext cx="7" cy="9"/>
            <a:chOff x="653" y="3197"/>
            <a:chExt cx="7" cy="9"/>
          </a:xfrm>
        </xdr:grpSpPr>
        <xdr:sp macro="" textlink="">
          <xdr:nvSpPr>
            <xdr:cNvPr id="34" name="Line 45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5" name="Line 46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2" name="Group 47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GrpSpPr>
            <a:grpSpLocks/>
          </xdr:cNvGrpSpPr>
        </xdr:nvGrpSpPr>
        <xdr:grpSpPr bwMode="auto">
          <a:xfrm>
            <a:off x="629" y="3158"/>
            <a:ext cx="7" cy="9"/>
            <a:chOff x="653" y="3197"/>
            <a:chExt cx="7" cy="9"/>
          </a:xfrm>
        </xdr:grpSpPr>
        <xdr:sp macro="" textlink="">
          <xdr:nvSpPr>
            <xdr:cNvPr id="32" name="Line 48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3" name="Line 49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3" name="Group 50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GrpSpPr>
            <a:grpSpLocks/>
          </xdr:cNvGrpSpPr>
        </xdr:nvGrpSpPr>
        <xdr:grpSpPr bwMode="auto">
          <a:xfrm>
            <a:off x="511" y="3140"/>
            <a:ext cx="7" cy="9"/>
            <a:chOff x="653" y="3197"/>
            <a:chExt cx="7" cy="9"/>
          </a:xfrm>
        </xdr:grpSpPr>
        <xdr:sp macro="" textlink="">
          <xdr:nvSpPr>
            <xdr:cNvPr id="30" name="Line 51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52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4" name="Group 5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GrpSpPr>
            <a:grpSpLocks/>
          </xdr:cNvGrpSpPr>
        </xdr:nvGrpSpPr>
        <xdr:grpSpPr bwMode="auto">
          <a:xfrm>
            <a:off x="511" y="3121"/>
            <a:ext cx="7" cy="9"/>
            <a:chOff x="653" y="3197"/>
            <a:chExt cx="7" cy="9"/>
          </a:xfrm>
        </xdr:grpSpPr>
        <xdr:sp macro="" textlink="">
          <xdr:nvSpPr>
            <xdr:cNvPr id="28" name="Line 54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55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5" name="Group 56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>
            <a:grpSpLocks/>
          </xdr:cNvGrpSpPr>
        </xdr:nvGrpSpPr>
        <xdr:grpSpPr bwMode="auto">
          <a:xfrm>
            <a:off x="511" y="3158"/>
            <a:ext cx="7" cy="9"/>
            <a:chOff x="653" y="3197"/>
            <a:chExt cx="7" cy="9"/>
          </a:xfrm>
        </xdr:grpSpPr>
        <xdr:sp macro="" textlink="">
          <xdr:nvSpPr>
            <xdr:cNvPr id="26" name="Line 57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5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7</xdr:col>
      <xdr:colOff>238125</xdr:colOff>
      <xdr:row>186</xdr:row>
      <xdr:rowOff>0</xdr:rowOff>
    </xdr:from>
    <xdr:to>
      <xdr:col>9</xdr:col>
      <xdr:colOff>219075</xdr:colOff>
      <xdr:row>186</xdr:row>
      <xdr:rowOff>0</xdr:rowOff>
    </xdr:to>
    <xdr:grpSp>
      <xdr:nvGrpSpPr>
        <xdr:cNvPr id="52" name="Group 59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pSpPr>
          <a:grpSpLocks/>
        </xdr:cNvGrpSpPr>
      </xdr:nvGrpSpPr>
      <xdr:grpSpPr bwMode="auto">
        <a:xfrm>
          <a:off x="5197475" y="40900350"/>
          <a:ext cx="1377950" cy="0"/>
          <a:chOff x="463" y="2821"/>
          <a:chExt cx="103" cy="82"/>
        </a:xfrm>
      </xdr:grpSpPr>
      <xdr:sp macro="" textlink="">
        <xdr:nvSpPr>
          <xdr:cNvPr id="53" name="Line 60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0" cy="6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61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6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62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901"/>
            <a:ext cx="6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63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540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64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>
            <a:spLocks noChangeShapeType="1"/>
          </xdr:cNvSpPr>
        </xdr:nvSpPr>
        <xdr:spPr bwMode="auto">
          <a:xfrm>
            <a:off x="547" y="2844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65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545" y="2901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9" name="Line 66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 noChangeShapeType="1"/>
          </xdr:cNvSpPr>
        </xdr:nvSpPr>
        <xdr:spPr bwMode="auto">
          <a:xfrm>
            <a:off x="557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Line 67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21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Line 6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2822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Line 69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2825"/>
            <a:ext cx="7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63" name="Group 70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GrpSpPr>
            <a:grpSpLocks/>
          </xdr:cNvGrpSpPr>
        </xdr:nvGrpSpPr>
        <xdr:grpSpPr bwMode="auto">
          <a:xfrm>
            <a:off x="530" y="2836"/>
            <a:ext cx="10" cy="6"/>
            <a:chOff x="545" y="3239"/>
            <a:chExt cx="10" cy="6"/>
          </a:xfrm>
        </xdr:grpSpPr>
        <xdr:sp macro="" textlink="">
          <xdr:nvSpPr>
            <xdr:cNvPr id="82" name="Line 7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3" name="Line 7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4" name="Group 73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GrpSpPr>
            <a:grpSpLocks/>
          </xdr:cNvGrpSpPr>
        </xdr:nvGrpSpPr>
        <xdr:grpSpPr bwMode="auto">
          <a:xfrm>
            <a:off x="463" y="2868"/>
            <a:ext cx="7" cy="9"/>
            <a:chOff x="653" y="3197"/>
            <a:chExt cx="7" cy="9"/>
          </a:xfrm>
        </xdr:grpSpPr>
        <xdr:sp macro="" textlink="">
          <xdr:nvSpPr>
            <xdr:cNvPr id="80" name="Line 74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1" name="Line 75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5" name="Group 76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GrpSpPr>
            <a:grpSpLocks/>
          </xdr:cNvGrpSpPr>
        </xdr:nvGrpSpPr>
        <xdr:grpSpPr bwMode="auto">
          <a:xfrm>
            <a:off x="464" y="2846"/>
            <a:ext cx="7" cy="9"/>
            <a:chOff x="653" y="3197"/>
            <a:chExt cx="7" cy="9"/>
          </a:xfrm>
        </xdr:grpSpPr>
        <xdr:sp macro="" textlink="">
          <xdr:nvSpPr>
            <xdr:cNvPr id="78" name="Line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9" name="Line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6" name="Group 79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GrpSpPr>
            <a:grpSpLocks/>
          </xdr:cNvGrpSpPr>
        </xdr:nvGrpSpPr>
        <xdr:grpSpPr bwMode="auto">
          <a:xfrm>
            <a:off x="463" y="2892"/>
            <a:ext cx="7" cy="9"/>
            <a:chOff x="653" y="3197"/>
            <a:chExt cx="7" cy="9"/>
          </a:xfrm>
        </xdr:grpSpPr>
        <xdr:sp macro="" textlink="">
          <xdr:nvSpPr>
            <xdr:cNvPr id="76" name="Line 80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7" name="Line 81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7" name="Group 82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GrpSpPr>
            <a:grpSpLocks/>
          </xdr:cNvGrpSpPr>
        </xdr:nvGrpSpPr>
        <xdr:grpSpPr bwMode="auto">
          <a:xfrm>
            <a:off x="511" y="2837"/>
            <a:ext cx="10" cy="6"/>
            <a:chOff x="545" y="3239"/>
            <a:chExt cx="10" cy="6"/>
          </a:xfrm>
        </xdr:grpSpPr>
        <xdr:sp macro="" textlink="">
          <xdr:nvSpPr>
            <xdr:cNvPr id="74" name="Line 8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5" name="Line 8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8" name="Group 85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GrpSpPr>
            <a:grpSpLocks/>
          </xdr:cNvGrpSpPr>
        </xdr:nvGrpSpPr>
        <xdr:grpSpPr bwMode="auto">
          <a:xfrm>
            <a:off x="474" y="2837"/>
            <a:ext cx="10" cy="6"/>
            <a:chOff x="545" y="3239"/>
            <a:chExt cx="10" cy="6"/>
          </a:xfrm>
        </xdr:grpSpPr>
        <xdr:sp macro="" textlink="">
          <xdr:nvSpPr>
            <xdr:cNvPr id="72" name="Line 86">
              <a:extLst>
                <a:ext uri="{FF2B5EF4-FFF2-40B4-BE49-F238E27FC236}">
                  <a16:creationId xmlns:a16="http://schemas.microsoft.com/office/drawing/2014/main" id="{00000000-0008-0000-0400-00004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" name="Line 87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9" name="Group 8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GrpSpPr>
            <a:grpSpLocks/>
          </xdr:cNvGrpSpPr>
        </xdr:nvGrpSpPr>
        <xdr:grpSpPr bwMode="auto">
          <a:xfrm>
            <a:off x="492" y="2836"/>
            <a:ext cx="10" cy="6"/>
            <a:chOff x="545" y="3239"/>
            <a:chExt cx="10" cy="6"/>
          </a:xfrm>
        </xdr:grpSpPr>
        <xdr:sp macro="" textlink="">
          <xdr:nvSpPr>
            <xdr:cNvPr id="70" name="Line 8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1" name="Line 9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8283</xdr:colOff>
      <xdr:row>5</xdr:row>
      <xdr:rowOff>41413</xdr:rowOff>
    </xdr:from>
    <xdr:to>
      <xdr:col>8</xdr:col>
      <xdr:colOff>93014</xdr:colOff>
      <xdr:row>27</xdr:row>
      <xdr:rowOff>63031</xdr:rowOff>
    </xdr:to>
    <xdr:grpSp>
      <xdr:nvGrpSpPr>
        <xdr:cNvPr id="84" name="Group 137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pSpPr>
          <a:grpSpLocks/>
        </xdr:cNvGrpSpPr>
      </xdr:nvGrpSpPr>
      <xdr:grpSpPr bwMode="auto">
        <a:xfrm>
          <a:off x="8283" y="1032013"/>
          <a:ext cx="5748931" cy="5469918"/>
          <a:chOff x="2" y="85"/>
          <a:chExt cx="412" cy="419"/>
        </a:xfrm>
      </xdr:grpSpPr>
      <xdr:sp macro="" textlink="">
        <xdr:nvSpPr>
          <xdr:cNvPr id="85" name="Line 138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2" y="499"/>
            <a:ext cx="33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6" name="Rectangle 139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>
            <a:spLocks noChangeArrowheads="1"/>
          </xdr:cNvSpPr>
        </xdr:nvSpPr>
        <xdr:spPr bwMode="auto">
          <a:xfrm>
            <a:off x="3" y="86"/>
            <a:ext cx="336" cy="355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7" name="Rectangle 140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>
            <a:spLocks noChangeArrowheads="1"/>
          </xdr:cNvSpPr>
        </xdr:nvSpPr>
        <xdr:spPr bwMode="auto">
          <a:xfrm>
            <a:off x="84" y="86"/>
            <a:ext cx="21" cy="355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8" name="Rectangle 141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86"/>
            <a:ext cx="22" cy="355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9" name="Rectangle 142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3" y="344"/>
            <a:ext cx="33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0" name="Rectangle 143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3" y="165"/>
            <a:ext cx="336" cy="22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1" name="Rectangle 144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>
            <a:spLocks noChangeArrowheads="1"/>
          </xdr:cNvSpPr>
        </xdr:nvSpPr>
        <xdr:spPr bwMode="auto">
          <a:xfrm>
            <a:off x="143" y="228"/>
            <a:ext cx="61" cy="63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2" name="Line 145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SpPr>
            <a:spLocks noChangeShapeType="1"/>
          </xdr:cNvSpPr>
        </xdr:nvSpPr>
        <xdr:spPr bwMode="auto">
          <a:xfrm>
            <a:off x="349" y="365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3" name="Line 146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SpPr>
            <a:spLocks noChangeShapeType="1"/>
          </xdr:cNvSpPr>
        </xdr:nvSpPr>
        <xdr:spPr bwMode="auto">
          <a:xfrm>
            <a:off x="347" y="344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4" name="Line 147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SpPr>
            <a:spLocks noChangeShapeType="1"/>
          </xdr:cNvSpPr>
        </xdr:nvSpPr>
        <xdr:spPr bwMode="auto">
          <a:xfrm>
            <a:off x="345" y="187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" name="Line 148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>
            <a:spLocks noChangeShapeType="1"/>
          </xdr:cNvSpPr>
        </xdr:nvSpPr>
        <xdr:spPr bwMode="auto">
          <a:xfrm>
            <a:off x="344" y="165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6" name="Line 149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228"/>
            <a:ext cx="20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7" name="Line 150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>
            <a:spLocks noChangeShapeType="1"/>
          </xdr:cNvSpPr>
        </xdr:nvSpPr>
        <xdr:spPr bwMode="auto">
          <a:xfrm>
            <a:off x="125" y="291"/>
            <a:ext cx="1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8" name="Line 151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>
            <a:spLocks noChangeShapeType="1"/>
          </xdr:cNvSpPr>
        </xdr:nvSpPr>
        <xdr:spPr bwMode="auto">
          <a:xfrm>
            <a:off x="370" y="365"/>
            <a:ext cx="0" cy="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9" name="Line 152">
            <a:extLst>
              <a:ext uri="{FF2B5EF4-FFF2-40B4-BE49-F238E27FC236}">
                <a16:creationId xmlns:a16="http://schemas.microsoft.com/office/drawing/2014/main" id="{00000000-0008-0000-0400-000063000000}"/>
              </a:ext>
            </a:extLst>
          </xdr:cNvPr>
          <xdr:cNvSpPr>
            <a:spLocks noChangeShapeType="1"/>
          </xdr:cNvSpPr>
        </xdr:nvSpPr>
        <xdr:spPr bwMode="auto">
          <a:xfrm>
            <a:off x="369" y="186"/>
            <a:ext cx="0" cy="15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0" name="Line 153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>
            <a:spLocks noChangeShapeType="1"/>
          </xdr:cNvSpPr>
        </xdr:nvSpPr>
        <xdr:spPr bwMode="auto">
          <a:xfrm>
            <a:off x="342" y="86"/>
            <a:ext cx="6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" name="Line 154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>
            <a:spLocks noChangeShapeType="1"/>
          </xdr:cNvSpPr>
        </xdr:nvSpPr>
        <xdr:spPr bwMode="auto">
          <a:xfrm>
            <a:off x="369" y="85"/>
            <a:ext cx="0" cy="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" name="Line 155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>
            <a:spLocks noChangeShapeType="1"/>
          </xdr:cNvSpPr>
        </xdr:nvSpPr>
        <xdr:spPr bwMode="auto">
          <a:xfrm>
            <a:off x="406" y="86"/>
            <a:ext cx="0" cy="3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" name="Line 156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>
            <a:spLocks noChangeShapeType="1"/>
          </xdr:cNvSpPr>
        </xdr:nvSpPr>
        <xdr:spPr bwMode="auto">
          <a:xfrm>
            <a:off x="144" y="203"/>
            <a:ext cx="0" cy="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" name="Line 157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>
            <a:spLocks noChangeShapeType="1"/>
          </xdr:cNvSpPr>
        </xdr:nvSpPr>
        <xdr:spPr bwMode="auto">
          <a:xfrm>
            <a:off x="204" y="202"/>
            <a:ext cx="0" cy="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" name="Line 158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>
            <a:spLocks noChangeShapeType="1"/>
          </xdr:cNvSpPr>
        </xdr:nvSpPr>
        <xdr:spPr bwMode="auto">
          <a:xfrm>
            <a:off x="145" y="205"/>
            <a:ext cx="5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" name="Line 159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>
            <a:spLocks noChangeShapeType="1"/>
          </xdr:cNvSpPr>
        </xdr:nvSpPr>
        <xdr:spPr bwMode="auto">
          <a:xfrm>
            <a:off x="132" y="227"/>
            <a:ext cx="0" cy="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" name="Line 160">
            <a:extLst>
              <a:ext uri="{FF2B5EF4-FFF2-40B4-BE49-F238E27FC236}">
                <a16:creationId xmlns:a16="http://schemas.microsoft.com/office/drawing/2014/main" id="{00000000-0008-0000-0400-00006B000000}"/>
              </a:ext>
            </a:extLst>
          </xdr:cNvPr>
          <xdr:cNvSpPr>
            <a:spLocks noChangeShapeType="1"/>
          </xdr:cNvSpPr>
        </xdr:nvSpPr>
        <xdr:spPr bwMode="auto">
          <a:xfrm>
            <a:off x="3" y="446"/>
            <a:ext cx="0" cy="5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8" name="Line 161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>
            <a:spLocks noChangeShapeType="1"/>
          </xdr:cNvSpPr>
        </xdr:nvSpPr>
        <xdr:spPr bwMode="auto">
          <a:xfrm>
            <a:off x="338" y="444"/>
            <a:ext cx="0" cy="5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9" name="Line 162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SpPr>
            <a:spLocks noChangeShapeType="1"/>
          </xdr:cNvSpPr>
        </xdr:nvSpPr>
        <xdr:spPr bwMode="auto">
          <a:xfrm>
            <a:off x="84" y="444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0" name="Line 163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>
            <a:spLocks noChangeShapeType="1"/>
          </xdr:cNvSpPr>
        </xdr:nvSpPr>
        <xdr:spPr bwMode="auto">
          <a:xfrm>
            <a:off x="105" y="445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1" name="Line 164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>
            <a:spLocks noChangeShapeType="1"/>
          </xdr:cNvSpPr>
        </xdr:nvSpPr>
        <xdr:spPr bwMode="auto">
          <a:xfrm>
            <a:off x="238" y="444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2" name="Line 165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>
            <a:spLocks noChangeShapeType="1"/>
          </xdr:cNvSpPr>
        </xdr:nvSpPr>
        <xdr:spPr bwMode="auto">
          <a:xfrm>
            <a:off x="260" y="444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" name="Line 166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>
            <a:spLocks noChangeShapeType="1"/>
          </xdr:cNvSpPr>
        </xdr:nvSpPr>
        <xdr:spPr bwMode="auto">
          <a:xfrm>
            <a:off x="4" y="479"/>
            <a:ext cx="80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4" name="Line 167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SpPr>
            <a:spLocks noChangeShapeType="1"/>
          </xdr:cNvSpPr>
        </xdr:nvSpPr>
        <xdr:spPr bwMode="auto">
          <a:xfrm>
            <a:off x="107" y="479"/>
            <a:ext cx="133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5" name="Line 168">
            <a:extLst>
              <a:ext uri="{FF2B5EF4-FFF2-40B4-BE49-F238E27FC236}">
                <a16:creationId xmlns:a16="http://schemas.microsoft.com/office/drawing/2014/main" id="{00000000-0008-0000-0400-000073000000}"/>
              </a:ext>
            </a:extLst>
          </xdr:cNvPr>
          <xdr:cNvSpPr>
            <a:spLocks noChangeShapeType="1"/>
          </xdr:cNvSpPr>
        </xdr:nvSpPr>
        <xdr:spPr bwMode="auto">
          <a:xfrm>
            <a:off x="259" y="479"/>
            <a:ext cx="8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6" name="Line 169">
            <a:extLst>
              <a:ext uri="{FF2B5EF4-FFF2-40B4-BE49-F238E27FC236}">
                <a16:creationId xmlns:a16="http://schemas.microsoft.com/office/drawing/2014/main" id="{00000000-0008-0000-0400-000074000000}"/>
              </a:ext>
            </a:extLst>
          </xdr:cNvPr>
          <xdr:cNvSpPr>
            <a:spLocks noChangeShapeType="1"/>
          </xdr:cNvSpPr>
        </xdr:nvSpPr>
        <xdr:spPr bwMode="auto">
          <a:xfrm>
            <a:off x="348" y="442"/>
            <a:ext cx="66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7" name="Rectangle 170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>
            <a:spLocks noChangeArrowheads="1"/>
          </xdr:cNvSpPr>
        </xdr:nvSpPr>
        <xdr:spPr bwMode="auto">
          <a:xfrm>
            <a:off x="76" y="157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8" name="Rectangle 171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>
            <a:spLocks noChangeArrowheads="1"/>
          </xdr:cNvSpPr>
        </xdr:nvSpPr>
        <xdr:spPr bwMode="auto">
          <a:xfrm>
            <a:off x="230" y="156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9" name="Rectangle 172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SpPr>
            <a:spLocks noChangeArrowheads="1"/>
          </xdr:cNvSpPr>
        </xdr:nvSpPr>
        <xdr:spPr bwMode="auto">
          <a:xfrm>
            <a:off x="230" y="335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0" name="Rectangle 173">
            <a:extLst>
              <a:ext uri="{FF2B5EF4-FFF2-40B4-BE49-F238E27FC236}">
                <a16:creationId xmlns:a16="http://schemas.microsoft.com/office/drawing/2014/main" id="{00000000-0008-0000-0400-000078000000}"/>
              </a:ext>
            </a:extLst>
          </xdr:cNvPr>
          <xdr:cNvSpPr>
            <a:spLocks noChangeArrowheads="1"/>
          </xdr:cNvSpPr>
        </xdr:nvSpPr>
        <xdr:spPr bwMode="auto">
          <a:xfrm>
            <a:off x="77" y="336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647700</xdr:colOff>
      <xdr:row>186</xdr:row>
      <xdr:rowOff>0</xdr:rowOff>
    </xdr:from>
    <xdr:to>
      <xdr:col>9</xdr:col>
      <xdr:colOff>28575</xdr:colOff>
      <xdr:row>186</xdr:row>
      <xdr:rowOff>0</xdr:rowOff>
    </xdr:to>
    <xdr:grpSp>
      <xdr:nvGrpSpPr>
        <xdr:cNvPr id="121" name="Group 17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GrpSpPr>
          <a:grpSpLocks/>
        </xdr:cNvGrpSpPr>
      </xdr:nvGrpSpPr>
      <xdr:grpSpPr bwMode="auto">
        <a:xfrm>
          <a:off x="647700" y="40900350"/>
          <a:ext cx="5737225" cy="0"/>
          <a:chOff x="67" y="3604"/>
          <a:chExt cx="476" cy="354"/>
        </a:xfrm>
      </xdr:grpSpPr>
      <xdr:sp macro="" textlink="">
        <xdr:nvSpPr>
          <xdr:cNvPr id="122" name="Rectangle 175">
            <a:extLst>
              <a:ext uri="{FF2B5EF4-FFF2-40B4-BE49-F238E27FC236}">
                <a16:creationId xmlns:a16="http://schemas.microsoft.com/office/drawing/2014/main" id="{00000000-0008-0000-0400-00007A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09"/>
            <a:ext cx="336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3" name="Rectangle 176">
            <a:extLst>
              <a:ext uri="{FF2B5EF4-FFF2-40B4-BE49-F238E27FC236}">
                <a16:creationId xmlns:a16="http://schemas.microsoft.com/office/drawing/2014/main" id="{00000000-0008-0000-0400-00007B000000}"/>
              </a:ext>
            </a:extLst>
          </xdr:cNvPr>
          <xdr:cNvSpPr>
            <a:spLocks noChangeArrowheads="1"/>
          </xdr:cNvSpPr>
        </xdr:nvSpPr>
        <xdr:spPr bwMode="auto">
          <a:xfrm>
            <a:off x="147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4" name="Rectangle 177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>
            <a:spLocks noChangeArrowheads="1"/>
          </xdr:cNvSpPr>
        </xdr:nvSpPr>
        <xdr:spPr bwMode="auto">
          <a:xfrm>
            <a:off x="302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5" name="Rectangle 178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854"/>
            <a:ext cx="33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6" name="Rectangle 179">
            <a:extLst>
              <a:ext uri="{FF2B5EF4-FFF2-40B4-BE49-F238E27FC236}">
                <a16:creationId xmlns:a16="http://schemas.microsoft.com/office/drawing/2014/main" id="{00000000-0008-0000-0400-00007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88"/>
            <a:ext cx="33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7" name="Rectangle 180">
            <a:extLst>
              <a:ext uri="{FF2B5EF4-FFF2-40B4-BE49-F238E27FC236}">
                <a16:creationId xmlns:a16="http://schemas.microsoft.com/office/drawing/2014/main" id="{00000000-0008-0000-0400-00007F000000}"/>
              </a:ext>
            </a:extLst>
          </xdr:cNvPr>
          <xdr:cNvSpPr>
            <a:spLocks noChangeArrowheads="1"/>
          </xdr:cNvSpPr>
        </xdr:nvSpPr>
        <xdr:spPr bwMode="auto">
          <a:xfrm>
            <a:off x="207" y="3749"/>
            <a:ext cx="61" cy="62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8" name="Line 181">
            <a:extLst>
              <a:ext uri="{FF2B5EF4-FFF2-40B4-BE49-F238E27FC236}">
                <a16:creationId xmlns:a16="http://schemas.microsoft.com/office/drawing/2014/main" id="{00000000-0008-0000-0400-000080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875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9" name="Line 182">
            <a:extLst>
              <a:ext uri="{FF2B5EF4-FFF2-40B4-BE49-F238E27FC236}">
                <a16:creationId xmlns:a16="http://schemas.microsoft.com/office/drawing/2014/main" id="{00000000-0008-0000-0400-000081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4" y="3785"/>
            <a:ext cx="79" cy="7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0" name="Line 183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>
            <a:spLocks noChangeShapeType="1"/>
          </xdr:cNvSpPr>
        </xdr:nvSpPr>
        <xdr:spPr bwMode="auto">
          <a:xfrm>
            <a:off x="267" y="3811"/>
            <a:ext cx="36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1" name="Line 184">
            <a:extLst>
              <a:ext uri="{FF2B5EF4-FFF2-40B4-BE49-F238E27FC236}">
                <a16:creationId xmlns:a16="http://schemas.microsoft.com/office/drawing/2014/main" id="{00000000-0008-0000-0400-00008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7" y="3877"/>
            <a:ext cx="56" cy="8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" name="Line 185">
            <a:extLst>
              <a:ext uri="{FF2B5EF4-FFF2-40B4-BE49-F238E27FC236}">
                <a16:creationId xmlns:a16="http://schemas.microsoft.com/office/drawing/2014/main" id="{00000000-0008-0000-0400-00008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" y="3709"/>
            <a:ext cx="34" cy="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3" name="Line 186">
            <a:extLst>
              <a:ext uri="{FF2B5EF4-FFF2-40B4-BE49-F238E27FC236}">
                <a16:creationId xmlns:a16="http://schemas.microsoft.com/office/drawing/2014/main" id="{00000000-0008-0000-0400-000085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708"/>
            <a:ext cx="79" cy="6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4" name="Line 187">
            <a:extLst>
              <a:ext uri="{FF2B5EF4-FFF2-40B4-BE49-F238E27FC236}">
                <a16:creationId xmlns:a16="http://schemas.microsoft.com/office/drawing/2014/main" id="{00000000-0008-0000-0400-00008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3" y="3608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5" name="Line 188">
            <a:extLst>
              <a:ext uri="{FF2B5EF4-FFF2-40B4-BE49-F238E27FC236}">
                <a16:creationId xmlns:a16="http://schemas.microsoft.com/office/drawing/2014/main" id="{00000000-0008-0000-0400-000087000000}"/>
              </a:ext>
            </a:extLst>
          </xdr:cNvPr>
          <xdr:cNvSpPr>
            <a:spLocks noChangeShapeType="1"/>
          </xdr:cNvSpPr>
        </xdr:nvSpPr>
        <xdr:spPr bwMode="auto">
          <a:xfrm>
            <a:off x="236" y="3609"/>
            <a:ext cx="67" cy="8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6" name="Line 189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3604"/>
            <a:ext cx="0" cy="35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7" name="Line 190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958"/>
            <a:ext cx="7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8" name="Line 191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4" y="3865"/>
            <a:ext cx="66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9" name="Line 192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90"/>
            <a:ext cx="7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0" name="Line 193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0" y="3699"/>
            <a:ext cx="70" cy="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1" name="Line 194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2" name="Line 195">
            <a:extLst>
              <a:ext uri="{FF2B5EF4-FFF2-40B4-BE49-F238E27FC236}">
                <a16:creationId xmlns:a16="http://schemas.microsoft.com/office/drawing/2014/main" id="{00000000-0008-0000-0400-00008E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3" name="Line 196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68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4" name="Rectangle 197">
            <a:extLst>
              <a:ext uri="{FF2B5EF4-FFF2-40B4-BE49-F238E27FC236}">
                <a16:creationId xmlns:a16="http://schemas.microsoft.com/office/drawing/2014/main" id="{00000000-0008-0000-0400-000090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680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" name="Rectangle 198">
            <a:extLst>
              <a:ext uri="{FF2B5EF4-FFF2-40B4-BE49-F238E27FC236}">
                <a16:creationId xmlns:a16="http://schemas.microsoft.com/office/drawing/2014/main" id="{00000000-0008-0000-0400-000091000000}"/>
              </a:ext>
            </a:extLst>
          </xdr:cNvPr>
          <xdr:cNvSpPr>
            <a:spLocks noChangeArrowheads="1"/>
          </xdr:cNvSpPr>
        </xdr:nvSpPr>
        <xdr:spPr bwMode="auto">
          <a:xfrm>
            <a:off x="294" y="3679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6" name="Rectangle 199">
            <a:extLst>
              <a:ext uri="{FF2B5EF4-FFF2-40B4-BE49-F238E27FC236}">
                <a16:creationId xmlns:a16="http://schemas.microsoft.com/office/drawing/2014/main" id="{00000000-0008-0000-0400-000092000000}"/>
              </a:ext>
            </a:extLst>
          </xdr:cNvPr>
          <xdr:cNvSpPr>
            <a:spLocks noChangeArrowheads="1"/>
          </xdr:cNvSpPr>
        </xdr:nvSpPr>
        <xdr:spPr bwMode="auto">
          <a:xfrm>
            <a:off x="292" y="3845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7" name="Rectangle 200">
            <a:extLst>
              <a:ext uri="{FF2B5EF4-FFF2-40B4-BE49-F238E27FC236}">
                <a16:creationId xmlns:a16="http://schemas.microsoft.com/office/drawing/2014/main" id="{00000000-0008-0000-0400-000093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844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186</xdr:row>
      <xdr:rowOff>0</xdr:rowOff>
    </xdr:from>
    <xdr:to>
      <xdr:col>9</xdr:col>
      <xdr:colOff>9525</xdr:colOff>
      <xdr:row>186</xdr:row>
      <xdr:rowOff>0</xdr:rowOff>
    </xdr:to>
    <xdr:grpSp>
      <xdr:nvGrpSpPr>
        <xdr:cNvPr id="148" name="Group 201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GrpSpPr>
          <a:grpSpLocks/>
        </xdr:cNvGrpSpPr>
      </xdr:nvGrpSpPr>
      <xdr:grpSpPr bwMode="auto">
        <a:xfrm>
          <a:off x="762000" y="40900350"/>
          <a:ext cx="5603875" cy="0"/>
          <a:chOff x="68" y="2526"/>
          <a:chExt cx="446" cy="100"/>
        </a:xfrm>
      </xdr:grpSpPr>
      <xdr:sp macro="" textlink="">
        <xdr:nvSpPr>
          <xdr:cNvPr id="149" name="Line 202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64"/>
            <a:ext cx="44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0" name="Line 203">
            <a:extLst>
              <a:ext uri="{FF2B5EF4-FFF2-40B4-BE49-F238E27FC236}">
                <a16:creationId xmlns:a16="http://schemas.microsoft.com/office/drawing/2014/main" id="{00000000-0008-0000-0400-000096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47"/>
            <a:ext cx="0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" name="Line 204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SpPr>
            <a:spLocks noChangeShapeType="1"/>
          </xdr:cNvSpPr>
        </xdr:nvSpPr>
        <xdr:spPr bwMode="auto">
          <a:xfrm>
            <a:off x="513" y="256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" name="Line 205">
            <a:extLst>
              <a:ext uri="{FF2B5EF4-FFF2-40B4-BE49-F238E27FC236}">
                <a16:creationId xmlns:a16="http://schemas.microsoft.com/office/drawing/2014/main" id="{00000000-0008-0000-0400-000098000000}"/>
              </a:ext>
            </a:extLst>
          </xdr:cNvPr>
          <xdr:cNvSpPr>
            <a:spLocks noChangeShapeType="1"/>
          </xdr:cNvSpPr>
        </xdr:nvSpPr>
        <xdr:spPr bwMode="auto">
          <a:xfrm>
            <a:off x="70" y="2546"/>
            <a:ext cx="442" cy="4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" name="Line 206">
            <a:extLst>
              <a:ext uri="{FF2B5EF4-FFF2-40B4-BE49-F238E27FC236}">
                <a16:creationId xmlns:a16="http://schemas.microsoft.com/office/drawing/2014/main" id="{00000000-0008-0000-0400-000099000000}"/>
              </a:ext>
            </a:extLst>
          </xdr:cNvPr>
          <xdr:cNvSpPr>
            <a:spLocks noChangeShapeType="1"/>
          </xdr:cNvSpPr>
        </xdr:nvSpPr>
        <xdr:spPr bwMode="auto">
          <a:xfrm>
            <a:off x="139" y="2555"/>
            <a:ext cx="0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" name="Line 207">
            <a:extLst>
              <a:ext uri="{FF2B5EF4-FFF2-40B4-BE49-F238E27FC236}">
                <a16:creationId xmlns:a16="http://schemas.microsoft.com/office/drawing/2014/main" id="{00000000-0008-0000-0400-00009A000000}"/>
              </a:ext>
            </a:extLst>
          </xdr:cNvPr>
          <xdr:cNvSpPr>
            <a:spLocks noChangeShapeType="1"/>
          </xdr:cNvSpPr>
        </xdr:nvSpPr>
        <xdr:spPr bwMode="auto">
          <a:xfrm>
            <a:off x="158" y="2556"/>
            <a:ext cx="0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5" name="Line 208">
            <a:extLst>
              <a:ext uri="{FF2B5EF4-FFF2-40B4-BE49-F238E27FC236}">
                <a16:creationId xmlns:a16="http://schemas.microsoft.com/office/drawing/2014/main" id="{00000000-0008-0000-0400-00009B000000}"/>
              </a:ext>
            </a:extLst>
          </xdr:cNvPr>
          <xdr:cNvSpPr>
            <a:spLocks noChangeShapeType="1"/>
          </xdr:cNvSpPr>
        </xdr:nvSpPr>
        <xdr:spPr bwMode="auto">
          <a:xfrm>
            <a:off x="391" y="2563"/>
            <a:ext cx="0" cy="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209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4" y="2563"/>
            <a:ext cx="1" cy="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210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288" y="2526"/>
            <a:ext cx="0" cy="7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8" name="Line 211">
            <a:extLst>
              <a:ext uri="{FF2B5EF4-FFF2-40B4-BE49-F238E27FC236}">
                <a16:creationId xmlns:a16="http://schemas.microsoft.com/office/drawing/2014/main" id="{00000000-0008-0000-0400-00009E000000}"/>
              </a:ext>
            </a:extLst>
          </xdr:cNvPr>
          <xdr:cNvSpPr>
            <a:spLocks noChangeShapeType="1"/>
          </xdr:cNvSpPr>
        </xdr:nvSpPr>
        <xdr:spPr bwMode="auto">
          <a:xfrm>
            <a:off x="68" y="2626"/>
            <a:ext cx="4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" name="Line 212">
            <a:extLst>
              <a:ext uri="{FF2B5EF4-FFF2-40B4-BE49-F238E27FC236}">
                <a16:creationId xmlns:a16="http://schemas.microsoft.com/office/drawing/2014/main" id="{00000000-0008-0000-04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609"/>
            <a:ext cx="28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0" name="Line 213">
            <a:extLst>
              <a:ext uri="{FF2B5EF4-FFF2-40B4-BE49-F238E27FC236}">
                <a16:creationId xmlns:a16="http://schemas.microsoft.com/office/drawing/2014/main" id="{00000000-0008-0000-0400-0000A0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594"/>
            <a:ext cx="5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448</xdr:row>
          <xdr:rowOff>146050</xdr:rowOff>
        </xdr:from>
        <xdr:to>
          <xdr:col>1</xdr:col>
          <xdr:colOff>609600</xdr:colOff>
          <xdr:row>450</xdr:row>
          <xdr:rowOff>19050</xdr:rowOff>
        </xdr:to>
        <xdr:sp macro="" textlink="">
          <xdr:nvSpPr>
            <xdr:cNvPr id="489473" name="Object 1" hidden="1">
              <a:extLst>
                <a:ext uri="{63B3BB69-23CF-44E3-9099-C40C66FF867C}">
                  <a14:compatExt spid="_x0000_s489473"/>
                </a:ext>
                <a:ext uri="{FF2B5EF4-FFF2-40B4-BE49-F238E27FC236}">
                  <a16:creationId xmlns:a16="http://schemas.microsoft.com/office/drawing/2014/main" id="{00000000-0008-0000-0400-000001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146050</xdr:colOff>
          <xdr:row>449</xdr:row>
          <xdr:rowOff>209550</xdr:rowOff>
        </xdr:to>
        <xdr:sp macro="" textlink="">
          <xdr:nvSpPr>
            <xdr:cNvPr id="489474" name="Object 2" hidden="1">
              <a:extLst>
                <a:ext uri="{63B3BB69-23CF-44E3-9099-C40C66FF867C}">
                  <a14:compatExt spid="_x0000_s489474"/>
                </a:ext>
                <a:ext uri="{FF2B5EF4-FFF2-40B4-BE49-F238E27FC236}">
                  <a16:creationId xmlns:a16="http://schemas.microsoft.com/office/drawing/2014/main" id="{00000000-0008-0000-0400-000002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247650</xdr:colOff>
          <xdr:row>449</xdr:row>
          <xdr:rowOff>165100</xdr:rowOff>
        </xdr:to>
        <xdr:sp macro="" textlink="">
          <xdr:nvSpPr>
            <xdr:cNvPr id="489475" name="Object 3" hidden="1">
              <a:extLst>
                <a:ext uri="{63B3BB69-23CF-44E3-9099-C40C66FF867C}">
                  <a14:compatExt spid="_x0000_s489475"/>
                </a:ext>
                <a:ext uri="{FF2B5EF4-FFF2-40B4-BE49-F238E27FC236}">
                  <a16:creationId xmlns:a16="http://schemas.microsoft.com/office/drawing/2014/main" id="{00000000-0008-0000-0400-000003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448</xdr:row>
          <xdr:rowOff>146050</xdr:rowOff>
        </xdr:from>
        <xdr:to>
          <xdr:col>6</xdr:col>
          <xdr:colOff>107950</xdr:colOff>
          <xdr:row>449</xdr:row>
          <xdr:rowOff>203200</xdr:rowOff>
        </xdr:to>
        <xdr:sp macro="" textlink="">
          <xdr:nvSpPr>
            <xdr:cNvPr id="489476" name="Object 4" hidden="1">
              <a:extLst>
                <a:ext uri="{63B3BB69-23CF-44E3-9099-C40C66FF867C}">
                  <a14:compatExt spid="_x0000_s489476"/>
                </a:ext>
                <a:ext uri="{FF2B5EF4-FFF2-40B4-BE49-F238E27FC236}">
                  <a16:creationId xmlns:a16="http://schemas.microsoft.com/office/drawing/2014/main" id="{00000000-0008-0000-0400-000004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448</xdr:row>
          <xdr:rowOff>88900</xdr:rowOff>
        </xdr:from>
        <xdr:to>
          <xdr:col>3</xdr:col>
          <xdr:colOff>361950</xdr:colOff>
          <xdr:row>450</xdr:row>
          <xdr:rowOff>95250</xdr:rowOff>
        </xdr:to>
        <xdr:sp macro="" textlink="">
          <xdr:nvSpPr>
            <xdr:cNvPr id="489477" name="Object 5" hidden="1">
              <a:extLst>
                <a:ext uri="{63B3BB69-23CF-44E3-9099-C40C66FF867C}">
                  <a14:compatExt spid="_x0000_s489477"/>
                </a:ext>
                <a:ext uri="{FF2B5EF4-FFF2-40B4-BE49-F238E27FC236}">
                  <a16:creationId xmlns:a16="http://schemas.microsoft.com/office/drawing/2014/main" id="{00000000-0008-0000-0400-000005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449</xdr:row>
          <xdr:rowOff>19050</xdr:rowOff>
        </xdr:from>
        <xdr:to>
          <xdr:col>3</xdr:col>
          <xdr:colOff>190500</xdr:colOff>
          <xdr:row>450</xdr:row>
          <xdr:rowOff>165100</xdr:rowOff>
        </xdr:to>
        <xdr:sp macro="" textlink="">
          <xdr:nvSpPr>
            <xdr:cNvPr id="489478" name="Object 6" hidden="1">
              <a:extLst>
                <a:ext uri="{63B3BB69-23CF-44E3-9099-C40C66FF867C}">
                  <a14:compatExt spid="_x0000_s489478"/>
                </a:ext>
                <a:ext uri="{FF2B5EF4-FFF2-40B4-BE49-F238E27FC236}">
                  <a16:creationId xmlns:a16="http://schemas.microsoft.com/office/drawing/2014/main" id="{00000000-0008-0000-0400-000006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133350</xdr:rowOff>
        </xdr:from>
        <xdr:to>
          <xdr:col>2</xdr:col>
          <xdr:colOff>304800</xdr:colOff>
          <xdr:row>450</xdr:row>
          <xdr:rowOff>31750</xdr:rowOff>
        </xdr:to>
        <xdr:sp macro="" textlink="">
          <xdr:nvSpPr>
            <xdr:cNvPr id="489479" name="Object 7" hidden="1">
              <a:extLst>
                <a:ext uri="{63B3BB69-23CF-44E3-9099-C40C66FF867C}">
                  <a14:compatExt spid="_x0000_s489479"/>
                </a:ext>
                <a:ext uri="{FF2B5EF4-FFF2-40B4-BE49-F238E27FC236}">
                  <a16:creationId xmlns:a16="http://schemas.microsoft.com/office/drawing/2014/main" id="{00000000-0008-0000-0400-000007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448</xdr:row>
          <xdr:rowOff>88900</xdr:rowOff>
        </xdr:from>
        <xdr:to>
          <xdr:col>4</xdr:col>
          <xdr:colOff>666750</xdr:colOff>
          <xdr:row>449</xdr:row>
          <xdr:rowOff>203200</xdr:rowOff>
        </xdr:to>
        <xdr:sp macro="" textlink="">
          <xdr:nvSpPr>
            <xdr:cNvPr id="489480" name="Object 8" hidden="1">
              <a:extLst>
                <a:ext uri="{63B3BB69-23CF-44E3-9099-C40C66FF867C}">
                  <a14:compatExt spid="_x0000_s489480"/>
                </a:ext>
                <a:ext uri="{FF2B5EF4-FFF2-40B4-BE49-F238E27FC236}">
                  <a16:creationId xmlns:a16="http://schemas.microsoft.com/office/drawing/2014/main" id="{00000000-0008-0000-0400-000008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508000</xdr:colOff>
          <xdr:row>449</xdr:row>
          <xdr:rowOff>31750</xdr:rowOff>
        </xdr:from>
        <xdr:to>
          <xdr:col>4</xdr:col>
          <xdr:colOff>660400</xdr:colOff>
          <xdr:row>450</xdr:row>
          <xdr:rowOff>88900</xdr:rowOff>
        </xdr:to>
        <xdr:sp macro="" textlink="">
          <xdr:nvSpPr>
            <xdr:cNvPr id="489481" name="Object 9" hidden="1">
              <a:extLst>
                <a:ext uri="{63B3BB69-23CF-44E3-9099-C40C66FF867C}">
                  <a14:compatExt spid="_x0000_s489481"/>
                </a:ext>
                <a:ext uri="{FF2B5EF4-FFF2-40B4-BE49-F238E27FC236}">
                  <a16:creationId xmlns:a16="http://schemas.microsoft.com/office/drawing/2014/main" id="{00000000-0008-0000-0400-000009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127000</xdr:rowOff>
        </xdr:from>
        <xdr:to>
          <xdr:col>2</xdr:col>
          <xdr:colOff>304800</xdr:colOff>
          <xdr:row>450</xdr:row>
          <xdr:rowOff>19050</xdr:rowOff>
        </xdr:to>
        <xdr:sp macro="" textlink="">
          <xdr:nvSpPr>
            <xdr:cNvPr id="489482" name="Object 10" hidden="1">
              <a:extLst>
                <a:ext uri="{63B3BB69-23CF-44E3-9099-C40C66FF867C}">
                  <a14:compatExt spid="_x0000_s489482"/>
                </a:ext>
                <a:ext uri="{FF2B5EF4-FFF2-40B4-BE49-F238E27FC236}">
                  <a16:creationId xmlns:a16="http://schemas.microsoft.com/office/drawing/2014/main" id="{00000000-0008-0000-0400-00000A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448</xdr:row>
          <xdr:rowOff>165100</xdr:rowOff>
        </xdr:from>
        <xdr:to>
          <xdr:col>6</xdr:col>
          <xdr:colOff>146050</xdr:colOff>
          <xdr:row>449</xdr:row>
          <xdr:rowOff>209550</xdr:rowOff>
        </xdr:to>
        <xdr:sp macro="" textlink="">
          <xdr:nvSpPr>
            <xdr:cNvPr id="489483" name="Object 11" hidden="1">
              <a:extLst>
                <a:ext uri="{63B3BB69-23CF-44E3-9099-C40C66FF867C}">
                  <a14:compatExt spid="_x0000_s489483"/>
                </a:ext>
                <a:ext uri="{FF2B5EF4-FFF2-40B4-BE49-F238E27FC236}">
                  <a16:creationId xmlns:a16="http://schemas.microsoft.com/office/drawing/2014/main" id="{00000000-0008-0000-0400-00000B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312</xdr:row>
          <xdr:rowOff>31750</xdr:rowOff>
        </xdr:from>
        <xdr:to>
          <xdr:col>3</xdr:col>
          <xdr:colOff>628650</xdr:colOff>
          <xdr:row>314</xdr:row>
          <xdr:rowOff>114300</xdr:rowOff>
        </xdr:to>
        <xdr:sp macro="" textlink="">
          <xdr:nvSpPr>
            <xdr:cNvPr id="489484" name="Object 12" hidden="1">
              <a:extLst>
                <a:ext uri="{63B3BB69-23CF-44E3-9099-C40C66FF867C}">
                  <a14:compatExt spid="_x0000_s489484"/>
                </a:ext>
                <a:ext uri="{FF2B5EF4-FFF2-40B4-BE49-F238E27FC236}">
                  <a16:creationId xmlns:a16="http://schemas.microsoft.com/office/drawing/2014/main" id="{00000000-0008-0000-0400-00000C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314</xdr:row>
          <xdr:rowOff>114300</xdr:rowOff>
        </xdr:from>
        <xdr:to>
          <xdr:col>3</xdr:col>
          <xdr:colOff>704850</xdr:colOff>
          <xdr:row>316</xdr:row>
          <xdr:rowOff>50800</xdr:rowOff>
        </xdr:to>
        <xdr:sp macro="" textlink="">
          <xdr:nvSpPr>
            <xdr:cNvPr id="489485" name="Object 13" hidden="1">
              <a:extLst>
                <a:ext uri="{63B3BB69-23CF-44E3-9099-C40C66FF867C}">
                  <a14:compatExt spid="_x0000_s489485"/>
                </a:ext>
                <a:ext uri="{FF2B5EF4-FFF2-40B4-BE49-F238E27FC236}">
                  <a16:creationId xmlns:a16="http://schemas.microsoft.com/office/drawing/2014/main" id="{00000000-0008-0000-0400-00000D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448</xdr:row>
          <xdr:rowOff>69850</xdr:rowOff>
        </xdr:from>
        <xdr:to>
          <xdr:col>10</xdr:col>
          <xdr:colOff>323850</xdr:colOff>
          <xdr:row>453</xdr:row>
          <xdr:rowOff>107950</xdr:rowOff>
        </xdr:to>
        <xdr:sp macro="" textlink="">
          <xdr:nvSpPr>
            <xdr:cNvPr id="489486" name="Object 14" hidden="1">
              <a:extLst>
                <a:ext uri="{63B3BB69-23CF-44E3-9099-C40C66FF867C}">
                  <a14:compatExt spid="_x0000_s489486"/>
                </a:ext>
                <a:ext uri="{FF2B5EF4-FFF2-40B4-BE49-F238E27FC236}">
                  <a16:creationId xmlns:a16="http://schemas.microsoft.com/office/drawing/2014/main" id="{00000000-0008-0000-0400-00000E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448</xdr:row>
          <xdr:rowOff>69850</xdr:rowOff>
        </xdr:from>
        <xdr:to>
          <xdr:col>9</xdr:col>
          <xdr:colOff>488950</xdr:colOff>
          <xdr:row>453</xdr:row>
          <xdr:rowOff>88900</xdr:rowOff>
        </xdr:to>
        <xdr:sp macro="" textlink="">
          <xdr:nvSpPr>
            <xdr:cNvPr id="489487" name="Object 15" hidden="1">
              <a:extLst>
                <a:ext uri="{63B3BB69-23CF-44E3-9099-C40C66FF867C}">
                  <a14:compatExt spid="_x0000_s489487"/>
                </a:ext>
                <a:ext uri="{FF2B5EF4-FFF2-40B4-BE49-F238E27FC236}">
                  <a16:creationId xmlns:a16="http://schemas.microsoft.com/office/drawing/2014/main" id="{00000000-0008-0000-0400-00000F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123577</xdr:colOff>
      <xdr:row>142</xdr:row>
      <xdr:rowOff>182215</xdr:rowOff>
    </xdr:from>
    <xdr:to>
      <xdr:col>9</xdr:col>
      <xdr:colOff>86047</xdr:colOff>
      <xdr:row>144</xdr:row>
      <xdr:rowOff>92349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6" name="Object 21">
              <a:extLst>
                <a:ext uri="{FF2B5EF4-FFF2-40B4-BE49-F238E27FC236}">
                  <a16:creationId xmlns:a16="http://schemas.microsoft.com/office/drawing/2014/main" id="{00000000-0008-0000-0400-0000B0000000}"/>
                </a:ext>
              </a:extLst>
            </xdr:cNvPr>
            <xdr:cNvSpPr txBox="1"/>
          </xdr:nvSpPr>
          <xdr:spPr>
            <a:xfrm>
              <a:off x="6021457" y="30525055"/>
              <a:ext cx="699705" cy="47782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76" name="Object 21">
              <a:extLst>
                <a:ext uri="{FF2B5EF4-FFF2-40B4-BE49-F238E27FC236}">
                  <a16:creationId xmlns:a16="http://schemas.microsoft.com/office/drawing/2014/main" id="{D0994FFB-D8A4-44A0-97A5-112B00DA3D77}"/>
                </a:ext>
              </a:extLst>
            </xdr:cNvPr>
            <xdr:cNvSpPr txBox="1"/>
          </xdr:nvSpPr>
          <xdr:spPr>
            <a:xfrm>
              <a:off x="6021457" y="30525055"/>
              <a:ext cx="699705" cy="47782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∑▒𝑃_𝑎 =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8</xdr:col>
      <xdr:colOff>136331</xdr:colOff>
      <xdr:row>144</xdr:row>
      <xdr:rowOff>248478</xdr:rowOff>
    </xdr:from>
    <xdr:to>
      <xdr:col>9</xdr:col>
      <xdr:colOff>88035</xdr:colOff>
      <xdr:row>146</xdr:row>
      <xdr:rowOff>135172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7" name="Object 23">
              <a:extLst>
                <a:ext uri="{FF2B5EF4-FFF2-40B4-BE49-F238E27FC236}">
                  <a16:creationId xmlns:a16="http://schemas.microsoft.com/office/drawing/2014/main" id="{00000000-0008-0000-0400-0000B1000000}"/>
                </a:ext>
              </a:extLst>
            </xdr:cNvPr>
            <xdr:cNvSpPr txBox="1"/>
          </xdr:nvSpPr>
          <xdr:spPr>
            <a:xfrm>
              <a:off x="6034211" y="31155198"/>
              <a:ext cx="688939" cy="44676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77" name="Object 23">
              <a:extLst>
                <a:ext uri="{FF2B5EF4-FFF2-40B4-BE49-F238E27FC236}">
                  <a16:creationId xmlns:a16="http://schemas.microsoft.com/office/drawing/2014/main" id="{64729498-813A-43C8-A11F-E73E7D4CC771}"/>
                </a:ext>
              </a:extLst>
            </xdr:cNvPr>
            <xdr:cNvSpPr txBox="1"/>
          </xdr:nvSpPr>
          <xdr:spPr>
            <a:xfrm>
              <a:off x="6034211" y="31155198"/>
              <a:ext cx="688939" cy="44676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∑▒𝑃_𝑝 =</a:t>
              </a:r>
              <a:endParaRPr lang="en-US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147</xdr:row>
          <xdr:rowOff>76200</xdr:rowOff>
        </xdr:from>
        <xdr:to>
          <xdr:col>4</xdr:col>
          <xdr:colOff>228600</xdr:colOff>
          <xdr:row>148</xdr:row>
          <xdr:rowOff>69850</xdr:rowOff>
        </xdr:to>
        <xdr:sp macro="" textlink="">
          <xdr:nvSpPr>
            <xdr:cNvPr id="489488" name="Object 16" hidden="1">
              <a:extLst>
                <a:ext uri="{63B3BB69-23CF-44E3-9099-C40C66FF867C}">
                  <a14:compatExt spid="_x0000_s489488"/>
                </a:ext>
                <a:ext uri="{FF2B5EF4-FFF2-40B4-BE49-F238E27FC236}">
                  <a16:creationId xmlns:a16="http://schemas.microsoft.com/office/drawing/2014/main" id="{00000000-0008-0000-0400-000010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153</xdr:row>
          <xdr:rowOff>0</xdr:rowOff>
        </xdr:from>
        <xdr:to>
          <xdr:col>3</xdr:col>
          <xdr:colOff>628650</xdr:colOff>
          <xdr:row>154</xdr:row>
          <xdr:rowOff>184150</xdr:rowOff>
        </xdr:to>
        <xdr:sp macro="" textlink="">
          <xdr:nvSpPr>
            <xdr:cNvPr id="489489" name="Object 17" hidden="1">
              <a:extLst>
                <a:ext uri="{63B3BB69-23CF-44E3-9099-C40C66FF867C}">
                  <a14:compatExt spid="_x0000_s489489"/>
                </a:ext>
                <a:ext uri="{FF2B5EF4-FFF2-40B4-BE49-F238E27FC236}">
                  <a16:creationId xmlns:a16="http://schemas.microsoft.com/office/drawing/2014/main" id="{00000000-0008-0000-0400-000011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142</xdr:row>
          <xdr:rowOff>12700</xdr:rowOff>
        </xdr:from>
        <xdr:to>
          <xdr:col>7</xdr:col>
          <xdr:colOff>146050</xdr:colOff>
          <xdr:row>143</xdr:row>
          <xdr:rowOff>31750</xdr:rowOff>
        </xdr:to>
        <xdr:sp macro="" textlink="">
          <xdr:nvSpPr>
            <xdr:cNvPr id="489490" name="Object 18" hidden="1">
              <a:extLst>
                <a:ext uri="{63B3BB69-23CF-44E3-9099-C40C66FF867C}">
                  <a14:compatExt spid="_x0000_s489490"/>
                </a:ext>
                <a:ext uri="{FF2B5EF4-FFF2-40B4-BE49-F238E27FC236}">
                  <a16:creationId xmlns:a16="http://schemas.microsoft.com/office/drawing/2014/main" id="{00000000-0008-0000-0400-000012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142</xdr:row>
          <xdr:rowOff>247650</xdr:rowOff>
        </xdr:from>
        <xdr:to>
          <xdr:col>5</xdr:col>
          <xdr:colOff>50800</xdr:colOff>
          <xdr:row>144</xdr:row>
          <xdr:rowOff>88900</xdr:rowOff>
        </xdr:to>
        <xdr:sp macro="" textlink="">
          <xdr:nvSpPr>
            <xdr:cNvPr id="489491" name="Object 19" hidden="1">
              <a:extLst>
                <a:ext uri="{63B3BB69-23CF-44E3-9099-C40C66FF867C}">
                  <a14:compatExt spid="_x0000_s489491"/>
                </a:ext>
                <a:ext uri="{FF2B5EF4-FFF2-40B4-BE49-F238E27FC236}">
                  <a16:creationId xmlns:a16="http://schemas.microsoft.com/office/drawing/2014/main" id="{00000000-0008-0000-0400-000013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144</xdr:row>
          <xdr:rowOff>31750</xdr:rowOff>
        </xdr:from>
        <xdr:to>
          <xdr:col>7</xdr:col>
          <xdr:colOff>76200</xdr:colOff>
          <xdr:row>145</xdr:row>
          <xdr:rowOff>31750</xdr:rowOff>
        </xdr:to>
        <xdr:sp macro="" textlink="">
          <xdr:nvSpPr>
            <xdr:cNvPr id="489492" name="Object 20" hidden="1">
              <a:extLst>
                <a:ext uri="{63B3BB69-23CF-44E3-9099-C40C66FF867C}">
                  <a14:compatExt spid="_x0000_s489492"/>
                </a:ext>
                <a:ext uri="{FF2B5EF4-FFF2-40B4-BE49-F238E27FC236}">
                  <a16:creationId xmlns:a16="http://schemas.microsoft.com/office/drawing/2014/main" id="{00000000-0008-0000-0400-000014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622300</xdr:colOff>
          <xdr:row>144</xdr:row>
          <xdr:rowOff>336550</xdr:rowOff>
        </xdr:from>
        <xdr:to>
          <xdr:col>5</xdr:col>
          <xdr:colOff>19050</xdr:colOff>
          <xdr:row>146</xdr:row>
          <xdr:rowOff>31750</xdr:rowOff>
        </xdr:to>
        <xdr:sp macro="" textlink="">
          <xdr:nvSpPr>
            <xdr:cNvPr id="489493" name="Object 21" hidden="1">
              <a:extLst>
                <a:ext uri="{63B3BB69-23CF-44E3-9099-C40C66FF867C}">
                  <a14:compatExt spid="_x0000_s489493"/>
                </a:ext>
                <a:ext uri="{FF2B5EF4-FFF2-40B4-BE49-F238E27FC236}">
                  <a16:creationId xmlns:a16="http://schemas.microsoft.com/office/drawing/2014/main" id="{00000000-0008-0000-0400-000015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186</xdr:row>
      <xdr:rowOff>0</xdr:rowOff>
    </xdr:from>
    <xdr:to>
      <xdr:col>9</xdr:col>
      <xdr:colOff>304800</xdr:colOff>
      <xdr:row>186</xdr:row>
      <xdr:rowOff>0</xdr:rowOff>
    </xdr:to>
    <xdr:grpSp>
      <xdr:nvGrpSpPr>
        <xdr:cNvPr id="2" name="Group 9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/>
        </xdr:cNvGrpSpPr>
      </xdr:nvGrpSpPr>
      <xdr:grpSpPr bwMode="auto">
        <a:xfrm>
          <a:off x="4587875" y="41643300"/>
          <a:ext cx="2092325" cy="0"/>
          <a:chOff x="497" y="3068"/>
          <a:chExt cx="140" cy="102"/>
        </a:xfrm>
      </xdr:grpSpPr>
      <xdr:sp macro="" textlink="">
        <xdr:nvSpPr>
          <xdr:cNvPr id="3" name="Line 1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20"/>
            <a:ext cx="0" cy="4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1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119"/>
            <a:ext cx="0" cy="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1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518" y="3120"/>
            <a:ext cx="112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1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67"/>
            <a:ext cx="112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1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69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5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068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74"/>
            <a:ext cx="113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497" y="3120"/>
            <a:ext cx="1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498" y="3167"/>
            <a:ext cx="2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9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505" y="3117"/>
            <a:ext cx="0" cy="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3" name="Group 20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GrpSpPr>
            <a:grpSpLocks/>
          </xdr:cNvGrpSpPr>
        </xdr:nvGrpSpPr>
        <xdr:grpSpPr bwMode="auto">
          <a:xfrm>
            <a:off x="531" y="3115"/>
            <a:ext cx="10" cy="6"/>
            <a:chOff x="545" y="3239"/>
            <a:chExt cx="10" cy="6"/>
          </a:xfrm>
        </xdr:grpSpPr>
        <xdr:sp macro="" textlink="">
          <xdr:nvSpPr>
            <xdr:cNvPr id="50" name="Line 21">
              <a:extLst>
                <a:ext uri="{FF2B5EF4-FFF2-40B4-BE49-F238E27FC236}">
                  <a16:creationId xmlns:a16="http://schemas.microsoft.com/office/drawing/2014/main" id="{00000000-0008-0000-0500-00003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" name="Line 22">
              <a:extLst>
                <a:ext uri="{FF2B5EF4-FFF2-40B4-BE49-F238E27FC236}">
                  <a16:creationId xmlns:a16="http://schemas.microsoft.com/office/drawing/2014/main" id="{00000000-0008-0000-05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4" name="Group 2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GrpSpPr>
            <a:grpSpLocks/>
          </xdr:cNvGrpSpPr>
        </xdr:nvGrpSpPr>
        <xdr:grpSpPr bwMode="auto">
          <a:xfrm>
            <a:off x="515" y="3114"/>
            <a:ext cx="10" cy="6"/>
            <a:chOff x="545" y="3239"/>
            <a:chExt cx="10" cy="6"/>
          </a:xfrm>
        </xdr:grpSpPr>
        <xdr:sp macro="" textlink="">
          <xdr:nvSpPr>
            <xdr:cNvPr id="48" name="Line 24">
              <a:extLst>
                <a:ext uri="{FF2B5EF4-FFF2-40B4-BE49-F238E27FC236}">
                  <a16:creationId xmlns:a16="http://schemas.microsoft.com/office/drawing/2014/main" id="{00000000-0008-0000-0500-00003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" name="Line 25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5" name="Group 26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GrpSpPr>
            <a:grpSpLocks/>
          </xdr:cNvGrpSpPr>
        </xdr:nvGrpSpPr>
        <xdr:grpSpPr bwMode="auto">
          <a:xfrm>
            <a:off x="548" y="3115"/>
            <a:ext cx="10" cy="6"/>
            <a:chOff x="545" y="3239"/>
            <a:chExt cx="10" cy="6"/>
          </a:xfrm>
        </xdr:grpSpPr>
        <xdr:sp macro="" textlink="">
          <xdr:nvSpPr>
            <xdr:cNvPr id="46" name="Line 27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" name="Line 28">
              <a:extLst>
                <a:ext uri="{FF2B5EF4-FFF2-40B4-BE49-F238E27FC236}">
                  <a16:creationId xmlns:a16="http://schemas.microsoft.com/office/drawing/2014/main" id="{00000000-0008-0000-05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6" name="Group 29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GrpSpPr>
            <a:grpSpLocks/>
          </xdr:cNvGrpSpPr>
        </xdr:nvGrpSpPr>
        <xdr:grpSpPr bwMode="auto">
          <a:xfrm>
            <a:off x="564" y="3113"/>
            <a:ext cx="10" cy="6"/>
            <a:chOff x="545" y="3239"/>
            <a:chExt cx="10" cy="6"/>
          </a:xfrm>
        </xdr:grpSpPr>
        <xdr:sp macro="" textlink="">
          <xdr:nvSpPr>
            <xdr:cNvPr id="44" name="Line 30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5" name="Line 31">
              <a:extLst>
                <a:ext uri="{FF2B5EF4-FFF2-40B4-BE49-F238E27FC236}">
                  <a16:creationId xmlns:a16="http://schemas.microsoft.com/office/drawing/2014/main" id="{00000000-0008-0000-05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7" name="Group 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GrpSpPr>
            <a:grpSpLocks/>
          </xdr:cNvGrpSpPr>
        </xdr:nvGrpSpPr>
        <xdr:grpSpPr bwMode="auto">
          <a:xfrm>
            <a:off x="584" y="3113"/>
            <a:ext cx="10" cy="6"/>
            <a:chOff x="545" y="3239"/>
            <a:chExt cx="10" cy="6"/>
          </a:xfrm>
        </xdr:grpSpPr>
        <xdr:sp macro="" textlink="">
          <xdr:nvSpPr>
            <xdr:cNvPr id="42" name="Line 33">
              <a:extLst>
                <a:ext uri="{FF2B5EF4-FFF2-40B4-BE49-F238E27FC236}">
                  <a16:creationId xmlns:a16="http://schemas.microsoft.com/office/drawing/2014/main" id="{00000000-0008-0000-0500-00002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3" name="Line 34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8" name="Group 35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GrpSpPr>
            <a:grpSpLocks/>
          </xdr:cNvGrpSpPr>
        </xdr:nvGrpSpPr>
        <xdr:grpSpPr bwMode="auto">
          <a:xfrm>
            <a:off x="600" y="3114"/>
            <a:ext cx="10" cy="6"/>
            <a:chOff x="545" y="3239"/>
            <a:chExt cx="10" cy="6"/>
          </a:xfrm>
        </xdr:grpSpPr>
        <xdr:sp macro="" textlink="">
          <xdr:nvSpPr>
            <xdr:cNvPr id="40" name="Line 36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" name="Line 37">
              <a:extLst>
                <a:ext uri="{FF2B5EF4-FFF2-40B4-BE49-F238E27FC236}">
                  <a16:creationId xmlns:a16="http://schemas.microsoft.com/office/drawing/2014/main" id="{00000000-0008-0000-0500-00002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9" name="Group 3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pSpPr>
            <a:grpSpLocks/>
          </xdr:cNvGrpSpPr>
        </xdr:nvGrpSpPr>
        <xdr:grpSpPr bwMode="auto">
          <a:xfrm>
            <a:off x="617" y="3113"/>
            <a:ext cx="10" cy="6"/>
            <a:chOff x="545" y="3239"/>
            <a:chExt cx="10" cy="6"/>
          </a:xfrm>
        </xdr:grpSpPr>
        <xdr:sp macro="" textlink="">
          <xdr:nvSpPr>
            <xdr:cNvPr id="38" name="Line 39"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" name="Line 40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0" name="Group 41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pSpPr>
            <a:grpSpLocks/>
          </xdr:cNvGrpSpPr>
        </xdr:nvGrpSpPr>
        <xdr:grpSpPr bwMode="auto">
          <a:xfrm>
            <a:off x="630" y="3123"/>
            <a:ext cx="7" cy="9"/>
            <a:chOff x="653" y="3197"/>
            <a:chExt cx="7" cy="9"/>
          </a:xfrm>
        </xdr:grpSpPr>
        <xdr:sp macro="" textlink="">
          <xdr:nvSpPr>
            <xdr:cNvPr id="36" name="Line 42"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" name="Line 43"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1" name="Group 4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GrpSpPr>
            <a:grpSpLocks/>
          </xdr:cNvGrpSpPr>
        </xdr:nvGrpSpPr>
        <xdr:grpSpPr bwMode="auto">
          <a:xfrm>
            <a:off x="629" y="3140"/>
            <a:ext cx="7" cy="9"/>
            <a:chOff x="653" y="3197"/>
            <a:chExt cx="7" cy="9"/>
          </a:xfrm>
        </xdr:grpSpPr>
        <xdr:sp macro="" textlink="">
          <xdr:nvSpPr>
            <xdr:cNvPr id="34" name="Line 45"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5" name="Line 46"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2" name="Group 47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GrpSpPr>
            <a:grpSpLocks/>
          </xdr:cNvGrpSpPr>
        </xdr:nvGrpSpPr>
        <xdr:grpSpPr bwMode="auto">
          <a:xfrm>
            <a:off x="629" y="3158"/>
            <a:ext cx="7" cy="9"/>
            <a:chOff x="653" y="3197"/>
            <a:chExt cx="7" cy="9"/>
          </a:xfrm>
        </xdr:grpSpPr>
        <xdr:sp macro="" textlink="">
          <xdr:nvSpPr>
            <xdr:cNvPr id="32" name="Line 48"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3" name="Line 49"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3" name="Group 50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GrpSpPr>
            <a:grpSpLocks/>
          </xdr:cNvGrpSpPr>
        </xdr:nvGrpSpPr>
        <xdr:grpSpPr bwMode="auto">
          <a:xfrm>
            <a:off x="511" y="3140"/>
            <a:ext cx="7" cy="9"/>
            <a:chOff x="653" y="3197"/>
            <a:chExt cx="7" cy="9"/>
          </a:xfrm>
        </xdr:grpSpPr>
        <xdr:sp macro="" textlink="">
          <xdr:nvSpPr>
            <xdr:cNvPr id="30" name="Line 51"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52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4" name="Group 5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GrpSpPr>
            <a:grpSpLocks/>
          </xdr:cNvGrpSpPr>
        </xdr:nvGrpSpPr>
        <xdr:grpSpPr bwMode="auto">
          <a:xfrm>
            <a:off x="511" y="3121"/>
            <a:ext cx="7" cy="9"/>
            <a:chOff x="653" y="3197"/>
            <a:chExt cx="7" cy="9"/>
          </a:xfrm>
        </xdr:grpSpPr>
        <xdr:sp macro="" textlink="">
          <xdr:nvSpPr>
            <xdr:cNvPr id="28" name="Line 54"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55"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5" name="Group 56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GrpSpPr>
            <a:grpSpLocks/>
          </xdr:cNvGrpSpPr>
        </xdr:nvGrpSpPr>
        <xdr:grpSpPr bwMode="auto">
          <a:xfrm>
            <a:off x="511" y="3158"/>
            <a:ext cx="7" cy="9"/>
            <a:chOff x="653" y="3197"/>
            <a:chExt cx="7" cy="9"/>
          </a:xfrm>
        </xdr:grpSpPr>
        <xdr:sp macro="" textlink="">
          <xdr:nvSpPr>
            <xdr:cNvPr id="26" name="Line 57">
              <a:extLst>
                <a:ext uri="{FF2B5EF4-FFF2-40B4-BE49-F238E27FC236}">
                  <a16:creationId xmlns:a16="http://schemas.microsoft.com/office/drawing/2014/main" id="{00000000-0008-0000-0500-00001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58">
              <a:extLst>
                <a:ext uri="{FF2B5EF4-FFF2-40B4-BE49-F238E27FC236}">
                  <a16:creationId xmlns:a16="http://schemas.microsoft.com/office/drawing/2014/main" id="{00000000-0008-0000-0500-00001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7</xdr:col>
      <xdr:colOff>238125</xdr:colOff>
      <xdr:row>186</xdr:row>
      <xdr:rowOff>0</xdr:rowOff>
    </xdr:from>
    <xdr:to>
      <xdr:col>9</xdr:col>
      <xdr:colOff>219075</xdr:colOff>
      <xdr:row>186</xdr:row>
      <xdr:rowOff>0</xdr:rowOff>
    </xdr:to>
    <xdr:grpSp>
      <xdr:nvGrpSpPr>
        <xdr:cNvPr id="52" name="Group 59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pSpPr>
          <a:grpSpLocks/>
        </xdr:cNvGrpSpPr>
      </xdr:nvGrpSpPr>
      <xdr:grpSpPr bwMode="auto">
        <a:xfrm>
          <a:off x="5210175" y="41643300"/>
          <a:ext cx="1384300" cy="0"/>
          <a:chOff x="463" y="2821"/>
          <a:chExt cx="103" cy="82"/>
        </a:xfrm>
      </xdr:grpSpPr>
      <xdr:sp macro="" textlink="">
        <xdr:nvSpPr>
          <xdr:cNvPr id="53" name="Line 60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0" cy="6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61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6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62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901"/>
            <a:ext cx="6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63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540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64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SpPr>
            <a:spLocks noChangeShapeType="1"/>
          </xdr:cNvSpPr>
        </xdr:nvSpPr>
        <xdr:spPr bwMode="auto">
          <a:xfrm>
            <a:off x="547" y="2844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65"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545" y="2901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9" name="Line 66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>
            <a:spLocks noChangeShapeType="1"/>
          </xdr:cNvSpPr>
        </xdr:nvSpPr>
        <xdr:spPr bwMode="auto">
          <a:xfrm>
            <a:off x="557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Line 67"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21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Line 68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2822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Line 69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2825"/>
            <a:ext cx="7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63" name="Group 70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GrpSpPr>
            <a:grpSpLocks/>
          </xdr:cNvGrpSpPr>
        </xdr:nvGrpSpPr>
        <xdr:grpSpPr bwMode="auto">
          <a:xfrm>
            <a:off x="530" y="2836"/>
            <a:ext cx="10" cy="6"/>
            <a:chOff x="545" y="3239"/>
            <a:chExt cx="10" cy="6"/>
          </a:xfrm>
        </xdr:grpSpPr>
        <xdr:sp macro="" textlink="">
          <xdr:nvSpPr>
            <xdr:cNvPr id="82" name="Line 71">
              <a:extLst>
                <a:ext uri="{FF2B5EF4-FFF2-40B4-BE49-F238E27FC236}">
                  <a16:creationId xmlns:a16="http://schemas.microsoft.com/office/drawing/2014/main" id="{00000000-0008-0000-0500-00005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3" name="Line 72">
              <a:extLst>
                <a:ext uri="{FF2B5EF4-FFF2-40B4-BE49-F238E27FC236}">
                  <a16:creationId xmlns:a16="http://schemas.microsoft.com/office/drawing/2014/main" id="{00000000-0008-0000-0500-00005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4" name="Group 73"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GrpSpPr>
            <a:grpSpLocks/>
          </xdr:cNvGrpSpPr>
        </xdr:nvGrpSpPr>
        <xdr:grpSpPr bwMode="auto">
          <a:xfrm>
            <a:off x="463" y="2868"/>
            <a:ext cx="7" cy="9"/>
            <a:chOff x="653" y="3197"/>
            <a:chExt cx="7" cy="9"/>
          </a:xfrm>
        </xdr:grpSpPr>
        <xdr:sp macro="" textlink="">
          <xdr:nvSpPr>
            <xdr:cNvPr id="80" name="Line 74">
              <a:extLst>
                <a:ext uri="{FF2B5EF4-FFF2-40B4-BE49-F238E27FC236}">
                  <a16:creationId xmlns:a16="http://schemas.microsoft.com/office/drawing/2014/main" id="{00000000-0008-0000-0500-00005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1" name="Line 75">
              <a:extLst>
                <a:ext uri="{FF2B5EF4-FFF2-40B4-BE49-F238E27FC236}">
                  <a16:creationId xmlns:a16="http://schemas.microsoft.com/office/drawing/2014/main" id="{00000000-0008-0000-0500-00005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5" name="Group 76"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GrpSpPr>
            <a:grpSpLocks/>
          </xdr:cNvGrpSpPr>
        </xdr:nvGrpSpPr>
        <xdr:grpSpPr bwMode="auto">
          <a:xfrm>
            <a:off x="464" y="2846"/>
            <a:ext cx="7" cy="9"/>
            <a:chOff x="653" y="3197"/>
            <a:chExt cx="7" cy="9"/>
          </a:xfrm>
        </xdr:grpSpPr>
        <xdr:sp macro="" textlink="">
          <xdr:nvSpPr>
            <xdr:cNvPr id="78" name="Line 77">
              <a:extLst>
                <a:ext uri="{FF2B5EF4-FFF2-40B4-BE49-F238E27FC236}">
                  <a16:creationId xmlns:a16="http://schemas.microsoft.com/office/drawing/2014/main" id="{00000000-0008-0000-0500-00004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9" name="Line 78">
              <a:extLst>
                <a:ext uri="{FF2B5EF4-FFF2-40B4-BE49-F238E27FC236}">
                  <a16:creationId xmlns:a16="http://schemas.microsoft.com/office/drawing/2014/main" id="{00000000-0008-0000-0500-00004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6" name="Group 79"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GrpSpPr>
            <a:grpSpLocks/>
          </xdr:cNvGrpSpPr>
        </xdr:nvGrpSpPr>
        <xdr:grpSpPr bwMode="auto">
          <a:xfrm>
            <a:off x="463" y="2892"/>
            <a:ext cx="7" cy="9"/>
            <a:chOff x="653" y="3197"/>
            <a:chExt cx="7" cy="9"/>
          </a:xfrm>
        </xdr:grpSpPr>
        <xdr:sp macro="" textlink="">
          <xdr:nvSpPr>
            <xdr:cNvPr id="76" name="Line 80">
              <a:extLst>
                <a:ext uri="{FF2B5EF4-FFF2-40B4-BE49-F238E27FC236}">
                  <a16:creationId xmlns:a16="http://schemas.microsoft.com/office/drawing/2014/main" id="{00000000-0008-0000-05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7" name="Line 81">
              <a:extLst>
                <a:ext uri="{FF2B5EF4-FFF2-40B4-BE49-F238E27FC236}">
                  <a16:creationId xmlns:a16="http://schemas.microsoft.com/office/drawing/2014/main" id="{00000000-0008-0000-0500-00004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7" name="Group 82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GrpSpPr>
            <a:grpSpLocks/>
          </xdr:cNvGrpSpPr>
        </xdr:nvGrpSpPr>
        <xdr:grpSpPr bwMode="auto">
          <a:xfrm>
            <a:off x="511" y="2837"/>
            <a:ext cx="10" cy="6"/>
            <a:chOff x="545" y="3239"/>
            <a:chExt cx="10" cy="6"/>
          </a:xfrm>
        </xdr:grpSpPr>
        <xdr:sp macro="" textlink="">
          <xdr:nvSpPr>
            <xdr:cNvPr id="74" name="Line 83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5" name="Line 84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8" name="Group 85"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GrpSpPr>
            <a:grpSpLocks/>
          </xdr:cNvGrpSpPr>
        </xdr:nvGrpSpPr>
        <xdr:grpSpPr bwMode="auto">
          <a:xfrm>
            <a:off x="474" y="2837"/>
            <a:ext cx="10" cy="6"/>
            <a:chOff x="545" y="3239"/>
            <a:chExt cx="10" cy="6"/>
          </a:xfrm>
        </xdr:grpSpPr>
        <xdr:sp macro="" textlink="">
          <xdr:nvSpPr>
            <xdr:cNvPr id="72" name="Line 86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" name="Line 87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9" name="Group 8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GrpSpPr>
            <a:grpSpLocks/>
          </xdr:cNvGrpSpPr>
        </xdr:nvGrpSpPr>
        <xdr:grpSpPr bwMode="auto">
          <a:xfrm>
            <a:off x="492" y="2836"/>
            <a:ext cx="10" cy="6"/>
            <a:chOff x="545" y="3239"/>
            <a:chExt cx="10" cy="6"/>
          </a:xfrm>
        </xdr:grpSpPr>
        <xdr:sp macro="" textlink="">
          <xdr:nvSpPr>
            <xdr:cNvPr id="70" name="Line 89">
              <a:extLst>
                <a:ext uri="{FF2B5EF4-FFF2-40B4-BE49-F238E27FC236}">
                  <a16:creationId xmlns:a16="http://schemas.microsoft.com/office/drawing/2014/main" id="{00000000-0008-0000-0500-00004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1" name="Line 90">
              <a:extLst>
                <a:ext uri="{FF2B5EF4-FFF2-40B4-BE49-F238E27FC236}">
                  <a16:creationId xmlns:a16="http://schemas.microsoft.com/office/drawing/2014/main" id="{00000000-0008-0000-0500-00004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647700</xdr:colOff>
      <xdr:row>186</xdr:row>
      <xdr:rowOff>0</xdr:rowOff>
    </xdr:from>
    <xdr:to>
      <xdr:col>9</xdr:col>
      <xdr:colOff>28575</xdr:colOff>
      <xdr:row>186</xdr:row>
      <xdr:rowOff>0</xdr:rowOff>
    </xdr:to>
    <xdr:grpSp>
      <xdr:nvGrpSpPr>
        <xdr:cNvPr id="121" name="Group 174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GrpSpPr>
          <a:grpSpLocks/>
        </xdr:cNvGrpSpPr>
      </xdr:nvGrpSpPr>
      <xdr:grpSpPr bwMode="auto">
        <a:xfrm>
          <a:off x="647700" y="41643300"/>
          <a:ext cx="5756275" cy="0"/>
          <a:chOff x="67" y="3604"/>
          <a:chExt cx="476" cy="354"/>
        </a:xfrm>
      </xdr:grpSpPr>
      <xdr:sp macro="" textlink="">
        <xdr:nvSpPr>
          <xdr:cNvPr id="122" name="Rectangle 175">
            <a:extLst>
              <a:ext uri="{FF2B5EF4-FFF2-40B4-BE49-F238E27FC236}">
                <a16:creationId xmlns:a16="http://schemas.microsoft.com/office/drawing/2014/main" id="{00000000-0008-0000-0500-00007A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09"/>
            <a:ext cx="336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3" name="Rectangle 176">
            <a:extLst>
              <a:ext uri="{FF2B5EF4-FFF2-40B4-BE49-F238E27FC236}">
                <a16:creationId xmlns:a16="http://schemas.microsoft.com/office/drawing/2014/main" id="{00000000-0008-0000-0500-00007B000000}"/>
              </a:ext>
            </a:extLst>
          </xdr:cNvPr>
          <xdr:cNvSpPr>
            <a:spLocks noChangeArrowheads="1"/>
          </xdr:cNvSpPr>
        </xdr:nvSpPr>
        <xdr:spPr bwMode="auto">
          <a:xfrm>
            <a:off x="147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4" name="Rectangle 177">
            <a:extLst>
              <a:ext uri="{FF2B5EF4-FFF2-40B4-BE49-F238E27FC236}">
                <a16:creationId xmlns:a16="http://schemas.microsoft.com/office/drawing/2014/main" id="{00000000-0008-0000-0500-00007C000000}"/>
              </a:ext>
            </a:extLst>
          </xdr:cNvPr>
          <xdr:cNvSpPr>
            <a:spLocks noChangeArrowheads="1"/>
          </xdr:cNvSpPr>
        </xdr:nvSpPr>
        <xdr:spPr bwMode="auto">
          <a:xfrm>
            <a:off x="302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5" name="Rectangle 178">
            <a:extLst>
              <a:ext uri="{FF2B5EF4-FFF2-40B4-BE49-F238E27FC236}">
                <a16:creationId xmlns:a16="http://schemas.microsoft.com/office/drawing/2014/main" id="{00000000-0008-0000-0500-00007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854"/>
            <a:ext cx="33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6" name="Rectangle 179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88"/>
            <a:ext cx="33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7" name="Rectangle 180">
            <a:extLst>
              <a:ext uri="{FF2B5EF4-FFF2-40B4-BE49-F238E27FC236}">
                <a16:creationId xmlns:a16="http://schemas.microsoft.com/office/drawing/2014/main" id="{00000000-0008-0000-0500-00007F000000}"/>
              </a:ext>
            </a:extLst>
          </xdr:cNvPr>
          <xdr:cNvSpPr>
            <a:spLocks noChangeArrowheads="1"/>
          </xdr:cNvSpPr>
        </xdr:nvSpPr>
        <xdr:spPr bwMode="auto">
          <a:xfrm>
            <a:off x="207" y="3749"/>
            <a:ext cx="61" cy="62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8" name="Line 181">
            <a:extLst>
              <a:ext uri="{FF2B5EF4-FFF2-40B4-BE49-F238E27FC236}">
                <a16:creationId xmlns:a16="http://schemas.microsoft.com/office/drawing/2014/main" id="{00000000-0008-0000-0500-000080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875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9" name="Line 182">
            <a:extLst>
              <a:ext uri="{FF2B5EF4-FFF2-40B4-BE49-F238E27FC236}">
                <a16:creationId xmlns:a16="http://schemas.microsoft.com/office/drawing/2014/main" id="{00000000-0008-0000-0500-000081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4" y="3785"/>
            <a:ext cx="79" cy="7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0" name="Line 183">
            <a:extLst>
              <a:ext uri="{FF2B5EF4-FFF2-40B4-BE49-F238E27FC236}">
                <a16:creationId xmlns:a16="http://schemas.microsoft.com/office/drawing/2014/main" id="{00000000-0008-0000-0500-000082000000}"/>
              </a:ext>
            </a:extLst>
          </xdr:cNvPr>
          <xdr:cNvSpPr>
            <a:spLocks noChangeShapeType="1"/>
          </xdr:cNvSpPr>
        </xdr:nvSpPr>
        <xdr:spPr bwMode="auto">
          <a:xfrm>
            <a:off x="267" y="3811"/>
            <a:ext cx="36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1" name="Line 184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7" y="3877"/>
            <a:ext cx="56" cy="8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2" name="Line 185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" y="3709"/>
            <a:ext cx="34" cy="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3" name="Line 186">
            <a:extLst>
              <a:ext uri="{FF2B5EF4-FFF2-40B4-BE49-F238E27FC236}">
                <a16:creationId xmlns:a16="http://schemas.microsoft.com/office/drawing/2014/main" id="{00000000-0008-0000-0500-000085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708"/>
            <a:ext cx="79" cy="6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4" name="Line 187">
            <a:extLst>
              <a:ext uri="{FF2B5EF4-FFF2-40B4-BE49-F238E27FC236}">
                <a16:creationId xmlns:a16="http://schemas.microsoft.com/office/drawing/2014/main" id="{00000000-0008-0000-0500-00008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3" y="3608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5" name="Line 188">
            <a:extLst>
              <a:ext uri="{FF2B5EF4-FFF2-40B4-BE49-F238E27FC236}">
                <a16:creationId xmlns:a16="http://schemas.microsoft.com/office/drawing/2014/main" id="{00000000-0008-0000-0500-000087000000}"/>
              </a:ext>
            </a:extLst>
          </xdr:cNvPr>
          <xdr:cNvSpPr>
            <a:spLocks noChangeShapeType="1"/>
          </xdr:cNvSpPr>
        </xdr:nvSpPr>
        <xdr:spPr bwMode="auto">
          <a:xfrm>
            <a:off x="236" y="3609"/>
            <a:ext cx="67" cy="8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6" name="Line 189">
            <a:extLst>
              <a:ext uri="{FF2B5EF4-FFF2-40B4-BE49-F238E27FC236}">
                <a16:creationId xmlns:a16="http://schemas.microsoft.com/office/drawing/2014/main" id="{00000000-0008-0000-0500-000088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3604"/>
            <a:ext cx="0" cy="35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7" name="Line 190">
            <a:extLst>
              <a:ext uri="{FF2B5EF4-FFF2-40B4-BE49-F238E27FC236}">
                <a16:creationId xmlns:a16="http://schemas.microsoft.com/office/drawing/2014/main" id="{00000000-0008-0000-0500-000089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958"/>
            <a:ext cx="7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8" name="Line 191">
            <a:extLst>
              <a:ext uri="{FF2B5EF4-FFF2-40B4-BE49-F238E27FC236}">
                <a16:creationId xmlns:a16="http://schemas.microsoft.com/office/drawing/2014/main" id="{00000000-0008-0000-0500-00008A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4" y="3865"/>
            <a:ext cx="66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9" name="Line 192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90"/>
            <a:ext cx="7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0" name="Line 193">
            <a:extLst>
              <a:ext uri="{FF2B5EF4-FFF2-40B4-BE49-F238E27FC236}">
                <a16:creationId xmlns:a16="http://schemas.microsoft.com/office/drawing/2014/main" id="{00000000-0008-0000-0500-00008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0" y="3699"/>
            <a:ext cx="70" cy="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1" name="Line 194">
            <a:extLst>
              <a:ext uri="{FF2B5EF4-FFF2-40B4-BE49-F238E27FC236}">
                <a16:creationId xmlns:a16="http://schemas.microsoft.com/office/drawing/2014/main" id="{00000000-0008-0000-0500-00008D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2" name="Line 195">
            <a:extLst>
              <a:ext uri="{FF2B5EF4-FFF2-40B4-BE49-F238E27FC236}">
                <a16:creationId xmlns:a16="http://schemas.microsoft.com/office/drawing/2014/main" id="{00000000-0008-0000-0500-00008E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3" name="Line 196">
            <a:extLst>
              <a:ext uri="{FF2B5EF4-FFF2-40B4-BE49-F238E27FC236}">
                <a16:creationId xmlns:a16="http://schemas.microsoft.com/office/drawing/2014/main" id="{00000000-0008-0000-0500-00008F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68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4" name="Rectangle 197">
            <a:extLst>
              <a:ext uri="{FF2B5EF4-FFF2-40B4-BE49-F238E27FC236}">
                <a16:creationId xmlns:a16="http://schemas.microsoft.com/office/drawing/2014/main" id="{00000000-0008-0000-0500-000090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680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" name="Rectangle 198">
            <a:extLst>
              <a:ext uri="{FF2B5EF4-FFF2-40B4-BE49-F238E27FC236}">
                <a16:creationId xmlns:a16="http://schemas.microsoft.com/office/drawing/2014/main" id="{00000000-0008-0000-0500-000091000000}"/>
              </a:ext>
            </a:extLst>
          </xdr:cNvPr>
          <xdr:cNvSpPr>
            <a:spLocks noChangeArrowheads="1"/>
          </xdr:cNvSpPr>
        </xdr:nvSpPr>
        <xdr:spPr bwMode="auto">
          <a:xfrm>
            <a:off x="294" y="3679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6" name="Rectangle 199">
            <a:extLst>
              <a:ext uri="{FF2B5EF4-FFF2-40B4-BE49-F238E27FC236}">
                <a16:creationId xmlns:a16="http://schemas.microsoft.com/office/drawing/2014/main" id="{00000000-0008-0000-0500-000092000000}"/>
              </a:ext>
            </a:extLst>
          </xdr:cNvPr>
          <xdr:cNvSpPr>
            <a:spLocks noChangeArrowheads="1"/>
          </xdr:cNvSpPr>
        </xdr:nvSpPr>
        <xdr:spPr bwMode="auto">
          <a:xfrm>
            <a:off x="292" y="3845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7" name="Rectangle 200">
            <a:extLst>
              <a:ext uri="{FF2B5EF4-FFF2-40B4-BE49-F238E27FC236}">
                <a16:creationId xmlns:a16="http://schemas.microsoft.com/office/drawing/2014/main" id="{00000000-0008-0000-0500-000093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844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186</xdr:row>
      <xdr:rowOff>0</xdr:rowOff>
    </xdr:from>
    <xdr:to>
      <xdr:col>9</xdr:col>
      <xdr:colOff>9525</xdr:colOff>
      <xdr:row>186</xdr:row>
      <xdr:rowOff>0</xdr:rowOff>
    </xdr:to>
    <xdr:grpSp>
      <xdr:nvGrpSpPr>
        <xdr:cNvPr id="148" name="Group 201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GrpSpPr>
          <a:grpSpLocks/>
        </xdr:cNvGrpSpPr>
      </xdr:nvGrpSpPr>
      <xdr:grpSpPr bwMode="auto">
        <a:xfrm>
          <a:off x="736600" y="41643300"/>
          <a:ext cx="5648325" cy="0"/>
          <a:chOff x="68" y="2526"/>
          <a:chExt cx="446" cy="100"/>
        </a:xfrm>
      </xdr:grpSpPr>
      <xdr:sp macro="" textlink="">
        <xdr:nvSpPr>
          <xdr:cNvPr id="149" name="Line 202">
            <a:extLst>
              <a:ext uri="{FF2B5EF4-FFF2-40B4-BE49-F238E27FC236}">
                <a16:creationId xmlns:a16="http://schemas.microsoft.com/office/drawing/2014/main" id="{00000000-0008-0000-0500-000095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64"/>
            <a:ext cx="44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0" name="Line 203">
            <a:extLst>
              <a:ext uri="{FF2B5EF4-FFF2-40B4-BE49-F238E27FC236}">
                <a16:creationId xmlns:a16="http://schemas.microsoft.com/office/drawing/2014/main" id="{00000000-0008-0000-0500-000096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47"/>
            <a:ext cx="0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1" name="Line 204">
            <a:extLst>
              <a:ext uri="{FF2B5EF4-FFF2-40B4-BE49-F238E27FC236}">
                <a16:creationId xmlns:a16="http://schemas.microsoft.com/office/drawing/2014/main" id="{00000000-0008-0000-0500-000097000000}"/>
              </a:ext>
            </a:extLst>
          </xdr:cNvPr>
          <xdr:cNvSpPr>
            <a:spLocks noChangeShapeType="1"/>
          </xdr:cNvSpPr>
        </xdr:nvSpPr>
        <xdr:spPr bwMode="auto">
          <a:xfrm>
            <a:off x="513" y="256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2" name="Line 205">
            <a:extLst>
              <a:ext uri="{FF2B5EF4-FFF2-40B4-BE49-F238E27FC236}">
                <a16:creationId xmlns:a16="http://schemas.microsoft.com/office/drawing/2014/main" id="{00000000-0008-0000-0500-000098000000}"/>
              </a:ext>
            </a:extLst>
          </xdr:cNvPr>
          <xdr:cNvSpPr>
            <a:spLocks noChangeShapeType="1"/>
          </xdr:cNvSpPr>
        </xdr:nvSpPr>
        <xdr:spPr bwMode="auto">
          <a:xfrm>
            <a:off x="70" y="2546"/>
            <a:ext cx="442" cy="4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" name="Line 206">
            <a:extLst>
              <a:ext uri="{FF2B5EF4-FFF2-40B4-BE49-F238E27FC236}">
                <a16:creationId xmlns:a16="http://schemas.microsoft.com/office/drawing/2014/main" id="{00000000-0008-0000-0500-000099000000}"/>
              </a:ext>
            </a:extLst>
          </xdr:cNvPr>
          <xdr:cNvSpPr>
            <a:spLocks noChangeShapeType="1"/>
          </xdr:cNvSpPr>
        </xdr:nvSpPr>
        <xdr:spPr bwMode="auto">
          <a:xfrm>
            <a:off x="139" y="2555"/>
            <a:ext cx="0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" name="Line 207">
            <a:extLst>
              <a:ext uri="{FF2B5EF4-FFF2-40B4-BE49-F238E27FC236}">
                <a16:creationId xmlns:a16="http://schemas.microsoft.com/office/drawing/2014/main" id="{00000000-0008-0000-0500-00009A000000}"/>
              </a:ext>
            </a:extLst>
          </xdr:cNvPr>
          <xdr:cNvSpPr>
            <a:spLocks noChangeShapeType="1"/>
          </xdr:cNvSpPr>
        </xdr:nvSpPr>
        <xdr:spPr bwMode="auto">
          <a:xfrm>
            <a:off x="158" y="2556"/>
            <a:ext cx="0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5" name="Line 208">
            <a:extLst>
              <a:ext uri="{FF2B5EF4-FFF2-40B4-BE49-F238E27FC236}">
                <a16:creationId xmlns:a16="http://schemas.microsoft.com/office/drawing/2014/main" id="{00000000-0008-0000-0500-00009B000000}"/>
              </a:ext>
            </a:extLst>
          </xdr:cNvPr>
          <xdr:cNvSpPr>
            <a:spLocks noChangeShapeType="1"/>
          </xdr:cNvSpPr>
        </xdr:nvSpPr>
        <xdr:spPr bwMode="auto">
          <a:xfrm>
            <a:off x="391" y="2563"/>
            <a:ext cx="0" cy="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209">
            <a:extLst>
              <a:ext uri="{FF2B5EF4-FFF2-40B4-BE49-F238E27FC236}">
                <a16:creationId xmlns:a16="http://schemas.microsoft.com/office/drawing/2014/main" id="{00000000-0008-0000-0500-00009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4" y="2563"/>
            <a:ext cx="1" cy="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210">
            <a:extLst>
              <a:ext uri="{FF2B5EF4-FFF2-40B4-BE49-F238E27FC236}">
                <a16:creationId xmlns:a16="http://schemas.microsoft.com/office/drawing/2014/main" id="{00000000-0008-0000-05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288" y="2526"/>
            <a:ext cx="0" cy="7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8" name="Line 211">
            <a:extLst>
              <a:ext uri="{FF2B5EF4-FFF2-40B4-BE49-F238E27FC236}">
                <a16:creationId xmlns:a16="http://schemas.microsoft.com/office/drawing/2014/main" id="{00000000-0008-0000-0500-00009E000000}"/>
              </a:ext>
            </a:extLst>
          </xdr:cNvPr>
          <xdr:cNvSpPr>
            <a:spLocks noChangeShapeType="1"/>
          </xdr:cNvSpPr>
        </xdr:nvSpPr>
        <xdr:spPr bwMode="auto">
          <a:xfrm>
            <a:off x="68" y="2626"/>
            <a:ext cx="4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9" name="Line 212">
            <a:extLst>
              <a:ext uri="{FF2B5EF4-FFF2-40B4-BE49-F238E27FC236}">
                <a16:creationId xmlns:a16="http://schemas.microsoft.com/office/drawing/2014/main" id="{00000000-0008-0000-05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609"/>
            <a:ext cx="28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0" name="Line 213">
            <a:extLst>
              <a:ext uri="{FF2B5EF4-FFF2-40B4-BE49-F238E27FC236}">
                <a16:creationId xmlns:a16="http://schemas.microsoft.com/office/drawing/2014/main" id="{00000000-0008-0000-0500-0000A0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594"/>
            <a:ext cx="5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448</xdr:row>
          <xdr:rowOff>146050</xdr:rowOff>
        </xdr:from>
        <xdr:to>
          <xdr:col>1</xdr:col>
          <xdr:colOff>641350</xdr:colOff>
          <xdr:row>450</xdr:row>
          <xdr:rowOff>19050</xdr:rowOff>
        </xdr:to>
        <xdr:sp macro="" textlink="">
          <xdr:nvSpPr>
            <xdr:cNvPr id="481281" name="Object 1" hidden="1">
              <a:extLst>
                <a:ext uri="{63B3BB69-23CF-44E3-9099-C40C66FF867C}">
                  <a14:compatExt spid="_x0000_s481281"/>
                </a:ext>
                <a:ext uri="{FF2B5EF4-FFF2-40B4-BE49-F238E27FC236}">
                  <a16:creationId xmlns:a16="http://schemas.microsoft.com/office/drawing/2014/main" id="{00000000-0008-0000-0500-000001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146050</xdr:colOff>
          <xdr:row>449</xdr:row>
          <xdr:rowOff>209550</xdr:rowOff>
        </xdr:to>
        <xdr:sp macro="" textlink="">
          <xdr:nvSpPr>
            <xdr:cNvPr id="481282" name="Object 2" hidden="1">
              <a:extLst>
                <a:ext uri="{63B3BB69-23CF-44E3-9099-C40C66FF867C}">
                  <a14:compatExt spid="_x0000_s481282"/>
                </a:ext>
                <a:ext uri="{FF2B5EF4-FFF2-40B4-BE49-F238E27FC236}">
                  <a16:creationId xmlns:a16="http://schemas.microsoft.com/office/drawing/2014/main" id="{00000000-0008-0000-0500-000002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247650</xdr:colOff>
          <xdr:row>449</xdr:row>
          <xdr:rowOff>165100</xdr:rowOff>
        </xdr:to>
        <xdr:sp macro="" textlink="">
          <xdr:nvSpPr>
            <xdr:cNvPr id="481283" name="Object 3" hidden="1">
              <a:extLst>
                <a:ext uri="{63B3BB69-23CF-44E3-9099-C40C66FF867C}">
                  <a14:compatExt spid="_x0000_s481283"/>
                </a:ext>
                <a:ext uri="{FF2B5EF4-FFF2-40B4-BE49-F238E27FC236}">
                  <a16:creationId xmlns:a16="http://schemas.microsoft.com/office/drawing/2014/main" id="{00000000-0008-0000-0500-000003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448</xdr:row>
          <xdr:rowOff>146050</xdr:rowOff>
        </xdr:from>
        <xdr:to>
          <xdr:col>6</xdr:col>
          <xdr:colOff>76200</xdr:colOff>
          <xdr:row>449</xdr:row>
          <xdr:rowOff>203200</xdr:rowOff>
        </xdr:to>
        <xdr:sp macro="" textlink="">
          <xdr:nvSpPr>
            <xdr:cNvPr id="481284" name="Object 4" hidden="1">
              <a:extLst>
                <a:ext uri="{63B3BB69-23CF-44E3-9099-C40C66FF867C}">
                  <a14:compatExt spid="_x0000_s481284"/>
                </a:ext>
                <a:ext uri="{FF2B5EF4-FFF2-40B4-BE49-F238E27FC236}">
                  <a16:creationId xmlns:a16="http://schemas.microsoft.com/office/drawing/2014/main" id="{00000000-0008-0000-0500-000004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448</xdr:row>
          <xdr:rowOff>88900</xdr:rowOff>
        </xdr:from>
        <xdr:to>
          <xdr:col>3</xdr:col>
          <xdr:colOff>361950</xdr:colOff>
          <xdr:row>450</xdr:row>
          <xdr:rowOff>95250</xdr:rowOff>
        </xdr:to>
        <xdr:sp macro="" textlink="">
          <xdr:nvSpPr>
            <xdr:cNvPr id="481285" name="Object 5" hidden="1">
              <a:extLst>
                <a:ext uri="{63B3BB69-23CF-44E3-9099-C40C66FF867C}">
                  <a14:compatExt spid="_x0000_s481285"/>
                </a:ext>
                <a:ext uri="{FF2B5EF4-FFF2-40B4-BE49-F238E27FC236}">
                  <a16:creationId xmlns:a16="http://schemas.microsoft.com/office/drawing/2014/main" id="{00000000-0008-0000-0500-000005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449</xdr:row>
          <xdr:rowOff>19050</xdr:rowOff>
        </xdr:from>
        <xdr:to>
          <xdr:col>3</xdr:col>
          <xdr:colOff>222250</xdr:colOff>
          <xdr:row>450</xdr:row>
          <xdr:rowOff>165100</xdr:rowOff>
        </xdr:to>
        <xdr:sp macro="" textlink="">
          <xdr:nvSpPr>
            <xdr:cNvPr id="481286" name="Object 6" hidden="1">
              <a:extLst>
                <a:ext uri="{63B3BB69-23CF-44E3-9099-C40C66FF867C}">
                  <a14:compatExt spid="_x0000_s481286"/>
                </a:ext>
                <a:ext uri="{FF2B5EF4-FFF2-40B4-BE49-F238E27FC236}">
                  <a16:creationId xmlns:a16="http://schemas.microsoft.com/office/drawing/2014/main" id="{00000000-0008-0000-0500-000006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133350</xdr:rowOff>
        </xdr:from>
        <xdr:to>
          <xdr:col>2</xdr:col>
          <xdr:colOff>336550</xdr:colOff>
          <xdr:row>450</xdr:row>
          <xdr:rowOff>31750</xdr:rowOff>
        </xdr:to>
        <xdr:sp macro="" textlink="">
          <xdr:nvSpPr>
            <xdr:cNvPr id="481287" name="Object 7" hidden="1">
              <a:extLst>
                <a:ext uri="{63B3BB69-23CF-44E3-9099-C40C66FF867C}">
                  <a14:compatExt spid="_x0000_s481287"/>
                </a:ext>
                <a:ext uri="{FF2B5EF4-FFF2-40B4-BE49-F238E27FC236}">
                  <a16:creationId xmlns:a16="http://schemas.microsoft.com/office/drawing/2014/main" id="{00000000-0008-0000-0500-000007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448</xdr:row>
          <xdr:rowOff>88900</xdr:rowOff>
        </xdr:from>
        <xdr:to>
          <xdr:col>4</xdr:col>
          <xdr:colOff>628650</xdr:colOff>
          <xdr:row>449</xdr:row>
          <xdr:rowOff>203200</xdr:rowOff>
        </xdr:to>
        <xdr:sp macro="" textlink="">
          <xdr:nvSpPr>
            <xdr:cNvPr id="481288" name="Object 8" hidden="1">
              <a:extLst>
                <a:ext uri="{63B3BB69-23CF-44E3-9099-C40C66FF867C}">
                  <a14:compatExt spid="_x0000_s481288"/>
                </a:ext>
                <a:ext uri="{FF2B5EF4-FFF2-40B4-BE49-F238E27FC236}">
                  <a16:creationId xmlns:a16="http://schemas.microsoft.com/office/drawing/2014/main" id="{00000000-0008-0000-0500-000008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508000</xdr:colOff>
          <xdr:row>449</xdr:row>
          <xdr:rowOff>31750</xdr:rowOff>
        </xdr:from>
        <xdr:to>
          <xdr:col>4</xdr:col>
          <xdr:colOff>622300</xdr:colOff>
          <xdr:row>450</xdr:row>
          <xdr:rowOff>88900</xdr:rowOff>
        </xdr:to>
        <xdr:sp macro="" textlink="">
          <xdr:nvSpPr>
            <xdr:cNvPr id="481289" name="Object 9" hidden="1">
              <a:extLst>
                <a:ext uri="{63B3BB69-23CF-44E3-9099-C40C66FF867C}">
                  <a14:compatExt spid="_x0000_s481289"/>
                </a:ext>
                <a:ext uri="{FF2B5EF4-FFF2-40B4-BE49-F238E27FC236}">
                  <a16:creationId xmlns:a16="http://schemas.microsoft.com/office/drawing/2014/main" id="{00000000-0008-0000-0500-000009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127000</xdr:rowOff>
        </xdr:from>
        <xdr:to>
          <xdr:col>2</xdr:col>
          <xdr:colOff>336550</xdr:colOff>
          <xdr:row>450</xdr:row>
          <xdr:rowOff>19050</xdr:rowOff>
        </xdr:to>
        <xdr:sp macro="" textlink="">
          <xdr:nvSpPr>
            <xdr:cNvPr id="481290" name="Object 10" hidden="1">
              <a:extLst>
                <a:ext uri="{63B3BB69-23CF-44E3-9099-C40C66FF867C}">
                  <a14:compatExt spid="_x0000_s481290"/>
                </a:ext>
                <a:ext uri="{FF2B5EF4-FFF2-40B4-BE49-F238E27FC236}">
                  <a16:creationId xmlns:a16="http://schemas.microsoft.com/office/drawing/2014/main" id="{00000000-0008-0000-0500-00000A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448</xdr:row>
          <xdr:rowOff>165100</xdr:rowOff>
        </xdr:from>
        <xdr:to>
          <xdr:col>6</xdr:col>
          <xdr:colOff>114300</xdr:colOff>
          <xdr:row>449</xdr:row>
          <xdr:rowOff>209550</xdr:rowOff>
        </xdr:to>
        <xdr:sp macro="" textlink="">
          <xdr:nvSpPr>
            <xdr:cNvPr id="481291" name="Object 11" hidden="1">
              <a:extLst>
                <a:ext uri="{63B3BB69-23CF-44E3-9099-C40C66FF867C}">
                  <a14:compatExt spid="_x0000_s481291"/>
                </a:ext>
                <a:ext uri="{FF2B5EF4-FFF2-40B4-BE49-F238E27FC236}">
                  <a16:creationId xmlns:a16="http://schemas.microsoft.com/office/drawing/2014/main" id="{00000000-0008-0000-0500-00000B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312</xdr:row>
          <xdr:rowOff>31750</xdr:rowOff>
        </xdr:from>
        <xdr:to>
          <xdr:col>3</xdr:col>
          <xdr:colOff>628650</xdr:colOff>
          <xdr:row>314</xdr:row>
          <xdr:rowOff>114300</xdr:rowOff>
        </xdr:to>
        <xdr:sp macro="" textlink="">
          <xdr:nvSpPr>
            <xdr:cNvPr id="481292" name="Object 12" hidden="1">
              <a:extLst>
                <a:ext uri="{63B3BB69-23CF-44E3-9099-C40C66FF867C}">
                  <a14:compatExt spid="_x0000_s481292"/>
                </a:ext>
                <a:ext uri="{FF2B5EF4-FFF2-40B4-BE49-F238E27FC236}">
                  <a16:creationId xmlns:a16="http://schemas.microsoft.com/office/drawing/2014/main" id="{00000000-0008-0000-0500-00000C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314</xdr:row>
          <xdr:rowOff>114300</xdr:rowOff>
        </xdr:from>
        <xdr:to>
          <xdr:col>3</xdr:col>
          <xdr:colOff>704850</xdr:colOff>
          <xdr:row>316</xdr:row>
          <xdr:rowOff>50800</xdr:rowOff>
        </xdr:to>
        <xdr:sp macro="" textlink="">
          <xdr:nvSpPr>
            <xdr:cNvPr id="481293" name="Object 13" hidden="1">
              <a:extLst>
                <a:ext uri="{63B3BB69-23CF-44E3-9099-C40C66FF867C}">
                  <a14:compatExt spid="_x0000_s481293"/>
                </a:ext>
                <a:ext uri="{FF2B5EF4-FFF2-40B4-BE49-F238E27FC236}">
                  <a16:creationId xmlns:a16="http://schemas.microsoft.com/office/drawing/2014/main" id="{00000000-0008-0000-0500-00000D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448</xdr:row>
          <xdr:rowOff>69850</xdr:rowOff>
        </xdr:from>
        <xdr:to>
          <xdr:col>10</xdr:col>
          <xdr:colOff>336550</xdr:colOff>
          <xdr:row>453</xdr:row>
          <xdr:rowOff>107950</xdr:rowOff>
        </xdr:to>
        <xdr:sp macro="" textlink="">
          <xdr:nvSpPr>
            <xdr:cNvPr id="481294" name="Object 14" hidden="1">
              <a:extLst>
                <a:ext uri="{63B3BB69-23CF-44E3-9099-C40C66FF867C}">
                  <a14:compatExt spid="_x0000_s481294"/>
                </a:ext>
                <a:ext uri="{FF2B5EF4-FFF2-40B4-BE49-F238E27FC236}">
                  <a16:creationId xmlns:a16="http://schemas.microsoft.com/office/drawing/2014/main" id="{00000000-0008-0000-0500-00000E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448</xdr:row>
          <xdr:rowOff>69850</xdr:rowOff>
        </xdr:from>
        <xdr:to>
          <xdr:col>9</xdr:col>
          <xdr:colOff>450850</xdr:colOff>
          <xdr:row>453</xdr:row>
          <xdr:rowOff>88900</xdr:rowOff>
        </xdr:to>
        <xdr:sp macro="" textlink="">
          <xdr:nvSpPr>
            <xdr:cNvPr id="481295" name="Object 15" hidden="1">
              <a:extLst>
                <a:ext uri="{63B3BB69-23CF-44E3-9099-C40C66FF867C}">
                  <a14:compatExt spid="_x0000_s481295"/>
                </a:ext>
                <a:ext uri="{FF2B5EF4-FFF2-40B4-BE49-F238E27FC236}">
                  <a16:creationId xmlns:a16="http://schemas.microsoft.com/office/drawing/2014/main" id="{00000000-0008-0000-0500-00000F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123577</xdr:colOff>
      <xdr:row>142</xdr:row>
      <xdr:rowOff>182215</xdr:rowOff>
    </xdr:from>
    <xdr:to>
      <xdr:col>9</xdr:col>
      <xdr:colOff>44772</xdr:colOff>
      <xdr:row>144</xdr:row>
      <xdr:rowOff>92349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6" name="Object 21">
              <a:extLst>
                <a:ext uri="{FF2B5EF4-FFF2-40B4-BE49-F238E27FC236}">
                  <a16:creationId xmlns:a16="http://schemas.microsoft.com/office/drawing/2014/main" id="{00000000-0008-0000-0500-0000B0000000}"/>
                </a:ext>
              </a:extLst>
            </xdr:cNvPr>
            <xdr:cNvSpPr txBox="1"/>
          </xdr:nvSpPr>
          <xdr:spPr>
            <a:xfrm>
              <a:off x="6067177" y="30517435"/>
              <a:ext cx="711135" cy="45877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76" name="Object 21">
              <a:extLst>
                <a:ext uri="{FF2B5EF4-FFF2-40B4-BE49-F238E27FC236}">
                  <a16:creationId xmlns:a16="http://schemas.microsoft.com/office/drawing/2014/main" id="{52AECCF4-A819-48CB-84A3-F7054A826C93}"/>
                </a:ext>
              </a:extLst>
            </xdr:cNvPr>
            <xdr:cNvSpPr txBox="1"/>
          </xdr:nvSpPr>
          <xdr:spPr>
            <a:xfrm>
              <a:off x="6067177" y="30517435"/>
              <a:ext cx="711135" cy="45877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∑▒𝑃_𝑎 =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8</xdr:col>
      <xdr:colOff>136331</xdr:colOff>
      <xdr:row>144</xdr:row>
      <xdr:rowOff>248478</xdr:rowOff>
    </xdr:from>
    <xdr:to>
      <xdr:col>9</xdr:col>
      <xdr:colOff>46760</xdr:colOff>
      <xdr:row>146</xdr:row>
      <xdr:rowOff>135172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7" name="Object 23">
              <a:extLst>
                <a:ext uri="{FF2B5EF4-FFF2-40B4-BE49-F238E27FC236}">
                  <a16:creationId xmlns:a16="http://schemas.microsoft.com/office/drawing/2014/main" id="{00000000-0008-0000-0500-0000B1000000}"/>
                </a:ext>
              </a:extLst>
            </xdr:cNvPr>
            <xdr:cNvSpPr txBox="1"/>
          </xdr:nvSpPr>
          <xdr:spPr>
            <a:xfrm>
              <a:off x="6079931" y="31132338"/>
              <a:ext cx="700369" cy="42771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77" name="Object 23">
              <a:extLst>
                <a:ext uri="{FF2B5EF4-FFF2-40B4-BE49-F238E27FC236}">
                  <a16:creationId xmlns:a16="http://schemas.microsoft.com/office/drawing/2014/main" id="{FDBDB212-A8C4-49B4-BC08-1CB4B10D1FCD}"/>
                </a:ext>
              </a:extLst>
            </xdr:cNvPr>
            <xdr:cNvSpPr txBox="1"/>
          </xdr:nvSpPr>
          <xdr:spPr>
            <a:xfrm>
              <a:off x="6079931" y="31132338"/>
              <a:ext cx="700369" cy="42771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∑▒𝑃_𝑝 =</a:t>
              </a:r>
              <a:endParaRPr lang="en-US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641350</xdr:colOff>
          <xdr:row>147</xdr:row>
          <xdr:rowOff>69850</xdr:rowOff>
        </xdr:from>
        <xdr:to>
          <xdr:col>4</xdr:col>
          <xdr:colOff>146050</xdr:colOff>
          <xdr:row>148</xdr:row>
          <xdr:rowOff>57150</xdr:rowOff>
        </xdr:to>
        <xdr:sp macro="" textlink="">
          <xdr:nvSpPr>
            <xdr:cNvPr id="481296" name="Object 16" hidden="1">
              <a:extLst>
                <a:ext uri="{63B3BB69-23CF-44E3-9099-C40C66FF867C}">
                  <a14:compatExt spid="_x0000_s481296"/>
                </a:ext>
                <a:ext uri="{FF2B5EF4-FFF2-40B4-BE49-F238E27FC236}">
                  <a16:creationId xmlns:a16="http://schemas.microsoft.com/office/drawing/2014/main" id="{00000000-0008-0000-0500-000010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153</xdr:row>
          <xdr:rowOff>0</xdr:rowOff>
        </xdr:from>
        <xdr:to>
          <xdr:col>3</xdr:col>
          <xdr:colOff>546100</xdr:colOff>
          <xdr:row>154</xdr:row>
          <xdr:rowOff>184150</xdr:rowOff>
        </xdr:to>
        <xdr:sp macro="" textlink="">
          <xdr:nvSpPr>
            <xdr:cNvPr id="481297" name="Object 17" hidden="1">
              <a:extLst>
                <a:ext uri="{63B3BB69-23CF-44E3-9099-C40C66FF867C}">
                  <a14:compatExt spid="_x0000_s481297"/>
                </a:ext>
                <a:ext uri="{FF2B5EF4-FFF2-40B4-BE49-F238E27FC236}">
                  <a16:creationId xmlns:a16="http://schemas.microsoft.com/office/drawing/2014/main" id="{00000000-0008-0000-0500-000011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142</xdr:row>
          <xdr:rowOff>12700</xdr:rowOff>
        </xdr:from>
        <xdr:to>
          <xdr:col>7</xdr:col>
          <xdr:colOff>0</xdr:colOff>
          <xdr:row>143</xdr:row>
          <xdr:rowOff>31750</xdr:rowOff>
        </xdr:to>
        <xdr:sp macro="" textlink="">
          <xdr:nvSpPr>
            <xdr:cNvPr id="481298" name="Object 18" hidden="1">
              <a:extLst>
                <a:ext uri="{63B3BB69-23CF-44E3-9099-C40C66FF867C}">
                  <a14:compatExt spid="_x0000_s481298"/>
                </a:ext>
                <a:ext uri="{FF2B5EF4-FFF2-40B4-BE49-F238E27FC236}">
                  <a16:creationId xmlns:a16="http://schemas.microsoft.com/office/drawing/2014/main" id="{00000000-0008-0000-0500-000012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488950</xdr:colOff>
          <xdr:row>142</xdr:row>
          <xdr:rowOff>247650</xdr:rowOff>
        </xdr:from>
        <xdr:to>
          <xdr:col>4</xdr:col>
          <xdr:colOff>609600</xdr:colOff>
          <xdr:row>144</xdr:row>
          <xdr:rowOff>88900</xdr:rowOff>
        </xdr:to>
        <xdr:sp macro="" textlink="">
          <xdr:nvSpPr>
            <xdr:cNvPr id="481299" name="Object 19" hidden="1">
              <a:extLst>
                <a:ext uri="{63B3BB69-23CF-44E3-9099-C40C66FF867C}">
                  <a14:compatExt spid="_x0000_s481299"/>
                </a:ext>
                <a:ext uri="{FF2B5EF4-FFF2-40B4-BE49-F238E27FC236}">
                  <a16:creationId xmlns:a16="http://schemas.microsoft.com/office/drawing/2014/main" id="{00000000-0008-0000-0500-000013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144</xdr:row>
          <xdr:rowOff>19050</xdr:rowOff>
        </xdr:from>
        <xdr:to>
          <xdr:col>6</xdr:col>
          <xdr:colOff>622300</xdr:colOff>
          <xdr:row>145</xdr:row>
          <xdr:rowOff>19050</xdr:rowOff>
        </xdr:to>
        <xdr:sp macro="" textlink="">
          <xdr:nvSpPr>
            <xdr:cNvPr id="481300" name="Object 20" hidden="1">
              <a:extLst>
                <a:ext uri="{63B3BB69-23CF-44E3-9099-C40C66FF867C}">
                  <a14:compatExt spid="_x0000_s481300"/>
                </a:ext>
                <a:ext uri="{FF2B5EF4-FFF2-40B4-BE49-F238E27FC236}">
                  <a16:creationId xmlns:a16="http://schemas.microsoft.com/office/drawing/2014/main" id="{00000000-0008-0000-0500-000014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145</xdr:row>
          <xdr:rowOff>0</xdr:rowOff>
        </xdr:from>
        <xdr:to>
          <xdr:col>4</xdr:col>
          <xdr:colOff>584200</xdr:colOff>
          <xdr:row>146</xdr:row>
          <xdr:rowOff>31750</xdr:rowOff>
        </xdr:to>
        <xdr:sp macro="" textlink="">
          <xdr:nvSpPr>
            <xdr:cNvPr id="481301" name="Object 21" hidden="1">
              <a:extLst>
                <a:ext uri="{63B3BB69-23CF-44E3-9099-C40C66FF867C}">
                  <a14:compatExt spid="_x0000_s481301"/>
                </a:ext>
                <a:ext uri="{FF2B5EF4-FFF2-40B4-BE49-F238E27FC236}">
                  <a16:creationId xmlns:a16="http://schemas.microsoft.com/office/drawing/2014/main" id="{00000000-0008-0000-0500-000015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13631</xdr:colOff>
      <xdr:row>5</xdr:row>
      <xdr:rowOff>215900</xdr:rowOff>
    </xdr:from>
    <xdr:to>
      <xdr:col>7</xdr:col>
      <xdr:colOff>482601</xdr:colOff>
      <xdr:row>27</xdr:row>
      <xdr:rowOff>76201</xdr:rowOff>
    </xdr:to>
    <xdr:grpSp>
      <xdr:nvGrpSpPr>
        <xdr:cNvPr id="481477" name="Group 481476">
          <a:extLst>
            <a:ext uri="{FF2B5EF4-FFF2-40B4-BE49-F238E27FC236}">
              <a16:creationId xmlns:a16="http://schemas.microsoft.com/office/drawing/2014/main" id="{00000000-0008-0000-0500-0000C5580700}"/>
            </a:ext>
          </a:extLst>
        </xdr:cNvPr>
        <xdr:cNvGrpSpPr/>
      </xdr:nvGrpSpPr>
      <xdr:grpSpPr>
        <a:xfrm>
          <a:off x="13631" y="1206500"/>
          <a:ext cx="5441020" cy="5308601"/>
          <a:chOff x="483530" y="3884239"/>
          <a:chExt cx="5485469" cy="4434261"/>
        </a:xfrm>
      </xdr:grpSpPr>
      <xdr:grpSp>
        <xdr:nvGrpSpPr>
          <xdr:cNvPr id="162" name="Group 240">
            <a:extLst>
              <a:ext uri="{FF2B5EF4-FFF2-40B4-BE49-F238E27FC236}">
                <a16:creationId xmlns:a16="http://schemas.microsoft.com/office/drawing/2014/main" id="{00000000-0008-0000-0500-0000A2000000}"/>
              </a:ext>
            </a:extLst>
          </xdr:cNvPr>
          <xdr:cNvGrpSpPr>
            <a:grpSpLocks/>
          </xdr:cNvGrpSpPr>
        </xdr:nvGrpSpPr>
        <xdr:grpSpPr bwMode="auto">
          <a:xfrm>
            <a:off x="483530" y="3884239"/>
            <a:ext cx="5485469" cy="4434261"/>
            <a:chOff x="721" y="338"/>
            <a:chExt cx="373" cy="345"/>
          </a:xfrm>
        </xdr:grpSpPr>
        <xdr:sp macro="" textlink="">
          <xdr:nvSpPr>
            <xdr:cNvPr id="481370" name="Line 123">
              <a:extLst>
                <a:ext uri="{FF2B5EF4-FFF2-40B4-BE49-F238E27FC236}">
                  <a16:creationId xmlns:a16="http://schemas.microsoft.com/office/drawing/2014/main" id="{00000000-0008-0000-0500-00005A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71" name="Line 124">
              <a:extLst>
                <a:ext uri="{FF2B5EF4-FFF2-40B4-BE49-F238E27FC236}">
                  <a16:creationId xmlns:a16="http://schemas.microsoft.com/office/drawing/2014/main" id="{00000000-0008-0000-0500-00005B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72" name="Line 125">
              <a:extLst>
                <a:ext uri="{FF2B5EF4-FFF2-40B4-BE49-F238E27FC236}">
                  <a16:creationId xmlns:a16="http://schemas.microsoft.com/office/drawing/2014/main" id="{00000000-0008-0000-0500-00005C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79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73" name="Freeform 126">
              <a:extLst>
                <a:ext uri="{FF2B5EF4-FFF2-40B4-BE49-F238E27FC236}">
                  <a16:creationId xmlns:a16="http://schemas.microsoft.com/office/drawing/2014/main" id="{00000000-0008-0000-0500-00005D5807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74" name="Freeform 127">
              <a:extLst>
                <a:ext uri="{FF2B5EF4-FFF2-40B4-BE49-F238E27FC236}">
                  <a16:creationId xmlns:a16="http://schemas.microsoft.com/office/drawing/2014/main" id="{00000000-0008-0000-0500-00005E5807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375" name="Freeform 128">
              <a:extLst>
                <a:ext uri="{FF2B5EF4-FFF2-40B4-BE49-F238E27FC236}">
                  <a16:creationId xmlns:a16="http://schemas.microsoft.com/office/drawing/2014/main" id="{00000000-0008-0000-0500-00005F5807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76" name="Freeform 129">
              <a:extLst>
                <a:ext uri="{FF2B5EF4-FFF2-40B4-BE49-F238E27FC236}">
                  <a16:creationId xmlns:a16="http://schemas.microsoft.com/office/drawing/2014/main" id="{00000000-0008-0000-0500-0000605807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377" name="Line 130">
              <a:extLst>
                <a:ext uri="{FF2B5EF4-FFF2-40B4-BE49-F238E27FC236}">
                  <a16:creationId xmlns:a16="http://schemas.microsoft.com/office/drawing/2014/main" id="{00000000-0008-0000-0500-000061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78" name="Line 131">
              <a:extLst>
                <a:ext uri="{FF2B5EF4-FFF2-40B4-BE49-F238E27FC236}">
                  <a16:creationId xmlns:a16="http://schemas.microsoft.com/office/drawing/2014/main" id="{00000000-0008-0000-0500-000062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79" name="Line 132">
              <a:extLst>
                <a:ext uri="{FF2B5EF4-FFF2-40B4-BE49-F238E27FC236}">
                  <a16:creationId xmlns:a16="http://schemas.microsoft.com/office/drawing/2014/main" id="{00000000-0008-0000-0500-000063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588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80" name="Freeform 133">
              <a:extLst>
                <a:ext uri="{FF2B5EF4-FFF2-40B4-BE49-F238E27FC236}">
                  <a16:creationId xmlns:a16="http://schemas.microsoft.com/office/drawing/2014/main" id="{00000000-0008-0000-0500-000064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81" name="Freeform 134">
              <a:extLst>
                <a:ext uri="{FF2B5EF4-FFF2-40B4-BE49-F238E27FC236}">
                  <a16:creationId xmlns:a16="http://schemas.microsoft.com/office/drawing/2014/main" id="{00000000-0008-0000-0500-000065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382" name="Freeform 135">
              <a:extLst>
                <a:ext uri="{FF2B5EF4-FFF2-40B4-BE49-F238E27FC236}">
                  <a16:creationId xmlns:a16="http://schemas.microsoft.com/office/drawing/2014/main" id="{00000000-0008-0000-0500-000066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83" name="Freeform 136">
              <a:extLst>
                <a:ext uri="{FF2B5EF4-FFF2-40B4-BE49-F238E27FC236}">
                  <a16:creationId xmlns:a16="http://schemas.microsoft.com/office/drawing/2014/main" id="{00000000-0008-0000-0500-000067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384" name="Line 137">
              <a:extLst>
                <a:ext uri="{FF2B5EF4-FFF2-40B4-BE49-F238E27FC236}">
                  <a16:creationId xmlns:a16="http://schemas.microsoft.com/office/drawing/2014/main" id="{00000000-0008-0000-0500-000068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85" name="Line 138">
              <a:extLst>
                <a:ext uri="{FF2B5EF4-FFF2-40B4-BE49-F238E27FC236}">
                  <a16:creationId xmlns:a16="http://schemas.microsoft.com/office/drawing/2014/main" id="{00000000-0008-0000-0500-000069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86" name="Line 144">
              <a:extLst>
                <a:ext uri="{FF2B5EF4-FFF2-40B4-BE49-F238E27FC236}">
                  <a16:creationId xmlns:a16="http://schemas.microsoft.com/office/drawing/2014/main" id="{00000000-0008-0000-0500-00006A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87" name="Line 145">
              <a:extLst>
                <a:ext uri="{FF2B5EF4-FFF2-40B4-BE49-F238E27FC236}">
                  <a16:creationId xmlns:a16="http://schemas.microsoft.com/office/drawing/2014/main" id="{00000000-0008-0000-0500-00006B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88" name="Line 146">
              <a:extLst>
                <a:ext uri="{FF2B5EF4-FFF2-40B4-BE49-F238E27FC236}">
                  <a16:creationId xmlns:a16="http://schemas.microsoft.com/office/drawing/2014/main" id="{00000000-0008-0000-0500-00006C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422"/>
              <a:ext cx="0" cy="13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89" name="Freeform 147">
              <a:extLst>
                <a:ext uri="{FF2B5EF4-FFF2-40B4-BE49-F238E27FC236}">
                  <a16:creationId xmlns:a16="http://schemas.microsoft.com/office/drawing/2014/main" id="{00000000-0008-0000-0500-00006D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90" name="Freeform 148">
              <a:extLst>
                <a:ext uri="{FF2B5EF4-FFF2-40B4-BE49-F238E27FC236}">
                  <a16:creationId xmlns:a16="http://schemas.microsoft.com/office/drawing/2014/main" id="{00000000-0008-0000-0500-00006E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391" name="Freeform 149">
              <a:extLst>
                <a:ext uri="{FF2B5EF4-FFF2-40B4-BE49-F238E27FC236}">
                  <a16:creationId xmlns:a16="http://schemas.microsoft.com/office/drawing/2014/main" id="{00000000-0008-0000-0500-00006F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92" name="Freeform 150">
              <a:extLst>
                <a:ext uri="{FF2B5EF4-FFF2-40B4-BE49-F238E27FC236}">
                  <a16:creationId xmlns:a16="http://schemas.microsoft.com/office/drawing/2014/main" id="{00000000-0008-0000-0500-000070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393" name="Line 151">
              <a:extLst>
                <a:ext uri="{FF2B5EF4-FFF2-40B4-BE49-F238E27FC236}">
                  <a16:creationId xmlns:a16="http://schemas.microsoft.com/office/drawing/2014/main" id="{00000000-0008-0000-0500-000071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94" name="Line 152">
              <a:extLst>
                <a:ext uri="{FF2B5EF4-FFF2-40B4-BE49-F238E27FC236}">
                  <a16:creationId xmlns:a16="http://schemas.microsoft.com/office/drawing/2014/main" id="{00000000-0008-0000-0500-000072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95" name="Line 158">
              <a:extLst>
                <a:ext uri="{FF2B5EF4-FFF2-40B4-BE49-F238E27FC236}">
                  <a16:creationId xmlns:a16="http://schemas.microsoft.com/office/drawing/2014/main" id="{00000000-0008-0000-0500-000073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96" name="Line 159">
              <a:extLst>
                <a:ext uri="{FF2B5EF4-FFF2-40B4-BE49-F238E27FC236}">
                  <a16:creationId xmlns:a16="http://schemas.microsoft.com/office/drawing/2014/main" id="{00000000-0008-0000-0500-000074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97" name="Line 160">
              <a:extLst>
                <a:ext uri="{FF2B5EF4-FFF2-40B4-BE49-F238E27FC236}">
                  <a16:creationId xmlns:a16="http://schemas.microsoft.com/office/drawing/2014/main" id="{00000000-0008-0000-0500-000075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344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398" name="Freeform 161">
              <a:extLst>
                <a:ext uri="{FF2B5EF4-FFF2-40B4-BE49-F238E27FC236}">
                  <a16:creationId xmlns:a16="http://schemas.microsoft.com/office/drawing/2014/main" id="{00000000-0008-0000-0500-000076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391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399" name="Freeform 163">
              <a:extLst>
                <a:ext uri="{FF2B5EF4-FFF2-40B4-BE49-F238E27FC236}">
                  <a16:creationId xmlns:a16="http://schemas.microsoft.com/office/drawing/2014/main" id="{00000000-0008-0000-0500-000077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00" name="Freeform 164">
              <a:extLst>
                <a:ext uri="{FF2B5EF4-FFF2-40B4-BE49-F238E27FC236}">
                  <a16:creationId xmlns:a16="http://schemas.microsoft.com/office/drawing/2014/main" id="{00000000-0008-0000-0500-0000785807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01" name="Line 165">
              <a:extLst>
                <a:ext uri="{FF2B5EF4-FFF2-40B4-BE49-F238E27FC236}">
                  <a16:creationId xmlns:a16="http://schemas.microsoft.com/office/drawing/2014/main" id="{00000000-0008-0000-0500-000079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02" name="Line 166">
              <a:extLst>
                <a:ext uri="{FF2B5EF4-FFF2-40B4-BE49-F238E27FC236}">
                  <a16:creationId xmlns:a16="http://schemas.microsoft.com/office/drawing/2014/main" id="{00000000-0008-0000-0500-00007A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03" name="Line 167">
              <a:extLst>
                <a:ext uri="{FF2B5EF4-FFF2-40B4-BE49-F238E27FC236}">
                  <a16:creationId xmlns:a16="http://schemas.microsoft.com/office/drawing/2014/main" id="{00000000-0008-0000-0500-00007B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344"/>
              <a:ext cx="0" cy="29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04" name="Freeform 168">
              <a:extLst>
                <a:ext uri="{FF2B5EF4-FFF2-40B4-BE49-F238E27FC236}">
                  <a16:creationId xmlns:a16="http://schemas.microsoft.com/office/drawing/2014/main" id="{00000000-0008-0000-0500-00007C5807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05" name="Freeform 169">
              <a:extLst>
                <a:ext uri="{FF2B5EF4-FFF2-40B4-BE49-F238E27FC236}">
                  <a16:creationId xmlns:a16="http://schemas.microsoft.com/office/drawing/2014/main" id="{00000000-0008-0000-0500-00007D5807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06" name="Freeform 170">
              <a:extLst>
                <a:ext uri="{FF2B5EF4-FFF2-40B4-BE49-F238E27FC236}">
                  <a16:creationId xmlns:a16="http://schemas.microsoft.com/office/drawing/2014/main" id="{00000000-0008-0000-0500-00007E5807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07" name="Freeform 171">
              <a:extLst>
                <a:ext uri="{FF2B5EF4-FFF2-40B4-BE49-F238E27FC236}">
                  <a16:creationId xmlns:a16="http://schemas.microsoft.com/office/drawing/2014/main" id="{00000000-0008-0000-0500-00007F5807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08" name="Line 172">
              <a:extLst>
                <a:ext uri="{FF2B5EF4-FFF2-40B4-BE49-F238E27FC236}">
                  <a16:creationId xmlns:a16="http://schemas.microsoft.com/office/drawing/2014/main" id="{00000000-0008-0000-0500-000080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56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09" name="Line 173">
              <a:extLst>
                <a:ext uri="{FF2B5EF4-FFF2-40B4-BE49-F238E27FC236}">
                  <a16:creationId xmlns:a16="http://schemas.microsoft.com/office/drawing/2014/main" id="{00000000-0008-0000-0500-000081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10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10" name="Line 174">
              <a:extLst>
                <a:ext uri="{FF2B5EF4-FFF2-40B4-BE49-F238E27FC236}">
                  <a16:creationId xmlns:a16="http://schemas.microsoft.com/office/drawing/2014/main" id="{00000000-0008-0000-0500-000082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62" y="443"/>
              <a:ext cx="4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11" name="Freeform 175">
              <a:extLst>
                <a:ext uri="{FF2B5EF4-FFF2-40B4-BE49-F238E27FC236}">
                  <a16:creationId xmlns:a16="http://schemas.microsoft.com/office/drawing/2014/main" id="{00000000-0008-0000-0500-0000835807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12" name="Freeform 176">
              <a:extLst>
                <a:ext uri="{FF2B5EF4-FFF2-40B4-BE49-F238E27FC236}">
                  <a16:creationId xmlns:a16="http://schemas.microsoft.com/office/drawing/2014/main" id="{00000000-0008-0000-0500-0000845807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13" name="Freeform 177">
              <a:extLst>
                <a:ext uri="{FF2B5EF4-FFF2-40B4-BE49-F238E27FC236}">
                  <a16:creationId xmlns:a16="http://schemas.microsoft.com/office/drawing/2014/main" id="{00000000-0008-0000-0500-0000855807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14" name="Freeform 178">
              <a:extLst>
                <a:ext uri="{FF2B5EF4-FFF2-40B4-BE49-F238E27FC236}">
                  <a16:creationId xmlns:a16="http://schemas.microsoft.com/office/drawing/2014/main" id="{00000000-0008-0000-0500-0000865807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15" name="Line 179">
              <a:extLst>
                <a:ext uri="{FF2B5EF4-FFF2-40B4-BE49-F238E27FC236}">
                  <a16:creationId xmlns:a16="http://schemas.microsoft.com/office/drawing/2014/main" id="{00000000-0008-0000-0500-000087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516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16" name="Line 180">
              <a:extLst>
                <a:ext uri="{FF2B5EF4-FFF2-40B4-BE49-F238E27FC236}">
                  <a16:creationId xmlns:a16="http://schemas.microsoft.com/office/drawing/2014/main" id="{00000000-0008-0000-0500-000088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463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17" name="Line 181">
              <a:extLst>
                <a:ext uri="{FF2B5EF4-FFF2-40B4-BE49-F238E27FC236}">
                  <a16:creationId xmlns:a16="http://schemas.microsoft.com/office/drawing/2014/main" id="{00000000-0008-0000-0500-000089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40" y="469"/>
              <a:ext cx="0" cy="4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18" name="Freeform 182">
              <a:extLst>
                <a:ext uri="{FF2B5EF4-FFF2-40B4-BE49-F238E27FC236}">
                  <a16:creationId xmlns:a16="http://schemas.microsoft.com/office/drawing/2014/main" id="{00000000-0008-0000-0500-00008A5807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19" name="Freeform 183">
              <a:extLst>
                <a:ext uri="{FF2B5EF4-FFF2-40B4-BE49-F238E27FC236}">
                  <a16:creationId xmlns:a16="http://schemas.microsoft.com/office/drawing/2014/main" id="{00000000-0008-0000-0500-00008B5807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20" name="Freeform 184">
              <a:extLst>
                <a:ext uri="{FF2B5EF4-FFF2-40B4-BE49-F238E27FC236}">
                  <a16:creationId xmlns:a16="http://schemas.microsoft.com/office/drawing/2014/main" id="{00000000-0008-0000-0500-00008C5807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21" name="Freeform 185">
              <a:extLst>
                <a:ext uri="{FF2B5EF4-FFF2-40B4-BE49-F238E27FC236}">
                  <a16:creationId xmlns:a16="http://schemas.microsoft.com/office/drawing/2014/main" id="{00000000-0008-0000-0500-00008D5807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22" name="Line 186">
              <a:extLst>
                <a:ext uri="{FF2B5EF4-FFF2-40B4-BE49-F238E27FC236}">
                  <a16:creationId xmlns:a16="http://schemas.microsoft.com/office/drawing/2014/main" id="{00000000-0008-0000-0500-00008E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8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23" name="Line 187">
              <a:extLst>
                <a:ext uri="{FF2B5EF4-FFF2-40B4-BE49-F238E27FC236}">
                  <a16:creationId xmlns:a16="http://schemas.microsoft.com/office/drawing/2014/main" id="{00000000-0008-0000-0500-00008F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11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24" name="Line 188">
              <a:extLst>
                <a:ext uri="{FF2B5EF4-FFF2-40B4-BE49-F238E27FC236}">
                  <a16:creationId xmlns:a16="http://schemas.microsoft.com/office/drawing/2014/main" id="{00000000-0008-0000-0500-000090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4" y="377"/>
              <a:ext cx="1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25" name="Freeform 189">
              <a:extLst>
                <a:ext uri="{FF2B5EF4-FFF2-40B4-BE49-F238E27FC236}">
                  <a16:creationId xmlns:a16="http://schemas.microsoft.com/office/drawing/2014/main" id="{00000000-0008-0000-0500-0000915807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26" name="Freeform 190">
              <a:extLst>
                <a:ext uri="{FF2B5EF4-FFF2-40B4-BE49-F238E27FC236}">
                  <a16:creationId xmlns:a16="http://schemas.microsoft.com/office/drawing/2014/main" id="{00000000-0008-0000-0500-0000925807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27" name="Freeform 191">
              <a:extLst>
                <a:ext uri="{FF2B5EF4-FFF2-40B4-BE49-F238E27FC236}">
                  <a16:creationId xmlns:a16="http://schemas.microsoft.com/office/drawing/2014/main" id="{00000000-0008-0000-0500-0000935807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28" name="Freeform 192">
              <a:extLst>
                <a:ext uri="{FF2B5EF4-FFF2-40B4-BE49-F238E27FC236}">
                  <a16:creationId xmlns:a16="http://schemas.microsoft.com/office/drawing/2014/main" id="{00000000-0008-0000-0500-0000945807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29" name="Line 193">
              <a:extLst>
                <a:ext uri="{FF2B5EF4-FFF2-40B4-BE49-F238E27FC236}">
                  <a16:creationId xmlns:a16="http://schemas.microsoft.com/office/drawing/2014/main" id="{00000000-0008-0000-0500-000095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395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30" name="Line 194">
              <a:extLst>
                <a:ext uri="{FF2B5EF4-FFF2-40B4-BE49-F238E27FC236}">
                  <a16:creationId xmlns:a16="http://schemas.microsoft.com/office/drawing/2014/main" id="{00000000-0008-0000-0500-000096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418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31" name="Line 195">
              <a:extLst>
                <a:ext uri="{FF2B5EF4-FFF2-40B4-BE49-F238E27FC236}">
                  <a16:creationId xmlns:a16="http://schemas.microsoft.com/office/drawing/2014/main" id="{00000000-0008-0000-0500-000097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70" y="401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32" name="Freeform 196">
              <a:extLst>
                <a:ext uri="{FF2B5EF4-FFF2-40B4-BE49-F238E27FC236}">
                  <a16:creationId xmlns:a16="http://schemas.microsoft.com/office/drawing/2014/main" id="{00000000-0008-0000-0500-0000985807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33" name="Freeform 197">
              <a:extLst>
                <a:ext uri="{FF2B5EF4-FFF2-40B4-BE49-F238E27FC236}">
                  <a16:creationId xmlns:a16="http://schemas.microsoft.com/office/drawing/2014/main" id="{00000000-0008-0000-0500-0000995807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34" name="Freeform 198">
              <a:extLst>
                <a:ext uri="{FF2B5EF4-FFF2-40B4-BE49-F238E27FC236}">
                  <a16:creationId xmlns:a16="http://schemas.microsoft.com/office/drawing/2014/main" id="{00000000-0008-0000-0500-00009A5807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35" name="Freeform 199">
              <a:extLst>
                <a:ext uri="{FF2B5EF4-FFF2-40B4-BE49-F238E27FC236}">
                  <a16:creationId xmlns:a16="http://schemas.microsoft.com/office/drawing/2014/main" id="{00000000-0008-0000-0500-00009B5807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36" name="Line 200">
              <a:extLst>
                <a:ext uri="{FF2B5EF4-FFF2-40B4-BE49-F238E27FC236}">
                  <a16:creationId xmlns:a16="http://schemas.microsoft.com/office/drawing/2014/main" id="{00000000-0008-0000-0500-00009C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1" y="538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37" name="Line 201">
              <a:extLst>
                <a:ext uri="{FF2B5EF4-FFF2-40B4-BE49-F238E27FC236}">
                  <a16:creationId xmlns:a16="http://schemas.microsoft.com/office/drawing/2014/main" id="{00000000-0008-0000-0500-00009D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90" y="538"/>
              <a:ext cx="0" cy="1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38" name="Line 202">
              <a:extLst>
                <a:ext uri="{FF2B5EF4-FFF2-40B4-BE49-F238E27FC236}">
                  <a16:creationId xmlns:a16="http://schemas.microsoft.com/office/drawing/2014/main" id="{00000000-0008-0000-0500-00009E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9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39" name="Line 203">
              <a:extLst>
                <a:ext uri="{FF2B5EF4-FFF2-40B4-BE49-F238E27FC236}">
                  <a16:creationId xmlns:a16="http://schemas.microsoft.com/office/drawing/2014/main" id="{00000000-0008-0000-0500-00009F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6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40" name="Line 204">
              <a:extLst>
                <a:ext uri="{FF2B5EF4-FFF2-40B4-BE49-F238E27FC236}">
                  <a16:creationId xmlns:a16="http://schemas.microsoft.com/office/drawing/2014/main" id="{00000000-0008-0000-0500-0000A0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1" y="540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41" name="Freeform 205">
              <a:extLst>
                <a:ext uri="{FF2B5EF4-FFF2-40B4-BE49-F238E27FC236}">
                  <a16:creationId xmlns:a16="http://schemas.microsoft.com/office/drawing/2014/main" id="{00000000-0008-0000-0500-0000A15807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42" name="Freeform 206">
              <a:extLst>
                <a:ext uri="{FF2B5EF4-FFF2-40B4-BE49-F238E27FC236}">
                  <a16:creationId xmlns:a16="http://schemas.microsoft.com/office/drawing/2014/main" id="{00000000-0008-0000-0500-0000A25807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43" name="Freeform 207">
              <a:extLst>
                <a:ext uri="{FF2B5EF4-FFF2-40B4-BE49-F238E27FC236}">
                  <a16:creationId xmlns:a16="http://schemas.microsoft.com/office/drawing/2014/main" id="{00000000-0008-0000-0500-0000A35807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44" name="Freeform 208">
              <a:extLst>
                <a:ext uri="{FF2B5EF4-FFF2-40B4-BE49-F238E27FC236}">
                  <a16:creationId xmlns:a16="http://schemas.microsoft.com/office/drawing/2014/main" id="{00000000-0008-0000-0500-0000A45807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45" name="Line 209">
              <a:extLst>
                <a:ext uri="{FF2B5EF4-FFF2-40B4-BE49-F238E27FC236}">
                  <a16:creationId xmlns:a16="http://schemas.microsoft.com/office/drawing/2014/main" id="{00000000-0008-0000-0500-0000A5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63"/>
              <a:ext cx="1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46" name="Line 210">
              <a:extLst>
                <a:ext uri="{FF2B5EF4-FFF2-40B4-BE49-F238E27FC236}">
                  <a16:creationId xmlns:a16="http://schemas.microsoft.com/office/drawing/2014/main" id="{00000000-0008-0000-0500-0000A658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54"/>
              <a:ext cx="2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47" name="Line 211">
              <a:extLst>
                <a:ext uri="{FF2B5EF4-FFF2-40B4-BE49-F238E27FC236}">
                  <a16:creationId xmlns:a16="http://schemas.microsoft.com/office/drawing/2014/main" id="{00000000-0008-0000-0500-0000A7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8" y="569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48" name="Line 212">
              <a:extLst>
                <a:ext uri="{FF2B5EF4-FFF2-40B4-BE49-F238E27FC236}">
                  <a16:creationId xmlns:a16="http://schemas.microsoft.com/office/drawing/2014/main" id="{00000000-0008-0000-0500-0000A8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42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49" name="Line 213">
              <a:extLst>
                <a:ext uri="{FF2B5EF4-FFF2-40B4-BE49-F238E27FC236}">
                  <a16:creationId xmlns:a16="http://schemas.microsoft.com/office/drawing/2014/main" id="{00000000-0008-0000-0500-0000A958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54"/>
              <a:ext cx="0" cy="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50" name="Freeform 214">
              <a:extLst>
                <a:ext uri="{FF2B5EF4-FFF2-40B4-BE49-F238E27FC236}">
                  <a16:creationId xmlns:a16="http://schemas.microsoft.com/office/drawing/2014/main" id="{00000000-0008-0000-0500-0000AA5807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51" name="Freeform 215">
              <a:extLst>
                <a:ext uri="{FF2B5EF4-FFF2-40B4-BE49-F238E27FC236}">
                  <a16:creationId xmlns:a16="http://schemas.microsoft.com/office/drawing/2014/main" id="{00000000-0008-0000-0500-0000AB5807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2" name="Freeform 216">
              <a:extLst>
                <a:ext uri="{FF2B5EF4-FFF2-40B4-BE49-F238E27FC236}">
                  <a16:creationId xmlns:a16="http://schemas.microsoft.com/office/drawing/2014/main" id="{00000000-0008-0000-0500-0000AC5807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53" name="Freeform 217">
              <a:extLst>
                <a:ext uri="{FF2B5EF4-FFF2-40B4-BE49-F238E27FC236}">
                  <a16:creationId xmlns:a16="http://schemas.microsoft.com/office/drawing/2014/main" id="{00000000-0008-0000-0500-0000AD5807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4" name="Rectangle 218">
              <a:extLst>
                <a:ext uri="{FF2B5EF4-FFF2-40B4-BE49-F238E27FC236}">
                  <a16:creationId xmlns:a16="http://schemas.microsoft.com/office/drawing/2014/main" id="{00000000-0008-0000-0500-0000AE58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21" y="338"/>
              <a:ext cx="324" cy="30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5" name="Rectangle 219">
              <a:extLst>
                <a:ext uri="{FF2B5EF4-FFF2-40B4-BE49-F238E27FC236}">
                  <a16:creationId xmlns:a16="http://schemas.microsoft.com/office/drawing/2014/main" id="{00000000-0008-0000-0500-0000AF58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6" y="463"/>
              <a:ext cx="54" cy="5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6" name="Freeform 220">
              <a:extLst>
                <a:ext uri="{FF2B5EF4-FFF2-40B4-BE49-F238E27FC236}">
                  <a16:creationId xmlns:a16="http://schemas.microsoft.com/office/drawing/2014/main" id="{00000000-0008-0000-0500-0000B0580700}"/>
                </a:ext>
              </a:extLst>
            </xdr:cNvPr>
            <xdr:cNvSpPr>
              <a:spLocks/>
            </xdr:cNvSpPr>
          </xdr:nvSpPr>
          <xdr:spPr bwMode="auto">
            <a:xfrm>
              <a:off x="721" y="583"/>
              <a:ext cx="69" cy="58"/>
            </a:xfrm>
            <a:custGeom>
              <a:avLst/>
              <a:gdLst>
                <a:gd name="T0" fmla="*/ 69 w 69"/>
                <a:gd name="T1" fmla="*/ 58 h 58"/>
                <a:gd name="T2" fmla="*/ 69 w 69"/>
                <a:gd name="T3" fmla="*/ 9 h 58"/>
                <a:gd name="T4" fmla="*/ 60 w 69"/>
                <a:gd name="T5" fmla="*/ 0 h 58"/>
                <a:gd name="T6" fmla="*/ 0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69" y="58"/>
                  </a:move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7" name="Freeform 221">
              <a:extLst>
                <a:ext uri="{FF2B5EF4-FFF2-40B4-BE49-F238E27FC236}">
                  <a16:creationId xmlns:a16="http://schemas.microsoft.com/office/drawing/2014/main" id="{00000000-0008-0000-0500-0000B1580700}"/>
                </a:ext>
              </a:extLst>
            </xdr:cNvPr>
            <xdr:cNvSpPr>
              <a:spLocks/>
            </xdr:cNvSpPr>
          </xdr:nvSpPr>
          <xdr:spPr bwMode="auto">
            <a:xfrm>
              <a:off x="721" y="416"/>
              <a:ext cx="69" cy="147"/>
            </a:xfrm>
            <a:custGeom>
              <a:avLst/>
              <a:gdLst>
                <a:gd name="T0" fmla="*/ 0 w 69"/>
                <a:gd name="T1" fmla="*/ 147 h 147"/>
                <a:gd name="T2" fmla="*/ 60 w 69"/>
                <a:gd name="T3" fmla="*/ 147 h 147"/>
                <a:gd name="T4" fmla="*/ 69 w 69"/>
                <a:gd name="T5" fmla="*/ 138 h 147"/>
                <a:gd name="T6" fmla="*/ 69 w 69"/>
                <a:gd name="T7" fmla="*/ 9 h 147"/>
                <a:gd name="T8" fmla="*/ 60 w 69"/>
                <a:gd name="T9" fmla="*/ 0 h 147"/>
                <a:gd name="T10" fmla="*/ 0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0" y="147"/>
                  </a:moveTo>
                  <a:lnTo>
                    <a:pt x="60" y="147"/>
                  </a:lnTo>
                  <a:lnTo>
                    <a:pt x="69" y="138"/>
                  </a:ln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8" name="Freeform 222">
              <a:extLst>
                <a:ext uri="{FF2B5EF4-FFF2-40B4-BE49-F238E27FC236}">
                  <a16:creationId xmlns:a16="http://schemas.microsoft.com/office/drawing/2014/main" id="{00000000-0008-0000-0500-0000B2580700}"/>
                </a:ext>
              </a:extLst>
            </xdr:cNvPr>
            <xdr:cNvSpPr>
              <a:spLocks/>
            </xdr:cNvSpPr>
          </xdr:nvSpPr>
          <xdr:spPr bwMode="auto">
            <a:xfrm>
              <a:off x="721" y="338"/>
              <a:ext cx="69" cy="59"/>
            </a:xfrm>
            <a:custGeom>
              <a:avLst/>
              <a:gdLst>
                <a:gd name="T0" fmla="*/ 69 w 69"/>
                <a:gd name="T1" fmla="*/ 0 h 59"/>
                <a:gd name="T2" fmla="*/ 69 w 69"/>
                <a:gd name="T3" fmla="*/ 49 h 59"/>
                <a:gd name="T4" fmla="*/ 60 w 69"/>
                <a:gd name="T5" fmla="*/ 59 h 59"/>
                <a:gd name="T6" fmla="*/ 0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69" y="0"/>
                  </a:moveTo>
                  <a:lnTo>
                    <a:pt x="69" y="49"/>
                  </a:lnTo>
                  <a:lnTo>
                    <a:pt x="60" y="59"/>
                  </a:lnTo>
                  <a:lnTo>
                    <a:pt x="0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59" name="Freeform 223">
              <a:extLst>
                <a:ext uri="{FF2B5EF4-FFF2-40B4-BE49-F238E27FC236}">
                  <a16:creationId xmlns:a16="http://schemas.microsoft.com/office/drawing/2014/main" id="{00000000-0008-0000-0500-0000B3580700}"/>
                </a:ext>
              </a:extLst>
            </xdr:cNvPr>
            <xdr:cNvSpPr>
              <a:spLocks/>
            </xdr:cNvSpPr>
          </xdr:nvSpPr>
          <xdr:spPr bwMode="auto">
            <a:xfrm>
              <a:off x="976" y="338"/>
              <a:ext cx="69" cy="59"/>
            </a:xfrm>
            <a:custGeom>
              <a:avLst/>
              <a:gdLst>
                <a:gd name="T0" fmla="*/ 0 w 69"/>
                <a:gd name="T1" fmla="*/ 0 h 59"/>
                <a:gd name="T2" fmla="*/ 0 w 69"/>
                <a:gd name="T3" fmla="*/ 49 h 59"/>
                <a:gd name="T4" fmla="*/ 9 w 69"/>
                <a:gd name="T5" fmla="*/ 59 h 59"/>
                <a:gd name="T6" fmla="*/ 69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0" y="0"/>
                  </a:moveTo>
                  <a:lnTo>
                    <a:pt x="0" y="49"/>
                  </a:lnTo>
                  <a:lnTo>
                    <a:pt x="9" y="59"/>
                  </a:lnTo>
                  <a:lnTo>
                    <a:pt x="69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0" name="Freeform 224">
              <a:extLst>
                <a:ext uri="{FF2B5EF4-FFF2-40B4-BE49-F238E27FC236}">
                  <a16:creationId xmlns:a16="http://schemas.microsoft.com/office/drawing/2014/main" id="{00000000-0008-0000-0500-0000B4580700}"/>
                </a:ext>
              </a:extLst>
            </xdr:cNvPr>
            <xdr:cNvSpPr>
              <a:spLocks/>
            </xdr:cNvSpPr>
          </xdr:nvSpPr>
          <xdr:spPr bwMode="auto">
            <a:xfrm>
              <a:off x="976" y="583"/>
              <a:ext cx="69" cy="58"/>
            </a:xfrm>
            <a:custGeom>
              <a:avLst/>
              <a:gdLst>
                <a:gd name="T0" fmla="*/ 0 w 69"/>
                <a:gd name="T1" fmla="*/ 58 h 58"/>
                <a:gd name="T2" fmla="*/ 0 w 69"/>
                <a:gd name="T3" fmla="*/ 9 h 58"/>
                <a:gd name="T4" fmla="*/ 9 w 69"/>
                <a:gd name="T5" fmla="*/ 0 h 58"/>
                <a:gd name="T6" fmla="*/ 69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0" y="58"/>
                  </a:move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1" name="Freeform 225">
              <a:extLst>
                <a:ext uri="{FF2B5EF4-FFF2-40B4-BE49-F238E27FC236}">
                  <a16:creationId xmlns:a16="http://schemas.microsoft.com/office/drawing/2014/main" id="{00000000-0008-0000-0500-0000B5580700}"/>
                </a:ext>
              </a:extLst>
            </xdr:cNvPr>
            <xdr:cNvSpPr>
              <a:spLocks/>
            </xdr:cNvSpPr>
          </xdr:nvSpPr>
          <xdr:spPr bwMode="auto">
            <a:xfrm>
              <a:off x="976" y="416"/>
              <a:ext cx="69" cy="147"/>
            </a:xfrm>
            <a:custGeom>
              <a:avLst/>
              <a:gdLst>
                <a:gd name="T0" fmla="*/ 69 w 69"/>
                <a:gd name="T1" fmla="*/ 147 h 147"/>
                <a:gd name="T2" fmla="*/ 9 w 69"/>
                <a:gd name="T3" fmla="*/ 147 h 147"/>
                <a:gd name="T4" fmla="*/ 0 w 69"/>
                <a:gd name="T5" fmla="*/ 138 h 147"/>
                <a:gd name="T6" fmla="*/ 0 w 69"/>
                <a:gd name="T7" fmla="*/ 9 h 147"/>
                <a:gd name="T8" fmla="*/ 9 w 69"/>
                <a:gd name="T9" fmla="*/ 0 h 147"/>
                <a:gd name="T10" fmla="*/ 69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69" y="147"/>
                  </a:moveTo>
                  <a:lnTo>
                    <a:pt x="9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2" name="Freeform 226">
              <a:extLst>
                <a:ext uri="{FF2B5EF4-FFF2-40B4-BE49-F238E27FC236}">
                  <a16:creationId xmlns:a16="http://schemas.microsoft.com/office/drawing/2014/main" id="{00000000-0008-0000-0500-0000B6580700}"/>
                </a:ext>
              </a:extLst>
            </xdr:cNvPr>
            <xdr:cNvSpPr>
              <a:spLocks/>
            </xdr:cNvSpPr>
          </xdr:nvSpPr>
          <xdr:spPr bwMode="auto">
            <a:xfrm>
              <a:off x="809" y="338"/>
              <a:ext cx="148" cy="59"/>
            </a:xfrm>
            <a:custGeom>
              <a:avLst/>
              <a:gdLst>
                <a:gd name="T0" fmla="*/ 0 w 148"/>
                <a:gd name="T1" fmla="*/ 0 h 59"/>
                <a:gd name="T2" fmla="*/ 0 w 148"/>
                <a:gd name="T3" fmla="*/ 49 h 59"/>
                <a:gd name="T4" fmla="*/ 10 w 148"/>
                <a:gd name="T5" fmla="*/ 59 h 59"/>
                <a:gd name="T6" fmla="*/ 138 w 148"/>
                <a:gd name="T7" fmla="*/ 59 h 59"/>
                <a:gd name="T8" fmla="*/ 148 w 148"/>
                <a:gd name="T9" fmla="*/ 49 h 59"/>
                <a:gd name="T10" fmla="*/ 148 w 148"/>
                <a:gd name="T11" fmla="*/ 0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9">
                  <a:moveTo>
                    <a:pt x="0" y="0"/>
                  </a:moveTo>
                  <a:lnTo>
                    <a:pt x="0" y="49"/>
                  </a:lnTo>
                  <a:lnTo>
                    <a:pt x="10" y="59"/>
                  </a:lnTo>
                  <a:lnTo>
                    <a:pt x="138" y="59"/>
                  </a:lnTo>
                  <a:lnTo>
                    <a:pt x="148" y="49"/>
                  </a:lnTo>
                  <a:lnTo>
                    <a:pt x="148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3" name="Freeform 227">
              <a:extLst>
                <a:ext uri="{FF2B5EF4-FFF2-40B4-BE49-F238E27FC236}">
                  <a16:creationId xmlns:a16="http://schemas.microsoft.com/office/drawing/2014/main" id="{00000000-0008-0000-0500-0000B7580700}"/>
                </a:ext>
              </a:extLst>
            </xdr:cNvPr>
            <xdr:cNvSpPr>
              <a:spLocks/>
            </xdr:cNvSpPr>
          </xdr:nvSpPr>
          <xdr:spPr bwMode="auto">
            <a:xfrm>
              <a:off x="809" y="583"/>
              <a:ext cx="148" cy="58"/>
            </a:xfrm>
            <a:custGeom>
              <a:avLst/>
              <a:gdLst>
                <a:gd name="T0" fmla="*/ 0 w 148"/>
                <a:gd name="T1" fmla="*/ 58 h 58"/>
                <a:gd name="T2" fmla="*/ 0 w 148"/>
                <a:gd name="T3" fmla="*/ 9 h 58"/>
                <a:gd name="T4" fmla="*/ 10 w 148"/>
                <a:gd name="T5" fmla="*/ 0 h 58"/>
                <a:gd name="T6" fmla="*/ 138 w 148"/>
                <a:gd name="T7" fmla="*/ 0 h 58"/>
                <a:gd name="T8" fmla="*/ 148 w 148"/>
                <a:gd name="T9" fmla="*/ 9 h 58"/>
                <a:gd name="T10" fmla="*/ 148 w 148"/>
                <a:gd name="T11" fmla="*/ 58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8">
                  <a:moveTo>
                    <a:pt x="0" y="58"/>
                  </a:moveTo>
                  <a:lnTo>
                    <a:pt x="0" y="9"/>
                  </a:lnTo>
                  <a:lnTo>
                    <a:pt x="10" y="0"/>
                  </a:lnTo>
                  <a:lnTo>
                    <a:pt x="138" y="0"/>
                  </a:lnTo>
                  <a:lnTo>
                    <a:pt x="148" y="9"/>
                  </a:lnTo>
                  <a:lnTo>
                    <a:pt x="148" y="58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4" name="Freeform 228">
              <a:extLst>
                <a:ext uri="{FF2B5EF4-FFF2-40B4-BE49-F238E27FC236}">
                  <a16:creationId xmlns:a16="http://schemas.microsoft.com/office/drawing/2014/main" id="{00000000-0008-0000-0500-0000B8580700}"/>
                </a:ext>
              </a:extLst>
            </xdr:cNvPr>
            <xdr:cNvSpPr>
              <a:spLocks/>
            </xdr:cNvSpPr>
          </xdr:nvSpPr>
          <xdr:spPr bwMode="auto">
            <a:xfrm>
              <a:off x="809" y="416"/>
              <a:ext cx="148" cy="147"/>
            </a:xfrm>
            <a:custGeom>
              <a:avLst/>
              <a:gdLst>
                <a:gd name="T0" fmla="*/ 10 w 148"/>
                <a:gd name="T1" fmla="*/ 0 h 147"/>
                <a:gd name="T2" fmla="*/ 138 w 148"/>
                <a:gd name="T3" fmla="*/ 0 h 147"/>
                <a:gd name="T4" fmla="*/ 148 w 148"/>
                <a:gd name="T5" fmla="*/ 9 h 147"/>
                <a:gd name="T6" fmla="*/ 148 w 148"/>
                <a:gd name="T7" fmla="*/ 138 h 147"/>
                <a:gd name="T8" fmla="*/ 138 w 148"/>
                <a:gd name="T9" fmla="*/ 147 h 147"/>
                <a:gd name="T10" fmla="*/ 10 w 148"/>
                <a:gd name="T11" fmla="*/ 147 h 147"/>
                <a:gd name="T12" fmla="*/ 0 w 148"/>
                <a:gd name="T13" fmla="*/ 138 h 147"/>
                <a:gd name="T14" fmla="*/ 0 w 148"/>
                <a:gd name="T15" fmla="*/ 9 h 147"/>
                <a:gd name="T16" fmla="*/ 10 w 148"/>
                <a:gd name="T17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8" h="147">
                  <a:moveTo>
                    <a:pt x="10" y="0"/>
                  </a:moveTo>
                  <a:lnTo>
                    <a:pt x="138" y="0"/>
                  </a:lnTo>
                  <a:lnTo>
                    <a:pt x="148" y="9"/>
                  </a:lnTo>
                  <a:lnTo>
                    <a:pt x="148" y="138"/>
                  </a:lnTo>
                  <a:lnTo>
                    <a:pt x="138" y="147"/>
                  </a:lnTo>
                  <a:lnTo>
                    <a:pt x="10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1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5" name="Rectangle 229">
              <a:extLst>
                <a:ext uri="{FF2B5EF4-FFF2-40B4-BE49-F238E27FC236}">
                  <a16:creationId xmlns:a16="http://schemas.microsoft.com/office/drawing/2014/main" id="{00000000-0008-0000-0500-0000B958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6" name="Rectangle 230">
              <a:extLst>
                <a:ext uri="{FF2B5EF4-FFF2-40B4-BE49-F238E27FC236}">
                  <a16:creationId xmlns:a16="http://schemas.microsoft.com/office/drawing/2014/main" id="{00000000-0008-0000-0500-0000BA58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7" name="Rectangle 231">
              <a:extLst>
                <a:ext uri="{FF2B5EF4-FFF2-40B4-BE49-F238E27FC236}">
                  <a16:creationId xmlns:a16="http://schemas.microsoft.com/office/drawing/2014/main" id="{00000000-0008-0000-0500-0000BB58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8" name="Rectangle 232">
              <a:extLst>
                <a:ext uri="{FF2B5EF4-FFF2-40B4-BE49-F238E27FC236}">
                  <a16:creationId xmlns:a16="http://schemas.microsoft.com/office/drawing/2014/main" id="{00000000-0008-0000-0500-0000BC58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69" name="Line 233">
              <a:extLst>
                <a:ext uri="{FF2B5EF4-FFF2-40B4-BE49-F238E27FC236}">
                  <a16:creationId xmlns:a16="http://schemas.microsoft.com/office/drawing/2014/main" id="{00000000-0008-0000-0500-0000BD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70" name="Line 234">
              <a:extLst>
                <a:ext uri="{FF2B5EF4-FFF2-40B4-BE49-F238E27FC236}">
                  <a16:creationId xmlns:a16="http://schemas.microsoft.com/office/drawing/2014/main" id="{00000000-0008-0000-0500-0000BE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0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71" name="Line 235">
              <a:extLst>
                <a:ext uri="{FF2B5EF4-FFF2-40B4-BE49-F238E27FC236}">
                  <a16:creationId xmlns:a16="http://schemas.microsoft.com/office/drawing/2014/main" id="{00000000-0008-0000-0500-0000BF58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61"/>
              <a:ext cx="5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81472" name="Freeform 236">
              <a:extLst>
                <a:ext uri="{FF2B5EF4-FFF2-40B4-BE49-F238E27FC236}">
                  <a16:creationId xmlns:a16="http://schemas.microsoft.com/office/drawing/2014/main" id="{00000000-0008-0000-0500-0000C05807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73" name="Freeform 237">
              <a:extLst>
                <a:ext uri="{FF2B5EF4-FFF2-40B4-BE49-F238E27FC236}">
                  <a16:creationId xmlns:a16="http://schemas.microsoft.com/office/drawing/2014/main" id="{00000000-0008-0000-0500-0000C15807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481474" name="Freeform 238">
              <a:extLst>
                <a:ext uri="{FF2B5EF4-FFF2-40B4-BE49-F238E27FC236}">
                  <a16:creationId xmlns:a16="http://schemas.microsoft.com/office/drawing/2014/main" id="{00000000-0008-0000-0500-0000C25807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1475" name="Freeform 239">
              <a:extLst>
                <a:ext uri="{FF2B5EF4-FFF2-40B4-BE49-F238E27FC236}">
                  <a16:creationId xmlns:a16="http://schemas.microsoft.com/office/drawing/2014/main" id="{00000000-0008-0000-0500-0000C35807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163" name="Line 241">
            <a:extLst>
              <a:ext uri="{FF2B5EF4-FFF2-40B4-BE49-F238E27FC236}">
                <a16:creationId xmlns:a16="http://schemas.microsoft.com/office/drawing/2014/main" id="{00000000-0008-0000-05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1500295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4" name="Line 242">
            <a:extLst>
              <a:ext uri="{FF2B5EF4-FFF2-40B4-BE49-F238E27FC236}">
                <a16:creationId xmlns:a16="http://schemas.microsoft.com/office/drawing/2014/main" id="{00000000-0008-0000-05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1778691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248">
            <a:extLst>
              <a:ext uri="{FF2B5EF4-FFF2-40B4-BE49-F238E27FC236}">
                <a16:creationId xmlns:a16="http://schemas.microsoft.com/office/drawing/2014/main" id="{00000000-0008-0000-0500-0000A5000000}"/>
              </a:ext>
            </a:extLst>
          </xdr:cNvPr>
          <xdr:cNvSpPr>
            <a:spLocks noChangeShapeType="1"/>
          </xdr:cNvSpPr>
        </xdr:nvSpPr>
        <xdr:spPr bwMode="auto">
          <a:xfrm>
            <a:off x="1778691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Line 249">
            <a:extLst>
              <a:ext uri="{FF2B5EF4-FFF2-40B4-BE49-F238E27FC236}">
                <a16:creationId xmlns:a16="http://schemas.microsoft.com/office/drawing/2014/main" id="{00000000-0008-0000-05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3955870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7" name="Line 250">
            <a:extLst>
              <a:ext uri="{FF2B5EF4-FFF2-40B4-BE49-F238E27FC236}">
                <a16:creationId xmlns:a16="http://schemas.microsoft.com/office/drawing/2014/main" id="{00000000-0008-0000-0500-0000A7000000}"/>
              </a:ext>
            </a:extLst>
          </xdr:cNvPr>
          <xdr:cNvSpPr>
            <a:spLocks noChangeShapeType="1"/>
          </xdr:cNvSpPr>
        </xdr:nvSpPr>
        <xdr:spPr bwMode="auto">
          <a:xfrm>
            <a:off x="1866605" y="8035707"/>
            <a:ext cx="2001351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8" name="Freeform 251">
            <a:extLst>
              <a:ext uri="{FF2B5EF4-FFF2-40B4-BE49-F238E27FC236}">
                <a16:creationId xmlns:a16="http://schemas.microsoft.com/office/drawing/2014/main" id="{00000000-0008-0000-0500-0000A8000000}"/>
              </a:ext>
            </a:extLst>
          </xdr:cNvPr>
          <xdr:cNvSpPr>
            <a:spLocks/>
          </xdr:cNvSpPr>
        </xdr:nvSpPr>
        <xdr:spPr bwMode="auto">
          <a:xfrm>
            <a:off x="1778691" y="8022852"/>
            <a:ext cx="87914" cy="25708"/>
          </a:xfrm>
          <a:custGeom>
            <a:avLst/>
            <a:gdLst>
              <a:gd name="T0" fmla="*/ 6 w 6"/>
              <a:gd name="T1" fmla="*/ 0 h 2"/>
              <a:gd name="T2" fmla="*/ 6 w 6"/>
              <a:gd name="T3" fmla="*/ 2 h 2"/>
              <a:gd name="T4" fmla="*/ 0 w 6"/>
              <a:gd name="T5" fmla="*/ 1 h 2"/>
              <a:gd name="T6" fmla="*/ 6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6" y="0"/>
                </a:moveTo>
                <a:lnTo>
                  <a:pt x="6" y="2"/>
                </a:lnTo>
                <a:lnTo>
                  <a:pt x="0" y="1"/>
                </a:lnTo>
                <a:lnTo>
                  <a:pt x="6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9" name="Freeform 253">
            <a:extLst>
              <a:ext uri="{FF2B5EF4-FFF2-40B4-BE49-F238E27FC236}">
                <a16:creationId xmlns:a16="http://schemas.microsoft.com/office/drawing/2014/main" id="{00000000-0008-0000-0500-0000A9000000}"/>
              </a:ext>
            </a:extLst>
          </xdr:cNvPr>
          <xdr:cNvSpPr>
            <a:spLocks/>
          </xdr:cNvSpPr>
        </xdr:nvSpPr>
        <xdr:spPr bwMode="auto">
          <a:xfrm>
            <a:off x="3867956" y="8022852"/>
            <a:ext cx="87914" cy="25708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0" name="Freeform 254">
            <a:extLst>
              <a:ext uri="{FF2B5EF4-FFF2-40B4-BE49-F238E27FC236}">
                <a16:creationId xmlns:a16="http://schemas.microsoft.com/office/drawing/2014/main" id="{00000000-0008-0000-0500-0000AA000000}"/>
              </a:ext>
            </a:extLst>
          </xdr:cNvPr>
          <xdr:cNvSpPr>
            <a:spLocks/>
          </xdr:cNvSpPr>
        </xdr:nvSpPr>
        <xdr:spPr bwMode="auto">
          <a:xfrm>
            <a:off x="3867956" y="8022852"/>
            <a:ext cx="87914" cy="25708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1" name="Line 255">
            <a:extLst>
              <a:ext uri="{FF2B5EF4-FFF2-40B4-BE49-F238E27FC236}">
                <a16:creationId xmlns:a16="http://schemas.microsoft.com/office/drawing/2014/main" id="{00000000-0008-0000-05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3955870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256">
            <a:extLst>
              <a:ext uri="{FF2B5EF4-FFF2-40B4-BE49-F238E27FC236}">
                <a16:creationId xmlns:a16="http://schemas.microsoft.com/office/drawing/2014/main" id="{00000000-0008-0000-05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4234266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3" name="Line 262">
            <a:extLst>
              <a:ext uri="{FF2B5EF4-FFF2-40B4-BE49-F238E27FC236}">
                <a16:creationId xmlns:a16="http://schemas.microsoft.com/office/drawing/2014/main" id="{00000000-0008-0000-0500-0000AD000000}"/>
              </a:ext>
            </a:extLst>
          </xdr:cNvPr>
          <xdr:cNvSpPr>
            <a:spLocks noChangeShapeType="1"/>
          </xdr:cNvSpPr>
        </xdr:nvSpPr>
        <xdr:spPr bwMode="auto">
          <a:xfrm>
            <a:off x="4234266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" name="Line 263">
            <a:extLst>
              <a:ext uri="{FF2B5EF4-FFF2-40B4-BE49-F238E27FC236}">
                <a16:creationId xmlns:a16="http://schemas.microsoft.com/office/drawing/2014/main" id="{00000000-0008-0000-0500-0000AE000000}"/>
              </a:ext>
            </a:extLst>
          </xdr:cNvPr>
          <xdr:cNvSpPr>
            <a:spLocks noChangeShapeType="1"/>
          </xdr:cNvSpPr>
        </xdr:nvSpPr>
        <xdr:spPr bwMode="auto">
          <a:xfrm>
            <a:off x="5248157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5" name="Line 264">
            <a:extLst>
              <a:ext uri="{FF2B5EF4-FFF2-40B4-BE49-F238E27FC236}">
                <a16:creationId xmlns:a16="http://schemas.microsoft.com/office/drawing/2014/main" id="{00000000-0008-0000-0500-0000AF000000}"/>
              </a:ext>
            </a:extLst>
          </xdr:cNvPr>
          <xdr:cNvSpPr>
            <a:spLocks noChangeShapeType="1"/>
          </xdr:cNvSpPr>
        </xdr:nvSpPr>
        <xdr:spPr bwMode="auto">
          <a:xfrm>
            <a:off x="4307529" y="8035707"/>
            <a:ext cx="867366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8" name="Freeform 265">
            <a:extLst>
              <a:ext uri="{FF2B5EF4-FFF2-40B4-BE49-F238E27FC236}">
                <a16:creationId xmlns:a16="http://schemas.microsoft.com/office/drawing/2014/main" id="{00000000-0008-0000-0500-0000B2000000}"/>
              </a:ext>
            </a:extLst>
          </xdr:cNvPr>
          <xdr:cNvSpPr>
            <a:spLocks/>
          </xdr:cNvSpPr>
        </xdr:nvSpPr>
        <xdr:spPr bwMode="auto">
          <a:xfrm>
            <a:off x="4234266" y="8022852"/>
            <a:ext cx="73262" cy="25708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9" name="Freeform 266">
            <a:extLst>
              <a:ext uri="{FF2B5EF4-FFF2-40B4-BE49-F238E27FC236}">
                <a16:creationId xmlns:a16="http://schemas.microsoft.com/office/drawing/2014/main" id="{00000000-0008-0000-0500-0000B3000000}"/>
              </a:ext>
            </a:extLst>
          </xdr:cNvPr>
          <xdr:cNvSpPr>
            <a:spLocks/>
          </xdr:cNvSpPr>
        </xdr:nvSpPr>
        <xdr:spPr bwMode="auto">
          <a:xfrm>
            <a:off x="4234266" y="8022852"/>
            <a:ext cx="73262" cy="25708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0" name="Freeform 267">
            <a:extLst>
              <a:ext uri="{FF2B5EF4-FFF2-40B4-BE49-F238E27FC236}">
                <a16:creationId xmlns:a16="http://schemas.microsoft.com/office/drawing/2014/main" id="{00000000-0008-0000-0500-0000B4000000}"/>
              </a:ext>
            </a:extLst>
          </xdr:cNvPr>
          <xdr:cNvSpPr>
            <a:spLocks/>
          </xdr:cNvSpPr>
        </xdr:nvSpPr>
        <xdr:spPr bwMode="auto">
          <a:xfrm>
            <a:off x="5174895" y="8022852"/>
            <a:ext cx="73262" cy="25708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1" name="Freeform 268">
            <a:extLst>
              <a:ext uri="{FF2B5EF4-FFF2-40B4-BE49-F238E27FC236}">
                <a16:creationId xmlns:a16="http://schemas.microsoft.com/office/drawing/2014/main" id="{00000000-0008-0000-0500-0000B5000000}"/>
              </a:ext>
            </a:extLst>
          </xdr:cNvPr>
          <xdr:cNvSpPr>
            <a:spLocks/>
          </xdr:cNvSpPr>
        </xdr:nvSpPr>
        <xdr:spPr bwMode="auto">
          <a:xfrm>
            <a:off x="5174895" y="8022852"/>
            <a:ext cx="73262" cy="25708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186</xdr:row>
      <xdr:rowOff>0</xdr:rowOff>
    </xdr:from>
    <xdr:to>
      <xdr:col>9</xdr:col>
      <xdr:colOff>304800</xdr:colOff>
      <xdr:row>186</xdr:row>
      <xdr:rowOff>0</xdr:rowOff>
    </xdr:to>
    <xdr:grpSp>
      <xdr:nvGrpSpPr>
        <xdr:cNvPr id="2" name="Group 9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>
          <a:grpSpLocks/>
        </xdr:cNvGrpSpPr>
      </xdr:nvGrpSpPr>
      <xdr:grpSpPr bwMode="auto">
        <a:xfrm>
          <a:off x="4587875" y="36195000"/>
          <a:ext cx="2092325" cy="0"/>
          <a:chOff x="497" y="3068"/>
          <a:chExt cx="140" cy="102"/>
        </a:xfrm>
      </xdr:grpSpPr>
      <xdr:sp macro="" textlink="">
        <xdr:nvSpPr>
          <xdr:cNvPr id="3" name="Line 10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20"/>
            <a:ext cx="0" cy="4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11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119"/>
            <a:ext cx="0" cy="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12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518" y="3120"/>
            <a:ext cx="112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13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67"/>
            <a:ext cx="112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1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69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5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068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6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74"/>
            <a:ext cx="113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7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497" y="3120"/>
            <a:ext cx="1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8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498" y="3167"/>
            <a:ext cx="2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9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505" y="3117"/>
            <a:ext cx="0" cy="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3" name="Group 20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GrpSpPr>
            <a:grpSpLocks/>
          </xdr:cNvGrpSpPr>
        </xdr:nvGrpSpPr>
        <xdr:grpSpPr bwMode="auto">
          <a:xfrm>
            <a:off x="531" y="3115"/>
            <a:ext cx="10" cy="6"/>
            <a:chOff x="545" y="3239"/>
            <a:chExt cx="10" cy="6"/>
          </a:xfrm>
        </xdr:grpSpPr>
        <xdr:sp macro="" textlink="">
          <xdr:nvSpPr>
            <xdr:cNvPr id="50" name="Line 21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" name="Line 22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4" name="Group 2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GrpSpPr>
            <a:grpSpLocks/>
          </xdr:cNvGrpSpPr>
        </xdr:nvGrpSpPr>
        <xdr:grpSpPr bwMode="auto">
          <a:xfrm>
            <a:off x="515" y="3114"/>
            <a:ext cx="10" cy="6"/>
            <a:chOff x="545" y="3239"/>
            <a:chExt cx="10" cy="6"/>
          </a:xfrm>
        </xdr:grpSpPr>
        <xdr:sp macro="" textlink="">
          <xdr:nvSpPr>
            <xdr:cNvPr id="48" name="Line 2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" name="Line 25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5" name="Group 26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>
            <a:grpSpLocks/>
          </xdr:cNvGrpSpPr>
        </xdr:nvGrpSpPr>
        <xdr:grpSpPr bwMode="auto">
          <a:xfrm>
            <a:off x="548" y="3115"/>
            <a:ext cx="10" cy="6"/>
            <a:chOff x="545" y="3239"/>
            <a:chExt cx="10" cy="6"/>
          </a:xfrm>
        </xdr:grpSpPr>
        <xdr:sp macro="" textlink="">
          <xdr:nvSpPr>
            <xdr:cNvPr id="46" name="Line 27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" name="Line 28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6" name="Group 29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GrpSpPr>
            <a:grpSpLocks/>
          </xdr:cNvGrpSpPr>
        </xdr:nvGrpSpPr>
        <xdr:grpSpPr bwMode="auto">
          <a:xfrm>
            <a:off x="564" y="3113"/>
            <a:ext cx="10" cy="6"/>
            <a:chOff x="545" y="3239"/>
            <a:chExt cx="10" cy="6"/>
          </a:xfrm>
        </xdr:grpSpPr>
        <xdr:sp macro="" textlink="">
          <xdr:nvSpPr>
            <xdr:cNvPr id="44" name="Line 30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5" name="Line 31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7" name="Group 32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GrpSpPr>
            <a:grpSpLocks/>
          </xdr:cNvGrpSpPr>
        </xdr:nvGrpSpPr>
        <xdr:grpSpPr bwMode="auto">
          <a:xfrm>
            <a:off x="584" y="3113"/>
            <a:ext cx="10" cy="6"/>
            <a:chOff x="545" y="3239"/>
            <a:chExt cx="10" cy="6"/>
          </a:xfrm>
        </xdr:grpSpPr>
        <xdr:sp macro="" textlink="">
          <xdr:nvSpPr>
            <xdr:cNvPr id="42" name="Line 33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3" name="Line 34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8" name="Group 35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GrpSpPr>
            <a:grpSpLocks/>
          </xdr:cNvGrpSpPr>
        </xdr:nvGrpSpPr>
        <xdr:grpSpPr bwMode="auto">
          <a:xfrm>
            <a:off x="600" y="3114"/>
            <a:ext cx="10" cy="6"/>
            <a:chOff x="545" y="3239"/>
            <a:chExt cx="10" cy="6"/>
          </a:xfrm>
        </xdr:grpSpPr>
        <xdr:sp macro="" textlink="">
          <xdr:nvSpPr>
            <xdr:cNvPr id="40" name="Line 36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" name="Line 37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9" name="Group 3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GrpSpPr>
            <a:grpSpLocks/>
          </xdr:cNvGrpSpPr>
        </xdr:nvGrpSpPr>
        <xdr:grpSpPr bwMode="auto">
          <a:xfrm>
            <a:off x="617" y="3113"/>
            <a:ext cx="10" cy="6"/>
            <a:chOff x="545" y="3239"/>
            <a:chExt cx="10" cy="6"/>
          </a:xfrm>
        </xdr:grpSpPr>
        <xdr:sp macro="" textlink="">
          <xdr:nvSpPr>
            <xdr:cNvPr id="38" name="Line 39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" name="Line 40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0" name="Group 41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GrpSpPr>
            <a:grpSpLocks/>
          </xdr:cNvGrpSpPr>
        </xdr:nvGrpSpPr>
        <xdr:grpSpPr bwMode="auto">
          <a:xfrm>
            <a:off x="630" y="3123"/>
            <a:ext cx="7" cy="9"/>
            <a:chOff x="653" y="3197"/>
            <a:chExt cx="7" cy="9"/>
          </a:xfrm>
        </xdr:grpSpPr>
        <xdr:sp macro="" textlink="">
          <xdr:nvSpPr>
            <xdr:cNvPr id="36" name="Line 42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" name="Line 43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1" name="Group 4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>
            <a:grpSpLocks/>
          </xdr:cNvGrpSpPr>
        </xdr:nvGrpSpPr>
        <xdr:grpSpPr bwMode="auto">
          <a:xfrm>
            <a:off x="629" y="3140"/>
            <a:ext cx="7" cy="9"/>
            <a:chOff x="653" y="3197"/>
            <a:chExt cx="7" cy="9"/>
          </a:xfrm>
        </xdr:grpSpPr>
        <xdr:sp macro="" textlink="">
          <xdr:nvSpPr>
            <xdr:cNvPr id="34" name="Line 45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5" name="Line 46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2" name="Group 47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GrpSpPr>
            <a:grpSpLocks/>
          </xdr:cNvGrpSpPr>
        </xdr:nvGrpSpPr>
        <xdr:grpSpPr bwMode="auto">
          <a:xfrm>
            <a:off x="629" y="3158"/>
            <a:ext cx="7" cy="9"/>
            <a:chOff x="653" y="3197"/>
            <a:chExt cx="7" cy="9"/>
          </a:xfrm>
        </xdr:grpSpPr>
        <xdr:sp macro="" textlink="">
          <xdr:nvSpPr>
            <xdr:cNvPr id="32" name="Line 48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3" name="Line 49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3" name="Group 50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GrpSpPr>
            <a:grpSpLocks/>
          </xdr:cNvGrpSpPr>
        </xdr:nvGrpSpPr>
        <xdr:grpSpPr bwMode="auto">
          <a:xfrm>
            <a:off x="511" y="3140"/>
            <a:ext cx="7" cy="9"/>
            <a:chOff x="653" y="3197"/>
            <a:chExt cx="7" cy="9"/>
          </a:xfrm>
        </xdr:grpSpPr>
        <xdr:sp macro="" textlink="">
          <xdr:nvSpPr>
            <xdr:cNvPr id="30" name="Line 51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52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4" name="Group 5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GrpSpPr>
            <a:grpSpLocks/>
          </xdr:cNvGrpSpPr>
        </xdr:nvGrpSpPr>
        <xdr:grpSpPr bwMode="auto">
          <a:xfrm>
            <a:off x="511" y="3121"/>
            <a:ext cx="7" cy="9"/>
            <a:chOff x="653" y="3197"/>
            <a:chExt cx="7" cy="9"/>
          </a:xfrm>
        </xdr:grpSpPr>
        <xdr:sp macro="" textlink="">
          <xdr:nvSpPr>
            <xdr:cNvPr id="28" name="Line 54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55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5" name="Group 56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GrpSpPr>
            <a:grpSpLocks/>
          </xdr:cNvGrpSpPr>
        </xdr:nvGrpSpPr>
        <xdr:grpSpPr bwMode="auto">
          <a:xfrm>
            <a:off x="511" y="3158"/>
            <a:ext cx="7" cy="9"/>
            <a:chOff x="653" y="3197"/>
            <a:chExt cx="7" cy="9"/>
          </a:xfrm>
        </xdr:grpSpPr>
        <xdr:sp macro="" textlink="">
          <xdr:nvSpPr>
            <xdr:cNvPr id="26" name="Line 57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58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7</xdr:col>
      <xdr:colOff>238125</xdr:colOff>
      <xdr:row>186</xdr:row>
      <xdr:rowOff>0</xdr:rowOff>
    </xdr:from>
    <xdr:to>
      <xdr:col>9</xdr:col>
      <xdr:colOff>219075</xdr:colOff>
      <xdr:row>186</xdr:row>
      <xdr:rowOff>0</xdr:rowOff>
    </xdr:to>
    <xdr:grpSp>
      <xdr:nvGrpSpPr>
        <xdr:cNvPr id="52" name="Group 59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pSpPr>
          <a:grpSpLocks/>
        </xdr:cNvGrpSpPr>
      </xdr:nvGrpSpPr>
      <xdr:grpSpPr bwMode="auto">
        <a:xfrm>
          <a:off x="5210175" y="36195000"/>
          <a:ext cx="1384300" cy="0"/>
          <a:chOff x="463" y="2821"/>
          <a:chExt cx="103" cy="82"/>
        </a:xfrm>
      </xdr:grpSpPr>
      <xdr:sp macro="" textlink="">
        <xdr:nvSpPr>
          <xdr:cNvPr id="53" name="Line 60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0" cy="6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61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6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62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901"/>
            <a:ext cx="6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63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540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64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>
            <a:spLocks noChangeShapeType="1"/>
          </xdr:cNvSpPr>
        </xdr:nvSpPr>
        <xdr:spPr bwMode="auto">
          <a:xfrm>
            <a:off x="547" y="2844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65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545" y="2901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9" name="Line 66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>
            <a:spLocks noChangeShapeType="1"/>
          </xdr:cNvSpPr>
        </xdr:nvSpPr>
        <xdr:spPr bwMode="auto">
          <a:xfrm>
            <a:off x="557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Line 67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21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Line 68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2822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Line 69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2825"/>
            <a:ext cx="7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63" name="Group 70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GrpSpPr>
            <a:grpSpLocks/>
          </xdr:cNvGrpSpPr>
        </xdr:nvGrpSpPr>
        <xdr:grpSpPr bwMode="auto">
          <a:xfrm>
            <a:off x="530" y="2836"/>
            <a:ext cx="10" cy="6"/>
            <a:chOff x="545" y="3239"/>
            <a:chExt cx="10" cy="6"/>
          </a:xfrm>
        </xdr:grpSpPr>
        <xdr:sp macro="" textlink="">
          <xdr:nvSpPr>
            <xdr:cNvPr id="82" name="Line 7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3" name="Line 7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4" name="Group 7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GrpSpPr>
            <a:grpSpLocks/>
          </xdr:cNvGrpSpPr>
        </xdr:nvGrpSpPr>
        <xdr:grpSpPr bwMode="auto">
          <a:xfrm>
            <a:off x="463" y="2868"/>
            <a:ext cx="7" cy="9"/>
            <a:chOff x="653" y="3197"/>
            <a:chExt cx="7" cy="9"/>
          </a:xfrm>
        </xdr:grpSpPr>
        <xdr:sp macro="" textlink="">
          <xdr:nvSpPr>
            <xdr:cNvPr id="80" name="Line 74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1" name="Line 75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5" name="Group 76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GrpSpPr>
            <a:grpSpLocks/>
          </xdr:cNvGrpSpPr>
        </xdr:nvGrpSpPr>
        <xdr:grpSpPr bwMode="auto">
          <a:xfrm>
            <a:off x="464" y="2846"/>
            <a:ext cx="7" cy="9"/>
            <a:chOff x="653" y="3197"/>
            <a:chExt cx="7" cy="9"/>
          </a:xfrm>
        </xdr:grpSpPr>
        <xdr:sp macro="" textlink="">
          <xdr:nvSpPr>
            <xdr:cNvPr id="78" name="Line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9" name="Line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6" name="Group 79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GrpSpPr>
            <a:grpSpLocks/>
          </xdr:cNvGrpSpPr>
        </xdr:nvGrpSpPr>
        <xdr:grpSpPr bwMode="auto">
          <a:xfrm>
            <a:off x="463" y="2892"/>
            <a:ext cx="7" cy="9"/>
            <a:chOff x="653" y="3197"/>
            <a:chExt cx="7" cy="9"/>
          </a:xfrm>
        </xdr:grpSpPr>
        <xdr:sp macro="" textlink="">
          <xdr:nvSpPr>
            <xdr:cNvPr id="76" name="Line 80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7" name="Line 81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7" name="Group 82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GrpSpPr>
            <a:grpSpLocks/>
          </xdr:cNvGrpSpPr>
        </xdr:nvGrpSpPr>
        <xdr:grpSpPr bwMode="auto">
          <a:xfrm>
            <a:off x="511" y="2837"/>
            <a:ext cx="10" cy="6"/>
            <a:chOff x="545" y="3239"/>
            <a:chExt cx="10" cy="6"/>
          </a:xfrm>
        </xdr:grpSpPr>
        <xdr:sp macro="" textlink="">
          <xdr:nvSpPr>
            <xdr:cNvPr id="74" name="Line 8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5" name="Line 8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8" name="Group 85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474" y="2837"/>
            <a:ext cx="10" cy="6"/>
            <a:chOff x="545" y="3239"/>
            <a:chExt cx="10" cy="6"/>
          </a:xfrm>
        </xdr:grpSpPr>
        <xdr:sp macro="" textlink="">
          <xdr:nvSpPr>
            <xdr:cNvPr id="72" name="Line 86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" name="Line 87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9" name="Group 8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GrpSpPr>
            <a:grpSpLocks/>
          </xdr:cNvGrpSpPr>
        </xdr:nvGrpSpPr>
        <xdr:grpSpPr bwMode="auto">
          <a:xfrm>
            <a:off x="492" y="2836"/>
            <a:ext cx="10" cy="6"/>
            <a:chOff x="545" y="3239"/>
            <a:chExt cx="10" cy="6"/>
          </a:xfrm>
        </xdr:grpSpPr>
        <xdr:sp macro="" textlink="">
          <xdr:nvSpPr>
            <xdr:cNvPr id="70" name="Line 8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1" name="Line 9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647700</xdr:colOff>
      <xdr:row>186</xdr:row>
      <xdr:rowOff>0</xdr:rowOff>
    </xdr:from>
    <xdr:to>
      <xdr:col>9</xdr:col>
      <xdr:colOff>28575</xdr:colOff>
      <xdr:row>186</xdr:row>
      <xdr:rowOff>0</xdr:rowOff>
    </xdr:to>
    <xdr:grpSp>
      <xdr:nvGrpSpPr>
        <xdr:cNvPr id="84" name="Group 174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GrpSpPr>
          <a:grpSpLocks/>
        </xdr:cNvGrpSpPr>
      </xdr:nvGrpSpPr>
      <xdr:grpSpPr bwMode="auto">
        <a:xfrm>
          <a:off x="647700" y="36195000"/>
          <a:ext cx="5756275" cy="0"/>
          <a:chOff x="67" y="3604"/>
          <a:chExt cx="476" cy="354"/>
        </a:xfrm>
      </xdr:grpSpPr>
      <xdr:sp macro="" textlink="">
        <xdr:nvSpPr>
          <xdr:cNvPr id="85" name="Rectangle 175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09"/>
            <a:ext cx="336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6" name="Rectangle 176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>
            <a:spLocks noChangeArrowheads="1"/>
          </xdr:cNvSpPr>
        </xdr:nvSpPr>
        <xdr:spPr bwMode="auto">
          <a:xfrm>
            <a:off x="147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7" name="Rectangle 177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>
            <a:spLocks noChangeArrowheads="1"/>
          </xdr:cNvSpPr>
        </xdr:nvSpPr>
        <xdr:spPr bwMode="auto">
          <a:xfrm>
            <a:off x="302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8" name="Rectangle 178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854"/>
            <a:ext cx="33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9" name="Rectangle 179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88"/>
            <a:ext cx="33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0" name="Rectangle 180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207" y="3749"/>
            <a:ext cx="61" cy="62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1" name="Line 181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875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2" name="Line 18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4" y="3785"/>
            <a:ext cx="79" cy="7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3" name="Line 183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>
            <a:spLocks noChangeShapeType="1"/>
          </xdr:cNvSpPr>
        </xdr:nvSpPr>
        <xdr:spPr bwMode="auto">
          <a:xfrm>
            <a:off x="267" y="3811"/>
            <a:ext cx="36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4" name="Line 184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7" y="3877"/>
            <a:ext cx="56" cy="8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" name="Line 185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" y="3709"/>
            <a:ext cx="34" cy="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6" name="Line 186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708"/>
            <a:ext cx="79" cy="6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7" name="Line 187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3" y="3608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8" name="Line 188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SpPr>
            <a:spLocks noChangeShapeType="1"/>
          </xdr:cNvSpPr>
        </xdr:nvSpPr>
        <xdr:spPr bwMode="auto">
          <a:xfrm>
            <a:off x="236" y="3609"/>
            <a:ext cx="67" cy="8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9" name="Line 189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3604"/>
            <a:ext cx="0" cy="35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0" name="Line 190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958"/>
            <a:ext cx="7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" name="Line 191"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4" y="3865"/>
            <a:ext cx="66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" name="Line 192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90"/>
            <a:ext cx="7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" name="Line 193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0" y="3699"/>
            <a:ext cx="70" cy="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" name="Line 194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" name="Line 195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" name="Line 196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68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" name="Rectangle 197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680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8" name="Rectangle 198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294" y="3679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9" name="Rectangle 199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SpPr>
            <a:spLocks noChangeArrowheads="1"/>
          </xdr:cNvSpPr>
        </xdr:nvSpPr>
        <xdr:spPr bwMode="auto">
          <a:xfrm>
            <a:off x="292" y="3845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" name="Rectangle 200">
            <a:extLst>
              <a:ext uri="{FF2B5EF4-FFF2-40B4-BE49-F238E27FC236}">
                <a16:creationId xmlns:a16="http://schemas.microsoft.com/office/drawing/2014/main" id="{00000000-0008-0000-0600-00006E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844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186</xdr:row>
      <xdr:rowOff>0</xdr:rowOff>
    </xdr:from>
    <xdr:to>
      <xdr:col>9</xdr:col>
      <xdr:colOff>9525</xdr:colOff>
      <xdr:row>186</xdr:row>
      <xdr:rowOff>0</xdr:rowOff>
    </xdr:to>
    <xdr:grpSp>
      <xdr:nvGrpSpPr>
        <xdr:cNvPr id="111" name="Group 201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GrpSpPr>
          <a:grpSpLocks/>
        </xdr:cNvGrpSpPr>
      </xdr:nvGrpSpPr>
      <xdr:grpSpPr bwMode="auto">
        <a:xfrm>
          <a:off x="736600" y="36195000"/>
          <a:ext cx="5648325" cy="0"/>
          <a:chOff x="68" y="2526"/>
          <a:chExt cx="446" cy="100"/>
        </a:xfrm>
      </xdr:grpSpPr>
      <xdr:sp macro="" textlink="">
        <xdr:nvSpPr>
          <xdr:cNvPr id="112" name="Line 202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64"/>
            <a:ext cx="44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" name="Line 203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47"/>
            <a:ext cx="0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4" name="Line 204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SpPr>
            <a:spLocks noChangeShapeType="1"/>
          </xdr:cNvSpPr>
        </xdr:nvSpPr>
        <xdr:spPr bwMode="auto">
          <a:xfrm>
            <a:off x="513" y="256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5" name="Line 205">
            <a:extLst>
              <a:ext uri="{FF2B5EF4-FFF2-40B4-BE49-F238E27FC236}">
                <a16:creationId xmlns:a16="http://schemas.microsoft.com/office/drawing/2014/main" id="{00000000-0008-0000-0600-000073000000}"/>
              </a:ext>
            </a:extLst>
          </xdr:cNvPr>
          <xdr:cNvSpPr>
            <a:spLocks noChangeShapeType="1"/>
          </xdr:cNvSpPr>
        </xdr:nvSpPr>
        <xdr:spPr bwMode="auto">
          <a:xfrm>
            <a:off x="70" y="2546"/>
            <a:ext cx="442" cy="4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6" name="Line 206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>
            <a:spLocks noChangeShapeType="1"/>
          </xdr:cNvSpPr>
        </xdr:nvSpPr>
        <xdr:spPr bwMode="auto">
          <a:xfrm>
            <a:off x="139" y="2555"/>
            <a:ext cx="0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7" name="Line 207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>
            <a:spLocks noChangeShapeType="1"/>
          </xdr:cNvSpPr>
        </xdr:nvSpPr>
        <xdr:spPr bwMode="auto">
          <a:xfrm>
            <a:off x="158" y="2556"/>
            <a:ext cx="0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8" name="Line 208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>
            <a:spLocks noChangeShapeType="1"/>
          </xdr:cNvSpPr>
        </xdr:nvSpPr>
        <xdr:spPr bwMode="auto">
          <a:xfrm>
            <a:off x="391" y="2563"/>
            <a:ext cx="0" cy="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9" name="Line 209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4" y="2563"/>
            <a:ext cx="1" cy="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0" name="Line 210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>
            <a:spLocks noChangeShapeType="1"/>
          </xdr:cNvSpPr>
        </xdr:nvSpPr>
        <xdr:spPr bwMode="auto">
          <a:xfrm>
            <a:off x="288" y="2526"/>
            <a:ext cx="0" cy="7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1" name="Line 211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>
            <a:spLocks noChangeShapeType="1"/>
          </xdr:cNvSpPr>
        </xdr:nvSpPr>
        <xdr:spPr bwMode="auto">
          <a:xfrm>
            <a:off x="68" y="2626"/>
            <a:ext cx="4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" name="Line 212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609"/>
            <a:ext cx="28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3" name="Line 213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594"/>
            <a:ext cx="5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448</xdr:row>
          <xdr:rowOff>146050</xdr:rowOff>
        </xdr:from>
        <xdr:to>
          <xdr:col>1</xdr:col>
          <xdr:colOff>641350</xdr:colOff>
          <xdr:row>450</xdr:row>
          <xdr:rowOff>19050</xdr:rowOff>
        </xdr:to>
        <xdr:sp macro="" textlink="">
          <xdr:nvSpPr>
            <xdr:cNvPr id="519169" name="Object 1" hidden="1">
              <a:extLst>
                <a:ext uri="{63B3BB69-23CF-44E3-9099-C40C66FF867C}">
                  <a14:compatExt spid="_x0000_s519169"/>
                </a:ext>
                <a:ext uri="{FF2B5EF4-FFF2-40B4-BE49-F238E27FC236}">
                  <a16:creationId xmlns:a16="http://schemas.microsoft.com/office/drawing/2014/main" id="{00000000-0008-0000-0600-000001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146050</xdr:colOff>
          <xdr:row>449</xdr:row>
          <xdr:rowOff>209550</xdr:rowOff>
        </xdr:to>
        <xdr:sp macro="" textlink="">
          <xdr:nvSpPr>
            <xdr:cNvPr id="519170" name="Object 2" hidden="1">
              <a:extLst>
                <a:ext uri="{63B3BB69-23CF-44E3-9099-C40C66FF867C}">
                  <a14:compatExt spid="_x0000_s519170"/>
                </a:ext>
                <a:ext uri="{FF2B5EF4-FFF2-40B4-BE49-F238E27FC236}">
                  <a16:creationId xmlns:a16="http://schemas.microsoft.com/office/drawing/2014/main" id="{00000000-0008-0000-0600-000002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247650</xdr:colOff>
          <xdr:row>449</xdr:row>
          <xdr:rowOff>165100</xdr:rowOff>
        </xdr:to>
        <xdr:sp macro="" textlink="">
          <xdr:nvSpPr>
            <xdr:cNvPr id="519171" name="Object 3" hidden="1">
              <a:extLst>
                <a:ext uri="{63B3BB69-23CF-44E3-9099-C40C66FF867C}">
                  <a14:compatExt spid="_x0000_s519171"/>
                </a:ext>
                <a:ext uri="{FF2B5EF4-FFF2-40B4-BE49-F238E27FC236}">
                  <a16:creationId xmlns:a16="http://schemas.microsoft.com/office/drawing/2014/main" id="{00000000-0008-0000-0600-000003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448</xdr:row>
          <xdr:rowOff>146050</xdr:rowOff>
        </xdr:from>
        <xdr:to>
          <xdr:col>6</xdr:col>
          <xdr:colOff>76200</xdr:colOff>
          <xdr:row>449</xdr:row>
          <xdr:rowOff>203200</xdr:rowOff>
        </xdr:to>
        <xdr:sp macro="" textlink="">
          <xdr:nvSpPr>
            <xdr:cNvPr id="519172" name="Object 4" hidden="1">
              <a:extLst>
                <a:ext uri="{63B3BB69-23CF-44E3-9099-C40C66FF867C}">
                  <a14:compatExt spid="_x0000_s519172"/>
                </a:ext>
                <a:ext uri="{FF2B5EF4-FFF2-40B4-BE49-F238E27FC236}">
                  <a16:creationId xmlns:a16="http://schemas.microsoft.com/office/drawing/2014/main" id="{00000000-0008-0000-0600-000004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448</xdr:row>
          <xdr:rowOff>88900</xdr:rowOff>
        </xdr:from>
        <xdr:to>
          <xdr:col>3</xdr:col>
          <xdr:colOff>361950</xdr:colOff>
          <xdr:row>450</xdr:row>
          <xdr:rowOff>95250</xdr:rowOff>
        </xdr:to>
        <xdr:sp macro="" textlink="">
          <xdr:nvSpPr>
            <xdr:cNvPr id="519173" name="Object 5" hidden="1">
              <a:extLst>
                <a:ext uri="{63B3BB69-23CF-44E3-9099-C40C66FF867C}">
                  <a14:compatExt spid="_x0000_s519173"/>
                </a:ext>
                <a:ext uri="{FF2B5EF4-FFF2-40B4-BE49-F238E27FC236}">
                  <a16:creationId xmlns:a16="http://schemas.microsoft.com/office/drawing/2014/main" id="{00000000-0008-0000-0600-000005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449</xdr:row>
          <xdr:rowOff>19050</xdr:rowOff>
        </xdr:from>
        <xdr:to>
          <xdr:col>3</xdr:col>
          <xdr:colOff>222250</xdr:colOff>
          <xdr:row>450</xdr:row>
          <xdr:rowOff>165100</xdr:rowOff>
        </xdr:to>
        <xdr:sp macro="" textlink="">
          <xdr:nvSpPr>
            <xdr:cNvPr id="519174" name="Object 6" hidden="1">
              <a:extLst>
                <a:ext uri="{63B3BB69-23CF-44E3-9099-C40C66FF867C}">
                  <a14:compatExt spid="_x0000_s519174"/>
                </a:ext>
                <a:ext uri="{FF2B5EF4-FFF2-40B4-BE49-F238E27FC236}">
                  <a16:creationId xmlns:a16="http://schemas.microsoft.com/office/drawing/2014/main" id="{00000000-0008-0000-0600-000006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133350</xdr:rowOff>
        </xdr:from>
        <xdr:to>
          <xdr:col>2</xdr:col>
          <xdr:colOff>336550</xdr:colOff>
          <xdr:row>450</xdr:row>
          <xdr:rowOff>31750</xdr:rowOff>
        </xdr:to>
        <xdr:sp macro="" textlink="">
          <xdr:nvSpPr>
            <xdr:cNvPr id="519175" name="Object 7" hidden="1">
              <a:extLst>
                <a:ext uri="{63B3BB69-23CF-44E3-9099-C40C66FF867C}">
                  <a14:compatExt spid="_x0000_s519175"/>
                </a:ext>
                <a:ext uri="{FF2B5EF4-FFF2-40B4-BE49-F238E27FC236}">
                  <a16:creationId xmlns:a16="http://schemas.microsoft.com/office/drawing/2014/main" id="{00000000-0008-0000-0600-000007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448</xdr:row>
          <xdr:rowOff>88900</xdr:rowOff>
        </xdr:from>
        <xdr:to>
          <xdr:col>4</xdr:col>
          <xdr:colOff>628650</xdr:colOff>
          <xdr:row>449</xdr:row>
          <xdr:rowOff>203200</xdr:rowOff>
        </xdr:to>
        <xdr:sp macro="" textlink="">
          <xdr:nvSpPr>
            <xdr:cNvPr id="519176" name="Object 8" hidden="1">
              <a:extLst>
                <a:ext uri="{63B3BB69-23CF-44E3-9099-C40C66FF867C}">
                  <a14:compatExt spid="_x0000_s519176"/>
                </a:ext>
                <a:ext uri="{FF2B5EF4-FFF2-40B4-BE49-F238E27FC236}">
                  <a16:creationId xmlns:a16="http://schemas.microsoft.com/office/drawing/2014/main" id="{00000000-0008-0000-0600-000008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508000</xdr:colOff>
          <xdr:row>449</xdr:row>
          <xdr:rowOff>31750</xdr:rowOff>
        </xdr:from>
        <xdr:to>
          <xdr:col>4</xdr:col>
          <xdr:colOff>622300</xdr:colOff>
          <xdr:row>450</xdr:row>
          <xdr:rowOff>88900</xdr:rowOff>
        </xdr:to>
        <xdr:sp macro="" textlink="">
          <xdr:nvSpPr>
            <xdr:cNvPr id="519177" name="Object 9" hidden="1">
              <a:extLst>
                <a:ext uri="{63B3BB69-23CF-44E3-9099-C40C66FF867C}">
                  <a14:compatExt spid="_x0000_s519177"/>
                </a:ext>
                <a:ext uri="{FF2B5EF4-FFF2-40B4-BE49-F238E27FC236}">
                  <a16:creationId xmlns:a16="http://schemas.microsoft.com/office/drawing/2014/main" id="{00000000-0008-0000-0600-000009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127000</xdr:rowOff>
        </xdr:from>
        <xdr:to>
          <xdr:col>2</xdr:col>
          <xdr:colOff>336550</xdr:colOff>
          <xdr:row>450</xdr:row>
          <xdr:rowOff>19050</xdr:rowOff>
        </xdr:to>
        <xdr:sp macro="" textlink="">
          <xdr:nvSpPr>
            <xdr:cNvPr id="519178" name="Object 10" hidden="1">
              <a:extLst>
                <a:ext uri="{63B3BB69-23CF-44E3-9099-C40C66FF867C}">
                  <a14:compatExt spid="_x0000_s519178"/>
                </a:ext>
                <a:ext uri="{FF2B5EF4-FFF2-40B4-BE49-F238E27FC236}">
                  <a16:creationId xmlns:a16="http://schemas.microsoft.com/office/drawing/2014/main" id="{00000000-0008-0000-0600-00000A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448</xdr:row>
          <xdr:rowOff>165100</xdr:rowOff>
        </xdr:from>
        <xdr:to>
          <xdr:col>6</xdr:col>
          <xdr:colOff>114300</xdr:colOff>
          <xdr:row>449</xdr:row>
          <xdr:rowOff>209550</xdr:rowOff>
        </xdr:to>
        <xdr:sp macro="" textlink="">
          <xdr:nvSpPr>
            <xdr:cNvPr id="519179" name="Object 11" hidden="1">
              <a:extLst>
                <a:ext uri="{63B3BB69-23CF-44E3-9099-C40C66FF867C}">
                  <a14:compatExt spid="_x0000_s519179"/>
                </a:ext>
                <a:ext uri="{FF2B5EF4-FFF2-40B4-BE49-F238E27FC236}">
                  <a16:creationId xmlns:a16="http://schemas.microsoft.com/office/drawing/2014/main" id="{00000000-0008-0000-0600-00000B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312</xdr:row>
          <xdr:rowOff>31750</xdr:rowOff>
        </xdr:from>
        <xdr:to>
          <xdr:col>3</xdr:col>
          <xdr:colOff>628650</xdr:colOff>
          <xdr:row>314</xdr:row>
          <xdr:rowOff>114300</xdr:rowOff>
        </xdr:to>
        <xdr:sp macro="" textlink="">
          <xdr:nvSpPr>
            <xdr:cNvPr id="519180" name="Object 12" hidden="1">
              <a:extLst>
                <a:ext uri="{63B3BB69-23CF-44E3-9099-C40C66FF867C}">
                  <a14:compatExt spid="_x0000_s519180"/>
                </a:ext>
                <a:ext uri="{FF2B5EF4-FFF2-40B4-BE49-F238E27FC236}">
                  <a16:creationId xmlns:a16="http://schemas.microsoft.com/office/drawing/2014/main" id="{00000000-0008-0000-0600-00000C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314</xdr:row>
          <xdr:rowOff>114300</xdr:rowOff>
        </xdr:from>
        <xdr:to>
          <xdr:col>3</xdr:col>
          <xdr:colOff>704850</xdr:colOff>
          <xdr:row>316</xdr:row>
          <xdr:rowOff>50800</xdr:rowOff>
        </xdr:to>
        <xdr:sp macro="" textlink="">
          <xdr:nvSpPr>
            <xdr:cNvPr id="519181" name="Object 13" hidden="1">
              <a:extLst>
                <a:ext uri="{63B3BB69-23CF-44E3-9099-C40C66FF867C}">
                  <a14:compatExt spid="_x0000_s519181"/>
                </a:ext>
                <a:ext uri="{FF2B5EF4-FFF2-40B4-BE49-F238E27FC236}">
                  <a16:creationId xmlns:a16="http://schemas.microsoft.com/office/drawing/2014/main" id="{00000000-0008-0000-0600-00000D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448</xdr:row>
          <xdr:rowOff>69850</xdr:rowOff>
        </xdr:from>
        <xdr:to>
          <xdr:col>10</xdr:col>
          <xdr:colOff>336550</xdr:colOff>
          <xdr:row>453</xdr:row>
          <xdr:rowOff>107950</xdr:rowOff>
        </xdr:to>
        <xdr:sp macro="" textlink="">
          <xdr:nvSpPr>
            <xdr:cNvPr id="519182" name="Object 14" hidden="1">
              <a:extLst>
                <a:ext uri="{63B3BB69-23CF-44E3-9099-C40C66FF867C}">
                  <a14:compatExt spid="_x0000_s519182"/>
                </a:ext>
                <a:ext uri="{FF2B5EF4-FFF2-40B4-BE49-F238E27FC236}">
                  <a16:creationId xmlns:a16="http://schemas.microsoft.com/office/drawing/2014/main" id="{00000000-0008-0000-0600-00000E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448</xdr:row>
          <xdr:rowOff>69850</xdr:rowOff>
        </xdr:from>
        <xdr:to>
          <xdr:col>9</xdr:col>
          <xdr:colOff>450850</xdr:colOff>
          <xdr:row>453</xdr:row>
          <xdr:rowOff>88900</xdr:rowOff>
        </xdr:to>
        <xdr:sp macro="" textlink="">
          <xdr:nvSpPr>
            <xdr:cNvPr id="519183" name="Object 15" hidden="1">
              <a:extLst>
                <a:ext uri="{63B3BB69-23CF-44E3-9099-C40C66FF867C}">
                  <a14:compatExt spid="_x0000_s519183"/>
                </a:ext>
                <a:ext uri="{FF2B5EF4-FFF2-40B4-BE49-F238E27FC236}">
                  <a16:creationId xmlns:a16="http://schemas.microsoft.com/office/drawing/2014/main" id="{00000000-0008-0000-0600-00000F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123577</xdr:colOff>
      <xdr:row>142</xdr:row>
      <xdr:rowOff>182215</xdr:rowOff>
    </xdr:from>
    <xdr:to>
      <xdr:col>9</xdr:col>
      <xdr:colOff>47947</xdr:colOff>
      <xdr:row>144</xdr:row>
      <xdr:rowOff>92349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4" name="Object 21">
              <a:extLst>
                <a:ext uri="{FF2B5EF4-FFF2-40B4-BE49-F238E27FC236}">
                  <a16:creationId xmlns:a16="http://schemas.microsoft.com/office/drawing/2014/main" id="{00000000-0008-0000-0600-00007C000000}"/>
                </a:ext>
              </a:extLst>
            </xdr:cNvPr>
            <xdr:cNvSpPr txBox="1"/>
          </xdr:nvSpPr>
          <xdr:spPr>
            <a:xfrm>
              <a:off x="6057652" y="26366440"/>
              <a:ext cx="686370" cy="46258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24" name="Object 21">
              <a:extLst>
                <a:ext uri="{FF2B5EF4-FFF2-40B4-BE49-F238E27FC236}">
                  <a16:creationId xmlns:a16="http://schemas.microsoft.com/office/drawing/2014/main" id="{83994556-E78F-46C7-9AE9-B77D33E72DF5}"/>
                </a:ext>
              </a:extLst>
            </xdr:cNvPr>
            <xdr:cNvSpPr txBox="1"/>
          </xdr:nvSpPr>
          <xdr:spPr>
            <a:xfrm>
              <a:off x="6057652" y="26366440"/>
              <a:ext cx="686370" cy="46258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∑▒𝑃_𝑎 =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8</xdr:col>
      <xdr:colOff>136331</xdr:colOff>
      <xdr:row>144</xdr:row>
      <xdr:rowOff>248478</xdr:rowOff>
    </xdr:from>
    <xdr:to>
      <xdr:col>9</xdr:col>
      <xdr:colOff>49935</xdr:colOff>
      <xdr:row>146</xdr:row>
      <xdr:rowOff>135172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Object 23">
              <a:extLst>
                <a:ext uri="{FF2B5EF4-FFF2-40B4-BE49-F238E27FC236}">
                  <a16:creationId xmlns:a16="http://schemas.microsoft.com/office/drawing/2014/main" id="{00000000-0008-0000-0600-00007D000000}"/>
                </a:ext>
              </a:extLst>
            </xdr:cNvPr>
            <xdr:cNvSpPr txBox="1"/>
          </xdr:nvSpPr>
          <xdr:spPr>
            <a:xfrm>
              <a:off x="6070406" y="26985153"/>
              <a:ext cx="675604" cy="43914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25" name="Object 23">
              <a:extLst>
                <a:ext uri="{FF2B5EF4-FFF2-40B4-BE49-F238E27FC236}">
                  <a16:creationId xmlns:a16="http://schemas.microsoft.com/office/drawing/2014/main" id="{8FC87110-B1C9-4961-B1D8-38A5B570CA4A}"/>
                </a:ext>
              </a:extLst>
            </xdr:cNvPr>
            <xdr:cNvSpPr txBox="1"/>
          </xdr:nvSpPr>
          <xdr:spPr>
            <a:xfrm>
              <a:off x="6070406" y="26985153"/>
              <a:ext cx="675604" cy="43914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∑▒𝑃_𝑝 =</a:t>
              </a:r>
              <a:endParaRPr lang="en-US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147</xdr:row>
          <xdr:rowOff>69850</xdr:rowOff>
        </xdr:from>
        <xdr:to>
          <xdr:col>4</xdr:col>
          <xdr:colOff>260350</xdr:colOff>
          <xdr:row>148</xdr:row>
          <xdr:rowOff>57150</xdr:rowOff>
        </xdr:to>
        <xdr:sp macro="" textlink="">
          <xdr:nvSpPr>
            <xdr:cNvPr id="519184" name="Object 16" hidden="1">
              <a:extLst>
                <a:ext uri="{63B3BB69-23CF-44E3-9099-C40C66FF867C}">
                  <a14:compatExt spid="_x0000_s519184"/>
                </a:ext>
                <a:ext uri="{FF2B5EF4-FFF2-40B4-BE49-F238E27FC236}">
                  <a16:creationId xmlns:a16="http://schemas.microsoft.com/office/drawing/2014/main" id="{00000000-0008-0000-0600-000010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153</xdr:row>
          <xdr:rowOff>0</xdr:rowOff>
        </xdr:from>
        <xdr:to>
          <xdr:col>3</xdr:col>
          <xdr:colOff>660400</xdr:colOff>
          <xdr:row>154</xdr:row>
          <xdr:rowOff>184150</xdr:rowOff>
        </xdr:to>
        <xdr:sp macro="" textlink="">
          <xdr:nvSpPr>
            <xdr:cNvPr id="519185" name="Object 17" hidden="1">
              <a:extLst>
                <a:ext uri="{63B3BB69-23CF-44E3-9099-C40C66FF867C}">
                  <a14:compatExt spid="_x0000_s519185"/>
                </a:ext>
                <a:ext uri="{FF2B5EF4-FFF2-40B4-BE49-F238E27FC236}">
                  <a16:creationId xmlns:a16="http://schemas.microsoft.com/office/drawing/2014/main" id="{00000000-0008-0000-0600-000011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142</xdr:row>
          <xdr:rowOff>12700</xdr:rowOff>
        </xdr:from>
        <xdr:to>
          <xdr:col>7</xdr:col>
          <xdr:colOff>114300</xdr:colOff>
          <xdr:row>143</xdr:row>
          <xdr:rowOff>31750</xdr:rowOff>
        </xdr:to>
        <xdr:sp macro="" textlink="">
          <xdr:nvSpPr>
            <xdr:cNvPr id="519186" name="Object 18" hidden="1">
              <a:extLst>
                <a:ext uri="{63B3BB69-23CF-44E3-9099-C40C66FF867C}">
                  <a14:compatExt spid="_x0000_s519186"/>
                </a:ext>
                <a:ext uri="{FF2B5EF4-FFF2-40B4-BE49-F238E27FC236}">
                  <a16:creationId xmlns:a16="http://schemas.microsoft.com/office/drawing/2014/main" id="{00000000-0008-0000-0600-000012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142</xdr:row>
          <xdr:rowOff>247650</xdr:rowOff>
        </xdr:from>
        <xdr:to>
          <xdr:col>5</xdr:col>
          <xdr:colOff>12700</xdr:colOff>
          <xdr:row>144</xdr:row>
          <xdr:rowOff>88900</xdr:rowOff>
        </xdr:to>
        <xdr:sp macro="" textlink="">
          <xdr:nvSpPr>
            <xdr:cNvPr id="519187" name="Object 19" hidden="1">
              <a:extLst>
                <a:ext uri="{63B3BB69-23CF-44E3-9099-C40C66FF867C}">
                  <a14:compatExt spid="_x0000_s519187"/>
                </a:ext>
                <a:ext uri="{FF2B5EF4-FFF2-40B4-BE49-F238E27FC236}">
                  <a16:creationId xmlns:a16="http://schemas.microsoft.com/office/drawing/2014/main" id="{00000000-0008-0000-0600-000013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144</xdr:row>
          <xdr:rowOff>19050</xdr:rowOff>
        </xdr:from>
        <xdr:to>
          <xdr:col>6</xdr:col>
          <xdr:colOff>736600</xdr:colOff>
          <xdr:row>145</xdr:row>
          <xdr:rowOff>19050</xdr:rowOff>
        </xdr:to>
        <xdr:sp macro="" textlink="">
          <xdr:nvSpPr>
            <xdr:cNvPr id="519188" name="Object 20" hidden="1">
              <a:extLst>
                <a:ext uri="{63B3BB69-23CF-44E3-9099-C40C66FF867C}">
                  <a14:compatExt spid="_x0000_s519188"/>
                </a:ext>
                <a:ext uri="{FF2B5EF4-FFF2-40B4-BE49-F238E27FC236}">
                  <a16:creationId xmlns:a16="http://schemas.microsoft.com/office/drawing/2014/main" id="{00000000-0008-0000-0600-000014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622300</xdr:colOff>
          <xdr:row>144</xdr:row>
          <xdr:rowOff>336550</xdr:rowOff>
        </xdr:from>
        <xdr:to>
          <xdr:col>4</xdr:col>
          <xdr:colOff>698500</xdr:colOff>
          <xdr:row>146</xdr:row>
          <xdr:rowOff>31750</xdr:rowOff>
        </xdr:to>
        <xdr:sp macro="" textlink="">
          <xdr:nvSpPr>
            <xdr:cNvPr id="519189" name="Object 21" hidden="1">
              <a:extLst>
                <a:ext uri="{63B3BB69-23CF-44E3-9099-C40C66FF867C}">
                  <a14:compatExt spid="_x0000_s519189"/>
                </a:ext>
                <a:ext uri="{FF2B5EF4-FFF2-40B4-BE49-F238E27FC236}">
                  <a16:creationId xmlns:a16="http://schemas.microsoft.com/office/drawing/2014/main" id="{00000000-0008-0000-0600-000015E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13631</xdr:colOff>
      <xdr:row>5</xdr:row>
      <xdr:rowOff>215900</xdr:rowOff>
    </xdr:from>
    <xdr:to>
      <xdr:col>7</xdr:col>
      <xdr:colOff>482601</xdr:colOff>
      <xdr:row>27</xdr:row>
      <xdr:rowOff>76201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GrpSpPr/>
      </xdr:nvGrpSpPr>
      <xdr:grpSpPr>
        <a:xfrm>
          <a:off x="13631" y="1206500"/>
          <a:ext cx="5441020" cy="5308601"/>
          <a:chOff x="483530" y="3884239"/>
          <a:chExt cx="5485469" cy="4434261"/>
        </a:xfrm>
      </xdr:grpSpPr>
      <xdr:grpSp>
        <xdr:nvGrpSpPr>
          <xdr:cNvPr id="127" name="Group 240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GrpSpPr>
            <a:grpSpLocks/>
          </xdr:cNvGrpSpPr>
        </xdr:nvGrpSpPr>
        <xdr:grpSpPr bwMode="auto">
          <a:xfrm>
            <a:off x="483530" y="3884239"/>
            <a:ext cx="5485469" cy="4434261"/>
            <a:chOff x="721" y="338"/>
            <a:chExt cx="373" cy="345"/>
          </a:xfrm>
        </xdr:grpSpPr>
        <xdr:sp macro="" textlink="">
          <xdr:nvSpPr>
            <xdr:cNvPr id="519206" name="Line 123">
              <a:extLst>
                <a:ext uri="{FF2B5EF4-FFF2-40B4-BE49-F238E27FC236}">
                  <a16:creationId xmlns:a16="http://schemas.microsoft.com/office/drawing/2014/main" id="{00000000-0008-0000-0600-000026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07" name="Line 124">
              <a:extLst>
                <a:ext uri="{FF2B5EF4-FFF2-40B4-BE49-F238E27FC236}">
                  <a16:creationId xmlns:a16="http://schemas.microsoft.com/office/drawing/2014/main" id="{00000000-0008-0000-0600-000027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08" name="Line 125">
              <a:extLst>
                <a:ext uri="{FF2B5EF4-FFF2-40B4-BE49-F238E27FC236}">
                  <a16:creationId xmlns:a16="http://schemas.microsoft.com/office/drawing/2014/main" id="{00000000-0008-0000-0600-000028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79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09" name="Freeform 126">
              <a:extLst>
                <a:ext uri="{FF2B5EF4-FFF2-40B4-BE49-F238E27FC236}">
                  <a16:creationId xmlns:a16="http://schemas.microsoft.com/office/drawing/2014/main" id="{00000000-0008-0000-0600-000029EC07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10" name="Freeform 127">
              <a:extLst>
                <a:ext uri="{FF2B5EF4-FFF2-40B4-BE49-F238E27FC236}">
                  <a16:creationId xmlns:a16="http://schemas.microsoft.com/office/drawing/2014/main" id="{00000000-0008-0000-0600-00002AEC07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11" name="Freeform 128">
              <a:extLst>
                <a:ext uri="{FF2B5EF4-FFF2-40B4-BE49-F238E27FC236}">
                  <a16:creationId xmlns:a16="http://schemas.microsoft.com/office/drawing/2014/main" id="{00000000-0008-0000-0600-00002BEC07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12" name="Freeform 129">
              <a:extLst>
                <a:ext uri="{FF2B5EF4-FFF2-40B4-BE49-F238E27FC236}">
                  <a16:creationId xmlns:a16="http://schemas.microsoft.com/office/drawing/2014/main" id="{00000000-0008-0000-0600-00002CEC07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13" name="Line 130">
              <a:extLst>
                <a:ext uri="{FF2B5EF4-FFF2-40B4-BE49-F238E27FC236}">
                  <a16:creationId xmlns:a16="http://schemas.microsoft.com/office/drawing/2014/main" id="{00000000-0008-0000-0600-00002D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14" name="Line 131">
              <a:extLst>
                <a:ext uri="{FF2B5EF4-FFF2-40B4-BE49-F238E27FC236}">
                  <a16:creationId xmlns:a16="http://schemas.microsoft.com/office/drawing/2014/main" id="{00000000-0008-0000-0600-00002E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15" name="Line 132">
              <a:extLst>
                <a:ext uri="{FF2B5EF4-FFF2-40B4-BE49-F238E27FC236}">
                  <a16:creationId xmlns:a16="http://schemas.microsoft.com/office/drawing/2014/main" id="{00000000-0008-0000-0600-00002F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588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16" name="Freeform 133">
              <a:extLst>
                <a:ext uri="{FF2B5EF4-FFF2-40B4-BE49-F238E27FC236}">
                  <a16:creationId xmlns:a16="http://schemas.microsoft.com/office/drawing/2014/main" id="{00000000-0008-0000-0600-000030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17" name="Freeform 134">
              <a:extLst>
                <a:ext uri="{FF2B5EF4-FFF2-40B4-BE49-F238E27FC236}">
                  <a16:creationId xmlns:a16="http://schemas.microsoft.com/office/drawing/2014/main" id="{00000000-0008-0000-0600-000031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18" name="Freeform 135">
              <a:extLst>
                <a:ext uri="{FF2B5EF4-FFF2-40B4-BE49-F238E27FC236}">
                  <a16:creationId xmlns:a16="http://schemas.microsoft.com/office/drawing/2014/main" id="{00000000-0008-0000-0600-000032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19" name="Freeform 136">
              <a:extLst>
                <a:ext uri="{FF2B5EF4-FFF2-40B4-BE49-F238E27FC236}">
                  <a16:creationId xmlns:a16="http://schemas.microsoft.com/office/drawing/2014/main" id="{00000000-0008-0000-0600-000033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20" name="Line 137">
              <a:extLst>
                <a:ext uri="{FF2B5EF4-FFF2-40B4-BE49-F238E27FC236}">
                  <a16:creationId xmlns:a16="http://schemas.microsoft.com/office/drawing/2014/main" id="{00000000-0008-0000-0600-000034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21" name="Line 138">
              <a:extLst>
                <a:ext uri="{FF2B5EF4-FFF2-40B4-BE49-F238E27FC236}">
                  <a16:creationId xmlns:a16="http://schemas.microsoft.com/office/drawing/2014/main" id="{00000000-0008-0000-0600-000035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22" name="Line 144">
              <a:extLst>
                <a:ext uri="{FF2B5EF4-FFF2-40B4-BE49-F238E27FC236}">
                  <a16:creationId xmlns:a16="http://schemas.microsoft.com/office/drawing/2014/main" id="{00000000-0008-0000-0600-000036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23" name="Line 145">
              <a:extLst>
                <a:ext uri="{FF2B5EF4-FFF2-40B4-BE49-F238E27FC236}">
                  <a16:creationId xmlns:a16="http://schemas.microsoft.com/office/drawing/2014/main" id="{00000000-0008-0000-0600-000037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24" name="Line 146">
              <a:extLst>
                <a:ext uri="{FF2B5EF4-FFF2-40B4-BE49-F238E27FC236}">
                  <a16:creationId xmlns:a16="http://schemas.microsoft.com/office/drawing/2014/main" id="{00000000-0008-0000-0600-000038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422"/>
              <a:ext cx="0" cy="13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25" name="Freeform 147">
              <a:extLst>
                <a:ext uri="{FF2B5EF4-FFF2-40B4-BE49-F238E27FC236}">
                  <a16:creationId xmlns:a16="http://schemas.microsoft.com/office/drawing/2014/main" id="{00000000-0008-0000-0600-000039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26" name="Freeform 148">
              <a:extLst>
                <a:ext uri="{FF2B5EF4-FFF2-40B4-BE49-F238E27FC236}">
                  <a16:creationId xmlns:a16="http://schemas.microsoft.com/office/drawing/2014/main" id="{00000000-0008-0000-0600-00003A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27" name="Freeform 149">
              <a:extLst>
                <a:ext uri="{FF2B5EF4-FFF2-40B4-BE49-F238E27FC236}">
                  <a16:creationId xmlns:a16="http://schemas.microsoft.com/office/drawing/2014/main" id="{00000000-0008-0000-0600-00003B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28" name="Freeform 150">
              <a:extLst>
                <a:ext uri="{FF2B5EF4-FFF2-40B4-BE49-F238E27FC236}">
                  <a16:creationId xmlns:a16="http://schemas.microsoft.com/office/drawing/2014/main" id="{00000000-0008-0000-0600-00003C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29" name="Line 151">
              <a:extLst>
                <a:ext uri="{FF2B5EF4-FFF2-40B4-BE49-F238E27FC236}">
                  <a16:creationId xmlns:a16="http://schemas.microsoft.com/office/drawing/2014/main" id="{00000000-0008-0000-0600-00003D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0" name="Line 152">
              <a:extLst>
                <a:ext uri="{FF2B5EF4-FFF2-40B4-BE49-F238E27FC236}">
                  <a16:creationId xmlns:a16="http://schemas.microsoft.com/office/drawing/2014/main" id="{00000000-0008-0000-0600-00003E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1" name="Line 158">
              <a:extLst>
                <a:ext uri="{FF2B5EF4-FFF2-40B4-BE49-F238E27FC236}">
                  <a16:creationId xmlns:a16="http://schemas.microsoft.com/office/drawing/2014/main" id="{00000000-0008-0000-0600-00003F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2" name="Line 159">
              <a:extLst>
                <a:ext uri="{FF2B5EF4-FFF2-40B4-BE49-F238E27FC236}">
                  <a16:creationId xmlns:a16="http://schemas.microsoft.com/office/drawing/2014/main" id="{00000000-0008-0000-0600-000040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3" name="Line 160">
              <a:extLst>
                <a:ext uri="{FF2B5EF4-FFF2-40B4-BE49-F238E27FC236}">
                  <a16:creationId xmlns:a16="http://schemas.microsoft.com/office/drawing/2014/main" id="{00000000-0008-0000-0600-000041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344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4" name="Freeform 161">
              <a:extLst>
                <a:ext uri="{FF2B5EF4-FFF2-40B4-BE49-F238E27FC236}">
                  <a16:creationId xmlns:a16="http://schemas.microsoft.com/office/drawing/2014/main" id="{00000000-0008-0000-0600-000042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391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35" name="Freeform 163">
              <a:extLst>
                <a:ext uri="{FF2B5EF4-FFF2-40B4-BE49-F238E27FC236}">
                  <a16:creationId xmlns:a16="http://schemas.microsoft.com/office/drawing/2014/main" id="{00000000-0008-0000-0600-000043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36" name="Freeform 164">
              <a:extLst>
                <a:ext uri="{FF2B5EF4-FFF2-40B4-BE49-F238E27FC236}">
                  <a16:creationId xmlns:a16="http://schemas.microsoft.com/office/drawing/2014/main" id="{00000000-0008-0000-0600-000044EC07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37" name="Line 165">
              <a:extLst>
                <a:ext uri="{FF2B5EF4-FFF2-40B4-BE49-F238E27FC236}">
                  <a16:creationId xmlns:a16="http://schemas.microsoft.com/office/drawing/2014/main" id="{00000000-0008-0000-0600-000045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8" name="Line 166">
              <a:extLst>
                <a:ext uri="{FF2B5EF4-FFF2-40B4-BE49-F238E27FC236}">
                  <a16:creationId xmlns:a16="http://schemas.microsoft.com/office/drawing/2014/main" id="{00000000-0008-0000-0600-000046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39" name="Line 167">
              <a:extLst>
                <a:ext uri="{FF2B5EF4-FFF2-40B4-BE49-F238E27FC236}">
                  <a16:creationId xmlns:a16="http://schemas.microsoft.com/office/drawing/2014/main" id="{00000000-0008-0000-0600-000047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344"/>
              <a:ext cx="0" cy="29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40" name="Freeform 168">
              <a:extLst>
                <a:ext uri="{FF2B5EF4-FFF2-40B4-BE49-F238E27FC236}">
                  <a16:creationId xmlns:a16="http://schemas.microsoft.com/office/drawing/2014/main" id="{00000000-0008-0000-0600-000048EC07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41" name="Freeform 169">
              <a:extLst>
                <a:ext uri="{FF2B5EF4-FFF2-40B4-BE49-F238E27FC236}">
                  <a16:creationId xmlns:a16="http://schemas.microsoft.com/office/drawing/2014/main" id="{00000000-0008-0000-0600-000049EC07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42" name="Freeform 170">
              <a:extLst>
                <a:ext uri="{FF2B5EF4-FFF2-40B4-BE49-F238E27FC236}">
                  <a16:creationId xmlns:a16="http://schemas.microsoft.com/office/drawing/2014/main" id="{00000000-0008-0000-0600-00004AEC07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43" name="Freeform 171">
              <a:extLst>
                <a:ext uri="{FF2B5EF4-FFF2-40B4-BE49-F238E27FC236}">
                  <a16:creationId xmlns:a16="http://schemas.microsoft.com/office/drawing/2014/main" id="{00000000-0008-0000-0600-00004BEC07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44" name="Line 172">
              <a:extLst>
                <a:ext uri="{FF2B5EF4-FFF2-40B4-BE49-F238E27FC236}">
                  <a16:creationId xmlns:a16="http://schemas.microsoft.com/office/drawing/2014/main" id="{00000000-0008-0000-0600-00004C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56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45" name="Line 173">
              <a:extLst>
                <a:ext uri="{FF2B5EF4-FFF2-40B4-BE49-F238E27FC236}">
                  <a16:creationId xmlns:a16="http://schemas.microsoft.com/office/drawing/2014/main" id="{00000000-0008-0000-0600-00004D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10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46" name="Line 174">
              <a:extLst>
                <a:ext uri="{FF2B5EF4-FFF2-40B4-BE49-F238E27FC236}">
                  <a16:creationId xmlns:a16="http://schemas.microsoft.com/office/drawing/2014/main" id="{00000000-0008-0000-0600-00004E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62" y="443"/>
              <a:ext cx="4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47" name="Freeform 175">
              <a:extLst>
                <a:ext uri="{FF2B5EF4-FFF2-40B4-BE49-F238E27FC236}">
                  <a16:creationId xmlns:a16="http://schemas.microsoft.com/office/drawing/2014/main" id="{00000000-0008-0000-0600-00004FEC07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48" name="Freeform 176">
              <a:extLst>
                <a:ext uri="{FF2B5EF4-FFF2-40B4-BE49-F238E27FC236}">
                  <a16:creationId xmlns:a16="http://schemas.microsoft.com/office/drawing/2014/main" id="{00000000-0008-0000-0600-000050EC07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49" name="Freeform 177">
              <a:extLst>
                <a:ext uri="{FF2B5EF4-FFF2-40B4-BE49-F238E27FC236}">
                  <a16:creationId xmlns:a16="http://schemas.microsoft.com/office/drawing/2014/main" id="{00000000-0008-0000-0600-000051EC07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50" name="Freeform 178">
              <a:extLst>
                <a:ext uri="{FF2B5EF4-FFF2-40B4-BE49-F238E27FC236}">
                  <a16:creationId xmlns:a16="http://schemas.microsoft.com/office/drawing/2014/main" id="{00000000-0008-0000-0600-000052EC07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51" name="Line 179">
              <a:extLst>
                <a:ext uri="{FF2B5EF4-FFF2-40B4-BE49-F238E27FC236}">
                  <a16:creationId xmlns:a16="http://schemas.microsoft.com/office/drawing/2014/main" id="{00000000-0008-0000-0600-000053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516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52" name="Line 180">
              <a:extLst>
                <a:ext uri="{FF2B5EF4-FFF2-40B4-BE49-F238E27FC236}">
                  <a16:creationId xmlns:a16="http://schemas.microsoft.com/office/drawing/2014/main" id="{00000000-0008-0000-0600-000054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463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53" name="Line 181">
              <a:extLst>
                <a:ext uri="{FF2B5EF4-FFF2-40B4-BE49-F238E27FC236}">
                  <a16:creationId xmlns:a16="http://schemas.microsoft.com/office/drawing/2014/main" id="{00000000-0008-0000-0600-000055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40" y="469"/>
              <a:ext cx="0" cy="4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54" name="Freeform 182">
              <a:extLst>
                <a:ext uri="{FF2B5EF4-FFF2-40B4-BE49-F238E27FC236}">
                  <a16:creationId xmlns:a16="http://schemas.microsoft.com/office/drawing/2014/main" id="{00000000-0008-0000-0600-000056EC07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55" name="Freeform 183">
              <a:extLst>
                <a:ext uri="{FF2B5EF4-FFF2-40B4-BE49-F238E27FC236}">
                  <a16:creationId xmlns:a16="http://schemas.microsoft.com/office/drawing/2014/main" id="{00000000-0008-0000-0600-000057EC07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56" name="Freeform 184">
              <a:extLst>
                <a:ext uri="{FF2B5EF4-FFF2-40B4-BE49-F238E27FC236}">
                  <a16:creationId xmlns:a16="http://schemas.microsoft.com/office/drawing/2014/main" id="{00000000-0008-0000-0600-000058EC07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57" name="Freeform 185">
              <a:extLst>
                <a:ext uri="{FF2B5EF4-FFF2-40B4-BE49-F238E27FC236}">
                  <a16:creationId xmlns:a16="http://schemas.microsoft.com/office/drawing/2014/main" id="{00000000-0008-0000-0600-000059EC07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58" name="Line 186">
              <a:extLst>
                <a:ext uri="{FF2B5EF4-FFF2-40B4-BE49-F238E27FC236}">
                  <a16:creationId xmlns:a16="http://schemas.microsoft.com/office/drawing/2014/main" id="{00000000-0008-0000-0600-00005A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8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59" name="Line 187">
              <a:extLst>
                <a:ext uri="{FF2B5EF4-FFF2-40B4-BE49-F238E27FC236}">
                  <a16:creationId xmlns:a16="http://schemas.microsoft.com/office/drawing/2014/main" id="{00000000-0008-0000-0600-00005B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11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60" name="Line 188">
              <a:extLst>
                <a:ext uri="{FF2B5EF4-FFF2-40B4-BE49-F238E27FC236}">
                  <a16:creationId xmlns:a16="http://schemas.microsoft.com/office/drawing/2014/main" id="{00000000-0008-0000-0600-00005C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4" y="377"/>
              <a:ext cx="1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61" name="Freeform 189">
              <a:extLst>
                <a:ext uri="{FF2B5EF4-FFF2-40B4-BE49-F238E27FC236}">
                  <a16:creationId xmlns:a16="http://schemas.microsoft.com/office/drawing/2014/main" id="{00000000-0008-0000-0600-00005DEC07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62" name="Freeform 190">
              <a:extLst>
                <a:ext uri="{FF2B5EF4-FFF2-40B4-BE49-F238E27FC236}">
                  <a16:creationId xmlns:a16="http://schemas.microsoft.com/office/drawing/2014/main" id="{00000000-0008-0000-0600-00005EEC07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63" name="Freeform 191">
              <a:extLst>
                <a:ext uri="{FF2B5EF4-FFF2-40B4-BE49-F238E27FC236}">
                  <a16:creationId xmlns:a16="http://schemas.microsoft.com/office/drawing/2014/main" id="{00000000-0008-0000-0600-00005FEC07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64" name="Freeform 192">
              <a:extLst>
                <a:ext uri="{FF2B5EF4-FFF2-40B4-BE49-F238E27FC236}">
                  <a16:creationId xmlns:a16="http://schemas.microsoft.com/office/drawing/2014/main" id="{00000000-0008-0000-0600-000060EC07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65" name="Line 193">
              <a:extLst>
                <a:ext uri="{FF2B5EF4-FFF2-40B4-BE49-F238E27FC236}">
                  <a16:creationId xmlns:a16="http://schemas.microsoft.com/office/drawing/2014/main" id="{00000000-0008-0000-0600-000061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395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66" name="Line 194">
              <a:extLst>
                <a:ext uri="{FF2B5EF4-FFF2-40B4-BE49-F238E27FC236}">
                  <a16:creationId xmlns:a16="http://schemas.microsoft.com/office/drawing/2014/main" id="{00000000-0008-0000-0600-000062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418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67" name="Line 195">
              <a:extLst>
                <a:ext uri="{FF2B5EF4-FFF2-40B4-BE49-F238E27FC236}">
                  <a16:creationId xmlns:a16="http://schemas.microsoft.com/office/drawing/2014/main" id="{00000000-0008-0000-0600-000063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70" y="401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68" name="Freeform 196">
              <a:extLst>
                <a:ext uri="{FF2B5EF4-FFF2-40B4-BE49-F238E27FC236}">
                  <a16:creationId xmlns:a16="http://schemas.microsoft.com/office/drawing/2014/main" id="{00000000-0008-0000-0600-000064EC07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69" name="Freeform 197">
              <a:extLst>
                <a:ext uri="{FF2B5EF4-FFF2-40B4-BE49-F238E27FC236}">
                  <a16:creationId xmlns:a16="http://schemas.microsoft.com/office/drawing/2014/main" id="{00000000-0008-0000-0600-000065EC07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70" name="Freeform 198">
              <a:extLst>
                <a:ext uri="{FF2B5EF4-FFF2-40B4-BE49-F238E27FC236}">
                  <a16:creationId xmlns:a16="http://schemas.microsoft.com/office/drawing/2014/main" id="{00000000-0008-0000-0600-000066EC07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71" name="Freeform 199">
              <a:extLst>
                <a:ext uri="{FF2B5EF4-FFF2-40B4-BE49-F238E27FC236}">
                  <a16:creationId xmlns:a16="http://schemas.microsoft.com/office/drawing/2014/main" id="{00000000-0008-0000-0600-000067EC07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72" name="Line 200">
              <a:extLst>
                <a:ext uri="{FF2B5EF4-FFF2-40B4-BE49-F238E27FC236}">
                  <a16:creationId xmlns:a16="http://schemas.microsoft.com/office/drawing/2014/main" id="{00000000-0008-0000-0600-000068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1" y="538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73" name="Line 201">
              <a:extLst>
                <a:ext uri="{FF2B5EF4-FFF2-40B4-BE49-F238E27FC236}">
                  <a16:creationId xmlns:a16="http://schemas.microsoft.com/office/drawing/2014/main" id="{00000000-0008-0000-0600-000069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90" y="538"/>
              <a:ext cx="0" cy="1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74" name="Line 202">
              <a:extLst>
                <a:ext uri="{FF2B5EF4-FFF2-40B4-BE49-F238E27FC236}">
                  <a16:creationId xmlns:a16="http://schemas.microsoft.com/office/drawing/2014/main" id="{00000000-0008-0000-0600-00006A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9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75" name="Line 203">
              <a:extLst>
                <a:ext uri="{FF2B5EF4-FFF2-40B4-BE49-F238E27FC236}">
                  <a16:creationId xmlns:a16="http://schemas.microsoft.com/office/drawing/2014/main" id="{00000000-0008-0000-0600-00006B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6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76" name="Line 204">
              <a:extLst>
                <a:ext uri="{FF2B5EF4-FFF2-40B4-BE49-F238E27FC236}">
                  <a16:creationId xmlns:a16="http://schemas.microsoft.com/office/drawing/2014/main" id="{00000000-0008-0000-0600-00006C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1" y="540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77" name="Freeform 205">
              <a:extLst>
                <a:ext uri="{FF2B5EF4-FFF2-40B4-BE49-F238E27FC236}">
                  <a16:creationId xmlns:a16="http://schemas.microsoft.com/office/drawing/2014/main" id="{00000000-0008-0000-0600-00006DEC07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78" name="Freeform 206">
              <a:extLst>
                <a:ext uri="{FF2B5EF4-FFF2-40B4-BE49-F238E27FC236}">
                  <a16:creationId xmlns:a16="http://schemas.microsoft.com/office/drawing/2014/main" id="{00000000-0008-0000-0600-00006EEC07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79" name="Freeform 207">
              <a:extLst>
                <a:ext uri="{FF2B5EF4-FFF2-40B4-BE49-F238E27FC236}">
                  <a16:creationId xmlns:a16="http://schemas.microsoft.com/office/drawing/2014/main" id="{00000000-0008-0000-0600-00006FEC07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80" name="Freeform 208">
              <a:extLst>
                <a:ext uri="{FF2B5EF4-FFF2-40B4-BE49-F238E27FC236}">
                  <a16:creationId xmlns:a16="http://schemas.microsoft.com/office/drawing/2014/main" id="{00000000-0008-0000-0600-000070EC07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81" name="Line 209">
              <a:extLst>
                <a:ext uri="{FF2B5EF4-FFF2-40B4-BE49-F238E27FC236}">
                  <a16:creationId xmlns:a16="http://schemas.microsoft.com/office/drawing/2014/main" id="{00000000-0008-0000-0600-000071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63"/>
              <a:ext cx="1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82" name="Line 210">
              <a:extLst>
                <a:ext uri="{FF2B5EF4-FFF2-40B4-BE49-F238E27FC236}">
                  <a16:creationId xmlns:a16="http://schemas.microsoft.com/office/drawing/2014/main" id="{00000000-0008-0000-0600-000072EC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54"/>
              <a:ext cx="2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83" name="Line 211">
              <a:extLst>
                <a:ext uri="{FF2B5EF4-FFF2-40B4-BE49-F238E27FC236}">
                  <a16:creationId xmlns:a16="http://schemas.microsoft.com/office/drawing/2014/main" id="{00000000-0008-0000-0600-000073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8" y="569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84" name="Line 212">
              <a:extLst>
                <a:ext uri="{FF2B5EF4-FFF2-40B4-BE49-F238E27FC236}">
                  <a16:creationId xmlns:a16="http://schemas.microsoft.com/office/drawing/2014/main" id="{00000000-0008-0000-0600-000074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42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85" name="Line 213">
              <a:extLst>
                <a:ext uri="{FF2B5EF4-FFF2-40B4-BE49-F238E27FC236}">
                  <a16:creationId xmlns:a16="http://schemas.microsoft.com/office/drawing/2014/main" id="{00000000-0008-0000-0600-000075EC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54"/>
              <a:ext cx="0" cy="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286" name="Freeform 214">
              <a:extLst>
                <a:ext uri="{FF2B5EF4-FFF2-40B4-BE49-F238E27FC236}">
                  <a16:creationId xmlns:a16="http://schemas.microsoft.com/office/drawing/2014/main" id="{00000000-0008-0000-0600-000076EC07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87" name="Freeform 215">
              <a:extLst>
                <a:ext uri="{FF2B5EF4-FFF2-40B4-BE49-F238E27FC236}">
                  <a16:creationId xmlns:a16="http://schemas.microsoft.com/office/drawing/2014/main" id="{00000000-0008-0000-0600-000077EC07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88" name="Freeform 216">
              <a:extLst>
                <a:ext uri="{FF2B5EF4-FFF2-40B4-BE49-F238E27FC236}">
                  <a16:creationId xmlns:a16="http://schemas.microsoft.com/office/drawing/2014/main" id="{00000000-0008-0000-0600-000078EC07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289" name="Freeform 217">
              <a:extLst>
                <a:ext uri="{FF2B5EF4-FFF2-40B4-BE49-F238E27FC236}">
                  <a16:creationId xmlns:a16="http://schemas.microsoft.com/office/drawing/2014/main" id="{00000000-0008-0000-0600-000079EC07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0" name="Rectangle 218">
              <a:extLst>
                <a:ext uri="{FF2B5EF4-FFF2-40B4-BE49-F238E27FC236}">
                  <a16:creationId xmlns:a16="http://schemas.microsoft.com/office/drawing/2014/main" id="{00000000-0008-0000-0600-00007AEC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21" y="338"/>
              <a:ext cx="324" cy="30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1" name="Rectangle 219">
              <a:extLst>
                <a:ext uri="{FF2B5EF4-FFF2-40B4-BE49-F238E27FC236}">
                  <a16:creationId xmlns:a16="http://schemas.microsoft.com/office/drawing/2014/main" id="{00000000-0008-0000-0600-00007BEC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6" y="463"/>
              <a:ext cx="54" cy="5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2" name="Freeform 220">
              <a:extLst>
                <a:ext uri="{FF2B5EF4-FFF2-40B4-BE49-F238E27FC236}">
                  <a16:creationId xmlns:a16="http://schemas.microsoft.com/office/drawing/2014/main" id="{00000000-0008-0000-0600-00007CEC0700}"/>
                </a:ext>
              </a:extLst>
            </xdr:cNvPr>
            <xdr:cNvSpPr>
              <a:spLocks/>
            </xdr:cNvSpPr>
          </xdr:nvSpPr>
          <xdr:spPr bwMode="auto">
            <a:xfrm>
              <a:off x="721" y="583"/>
              <a:ext cx="69" cy="58"/>
            </a:xfrm>
            <a:custGeom>
              <a:avLst/>
              <a:gdLst>
                <a:gd name="T0" fmla="*/ 69 w 69"/>
                <a:gd name="T1" fmla="*/ 58 h 58"/>
                <a:gd name="T2" fmla="*/ 69 w 69"/>
                <a:gd name="T3" fmla="*/ 9 h 58"/>
                <a:gd name="T4" fmla="*/ 60 w 69"/>
                <a:gd name="T5" fmla="*/ 0 h 58"/>
                <a:gd name="T6" fmla="*/ 0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69" y="58"/>
                  </a:move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3" name="Freeform 221">
              <a:extLst>
                <a:ext uri="{FF2B5EF4-FFF2-40B4-BE49-F238E27FC236}">
                  <a16:creationId xmlns:a16="http://schemas.microsoft.com/office/drawing/2014/main" id="{00000000-0008-0000-0600-00007DEC0700}"/>
                </a:ext>
              </a:extLst>
            </xdr:cNvPr>
            <xdr:cNvSpPr>
              <a:spLocks/>
            </xdr:cNvSpPr>
          </xdr:nvSpPr>
          <xdr:spPr bwMode="auto">
            <a:xfrm>
              <a:off x="721" y="416"/>
              <a:ext cx="69" cy="147"/>
            </a:xfrm>
            <a:custGeom>
              <a:avLst/>
              <a:gdLst>
                <a:gd name="T0" fmla="*/ 0 w 69"/>
                <a:gd name="T1" fmla="*/ 147 h 147"/>
                <a:gd name="T2" fmla="*/ 60 w 69"/>
                <a:gd name="T3" fmla="*/ 147 h 147"/>
                <a:gd name="T4" fmla="*/ 69 w 69"/>
                <a:gd name="T5" fmla="*/ 138 h 147"/>
                <a:gd name="T6" fmla="*/ 69 w 69"/>
                <a:gd name="T7" fmla="*/ 9 h 147"/>
                <a:gd name="T8" fmla="*/ 60 w 69"/>
                <a:gd name="T9" fmla="*/ 0 h 147"/>
                <a:gd name="T10" fmla="*/ 0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0" y="147"/>
                  </a:moveTo>
                  <a:lnTo>
                    <a:pt x="60" y="147"/>
                  </a:lnTo>
                  <a:lnTo>
                    <a:pt x="69" y="138"/>
                  </a:ln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4" name="Freeform 222">
              <a:extLst>
                <a:ext uri="{FF2B5EF4-FFF2-40B4-BE49-F238E27FC236}">
                  <a16:creationId xmlns:a16="http://schemas.microsoft.com/office/drawing/2014/main" id="{00000000-0008-0000-0600-00007EEC0700}"/>
                </a:ext>
              </a:extLst>
            </xdr:cNvPr>
            <xdr:cNvSpPr>
              <a:spLocks/>
            </xdr:cNvSpPr>
          </xdr:nvSpPr>
          <xdr:spPr bwMode="auto">
            <a:xfrm>
              <a:off x="721" y="338"/>
              <a:ext cx="69" cy="59"/>
            </a:xfrm>
            <a:custGeom>
              <a:avLst/>
              <a:gdLst>
                <a:gd name="T0" fmla="*/ 69 w 69"/>
                <a:gd name="T1" fmla="*/ 0 h 59"/>
                <a:gd name="T2" fmla="*/ 69 w 69"/>
                <a:gd name="T3" fmla="*/ 49 h 59"/>
                <a:gd name="T4" fmla="*/ 60 w 69"/>
                <a:gd name="T5" fmla="*/ 59 h 59"/>
                <a:gd name="T6" fmla="*/ 0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69" y="0"/>
                  </a:moveTo>
                  <a:lnTo>
                    <a:pt x="69" y="49"/>
                  </a:lnTo>
                  <a:lnTo>
                    <a:pt x="60" y="59"/>
                  </a:lnTo>
                  <a:lnTo>
                    <a:pt x="0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5" name="Freeform 223">
              <a:extLst>
                <a:ext uri="{FF2B5EF4-FFF2-40B4-BE49-F238E27FC236}">
                  <a16:creationId xmlns:a16="http://schemas.microsoft.com/office/drawing/2014/main" id="{00000000-0008-0000-0600-00007FEC0700}"/>
                </a:ext>
              </a:extLst>
            </xdr:cNvPr>
            <xdr:cNvSpPr>
              <a:spLocks/>
            </xdr:cNvSpPr>
          </xdr:nvSpPr>
          <xdr:spPr bwMode="auto">
            <a:xfrm>
              <a:off x="976" y="338"/>
              <a:ext cx="69" cy="59"/>
            </a:xfrm>
            <a:custGeom>
              <a:avLst/>
              <a:gdLst>
                <a:gd name="T0" fmla="*/ 0 w 69"/>
                <a:gd name="T1" fmla="*/ 0 h 59"/>
                <a:gd name="T2" fmla="*/ 0 w 69"/>
                <a:gd name="T3" fmla="*/ 49 h 59"/>
                <a:gd name="T4" fmla="*/ 9 w 69"/>
                <a:gd name="T5" fmla="*/ 59 h 59"/>
                <a:gd name="T6" fmla="*/ 69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0" y="0"/>
                  </a:moveTo>
                  <a:lnTo>
                    <a:pt x="0" y="49"/>
                  </a:lnTo>
                  <a:lnTo>
                    <a:pt x="9" y="59"/>
                  </a:lnTo>
                  <a:lnTo>
                    <a:pt x="69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6" name="Freeform 224">
              <a:extLst>
                <a:ext uri="{FF2B5EF4-FFF2-40B4-BE49-F238E27FC236}">
                  <a16:creationId xmlns:a16="http://schemas.microsoft.com/office/drawing/2014/main" id="{00000000-0008-0000-0600-000080EC0700}"/>
                </a:ext>
              </a:extLst>
            </xdr:cNvPr>
            <xdr:cNvSpPr>
              <a:spLocks/>
            </xdr:cNvSpPr>
          </xdr:nvSpPr>
          <xdr:spPr bwMode="auto">
            <a:xfrm>
              <a:off x="976" y="583"/>
              <a:ext cx="69" cy="58"/>
            </a:xfrm>
            <a:custGeom>
              <a:avLst/>
              <a:gdLst>
                <a:gd name="T0" fmla="*/ 0 w 69"/>
                <a:gd name="T1" fmla="*/ 58 h 58"/>
                <a:gd name="T2" fmla="*/ 0 w 69"/>
                <a:gd name="T3" fmla="*/ 9 h 58"/>
                <a:gd name="T4" fmla="*/ 9 w 69"/>
                <a:gd name="T5" fmla="*/ 0 h 58"/>
                <a:gd name="T6" fmla="*/ 69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0" y="58"/>
                  </a:move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7" name="Freeform 225">
              <a:extLst>
                <a:ext uri="{FF2B5EF4-FFF2-40B4-BE49-F238E27FC236}">
                  <a16:creationId xmlns:a16="http://schemas.microsoft.com/office/drawing/2014/main" id="{00000000-0008-0000-0600-000081EC0700}"/>
                </a:ext>
              </a:extLst>
            </xdr:cNvPr>
            <xdr:cNvSpPr>
              <a:spLocks/>
            </xdr:cNvSpPr>
          </xdr:nvSpPr>
          <xdr:spPr bwMode="auto">
            <a:xfrm>
              <a:off x="976" y="416"/>
              <a:ext cx="69" cy="147"/>
            </a:xfrm>
            <a:custGeom>
              <a:avLst/>
              <a:gdLst>
                <a:gd name="T0" fmla="*/ 69 w 69"/>
                <a:gd name="T1" fmla="*/ 147 h 147"/>
                <a:gd name="T2" fmla="*/ 9 w 69"/>
                <a:gd name="T3" fmla="*/ 147 h 147"/>
                <a:gd name="T4" fmla="*/ 0 w 69"/>
                <a:gd name="T5" fmla="*/ 138 h 147"/>
                <a:gd name="T6" fmla="*/ 0 w 69"/>
                <a:gd name="T7" fmla="*/ 9 h 147"/>
                <a:gd name="T8" fmla="*/ 9 w 69"/>
                <a:gd name="T9" fmla="*/ 0 h 147"/>
                <a:gd name="T10" fmla="*/ 69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69" y="147"/>
                  </a:moveTo>
                  <a:lnTo>
                    <a:pt x="9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8" name="Freeform 226">
              <a:extLst>
                <a:ext uri="{FF2B5EF4-FFF2-40B4-BE49-F238E27FC236}">
                  <a16:creationId xmlns:a16="http://schemas.microsoft.com/office/drawing/2014/main" id="{00000000-0008-0000-0600-000082EC0700}"/>
                </a:ext>
              </a:extLst>
            </xdr:cNvPr>
            <xdr:cNvSpPr>
              <a:spLocks/>
            </xdr:cNvSpPr>
          </xdr:nvSpPr>
          <xdr:spPr bwMode="auto">
            <a:xfrm>
              <a:off x="809" y="338"/>
              <a:ext cx="148" cy="59"/>
            </a:xfrm>
            <a:custGeom>
              <a:avLst/>
              <a:gdLst>
                <a:gd name="T0" fmla="*/ 0 w 148"/>
                <a:gd name="T1" fmla="*/ 0 h 59"/>
                <a:gd name="T2" fmla="*/ 0 w 148"/>
                <a:gd name="T3" fmla="*/ 49 h 59"/>
                <a:gd name="T4" fmla="*/ 10 w 148"/>
                <a:gd name="T5" fmla="*/ 59 h 59"/>
                <a:gd name="T6" fmla="*/ 138 w 148"/>
                <a:gd name="T7" fmla="*/ 59 h 59"/>
                <a:gd name="T8" fmla="*/ 148 w 148"/>
                <a:gd name="T9" fmla="*/ 49 h 59"/>
                <a:gd name="T10" fmla="*/ 148 w 148"/>
                <a:gd name="T11" fmla="*/ 0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9">
                  <a:moveTo>
                    <a:pt x="0" y="0"/>
                  </a:moveTo>
                  <a:lnTo>
                    <a:pt x="0" y="49"/>
                  </a:lnTo>
                  <a:lnTo>
                    <a:pt x="10" y="59"/>
                  </a:lnTo>
                  <a:lnTo>
                    <a:pt x="138" y="59"/>
                  </a:lnTo>
                  <a:lnTo>
                    <a:pt x="148" y="49"/>
                  </a:lnTo>
                  <a:lnTo>
                    <a:pt x="148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299" name="Freeform 227">
              <a:extLst>
                <a:ext uri="{FF2B5EF4-FFF2-40B4-BE49-F238E27FC236}">
                  <a16:creationId xmlns:a16="http://schemas.microsoft.com/office/drawing/2014/main" id="{00000000-0008-0000-0600-000083EC0700}"/>
                </a:ext>
              </a:extLst>
            </xdr:cNvPr>
            <xdr:cNvSpPr>
              <a:spLocks/>
            </xdr:cNvSpPr>
          </xdr:nvSpPr>
          <xdr:spPr bwMode="auto">
            <a:xfrm>
              <a:off x="809" y="583"/>
              <a:ext cx="148" cy="58"/>
            </a:xfrm>
            <a:custGeom>
              <a:avLst/>
              <a:gdLst>
                <a:gd name="T0" fmla="*/ 0 w 148"/>
                <a:gd name="T1" fmla="*/ 58 h 58"/>
                <a:gd name="T2" fmla="*/ 0 w 148"/>
                <a:gd name="T3" fmla="*/ 9 h 58"/>
                <a:gd name="T4" fmla="*/ 10 w 148"/>
                <a:gd name="T5" fmla="*/ 0 h 58"/>
                <a:gd name="T6" fmla="*/ 138 w 148"/>
                <a:gd name="T7" fmla="*/ 0 h 58"/>
                <a:gd name="T8" fmla="*/ 148 w 148"/>
                <a:gd name="T9" fmla="*/ 9 h 58"/>
                <a:gd name="T10" fmla="*/ 148 w 148"/>
                <a:gd name="T11" fmla="*/ 58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8">
                  <a:moveTo>
                    <a:pt x="0" y="58"/>
                  </a:moveTo>
                  <a:lnTo>
                    <a:pt x="0" y="9"/>
                  </a:lnTo>
                  <a:lnTo>
                    <a:pt x="10" y="0"/>
                  </a:lnTo>
                  <a:lnTo>
                    <a:pt x="138" y="0"/>
                  </a:lnTo>
                  <a:lnTo>
                    <a:pt x="148" y="9"/>
                  </a:lnTo>
                  <a:lnTo>
                    <a:pt x="148" y="58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00" name="Freeform 228">
              <a:extLst>
                <a:ext uri="{FF2B5EF4-FFF2-40B4-BE49-F238E27FC236}">
                  <a16:creationId xmlns:a16="http://schemas.microsoft.com/office/drawing/2014/main" id="{00000000-0008-0000-0600-000084EC0700}"/>
                </a:ext>
              </a:extLst>
            </xdr:cNvPr>
            <xdr:cNvSpPr>
              <a:spLocks/>
            </xdr:cNvSpPr>
          </xdr:nvSpPr>
          <xdr:spPr bwMode="auto">
            <a:xfrm>
              <a:off x="809" y="416"/>
              <a:ext cx="148" cy="147"/>
            </a:xfrm>
            <a:custGeom>
              <a:avLst/>
              <a:gdLst>
                <a:gd name="T0" fmla="*/ 10 w 148"/>
                <a:gd name="T1" fmla="*/ 0 h 147"/>
                <a:gd name="T2" fmla="*/ 138 w 148"/>
                <a:gd name="T3" fmla="*/ 0 h 147"/>
                <a:gd name="T4" fmla="*/ 148 w 148"/>
                <a:gd name="T5" fmla="*/ 9 h 147"/>
                <a:gd name="T6" fmla="*/ 148 w 148"/>
                <a:gd name="T7" fmla="*/ 138 h 147"/>
                <a:gd name="T8" fmla="*/ 138 w 148"/>
                <a:gd name="T9" fmla="*/ 147 h 147"/>
                <a:gd name="T10" fmla="*/ 10 w 148"/>
                <a:gd name="T11" fmla="*/ 147 h 147"/>
                <a:gd name="T12" fmla="*/ 0 w 148"/>
                <a:gd name="T13" fmla="*/ 138 h 147"/>
                <a:gd name="T14" fmla="*/ 0 w 148"/>
                <a:gd name="T15" fmla="*/ 9 h 147"/>
                <a:gd name="T16" fmla="*/ 10 w 148"/>
                <a:gd name="T17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8" h="147">
                  <a:moveTo>
                    <a:pt x="10" y="0"/>
                  </a:moveTo>
                  <a:lnTo>
                    <a:pt x="138" y="0"/>
                  </a:lnTo>
                  <a:lnTo>
                    <a:pt x="148" y="9"/>
                  </a:lnTo>
                  <a:lnTo>
                    <a:pt x="148" y="138"/>
                  </a:lnTo>
                  <a:lnTo>
                    <a:pt x="138" y="147"/>
                  </a:lnTo>
                  <a:lnTo>
                    <a:pt x="10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1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01" name="Rectangle 229">
              <a:extLst>
                <a:ext uri="{FF2B5EF4-FFF2-40B4-BE49-F238E27FC236}">
                  <a16:creationId xmlns:a16="http://schemas.microsoft.com/office/drawing/2014/main" id="{00000000-0008-0000-0600-000085EC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02" name="Rectangle 230">
              <a:extLst>
                <a:ext uri="{FF2B5EF4-FFF2-40B4-BE49-F238E27FC236}">
                  <a16:creationId xmlns:a16="http://schemas.microsoft.com/office/drawing/2014/main" id="{00000000-0008-0000-0600-000086EC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03" name="Rectangle 231">
              <a:extLst>
                <a:ext uri="{FF2B5EF4-FFF2-40B4-BE49-F238E27FC236}">
                  <a16:creationId xmlns:a16="http://schemas.microsoft.com/office/drawing/2014/main" id="{00000000-0008-0000-0600-000087EC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04" name="Rectangle 232">
              <a:extLst>
                <a:ext uri="{FF2B5EF4-FFF2-40B4-BE49-F238E27FC236}">
                  <a16:creationId xmlns:a16="http://schemas.microsoft.com/office/drawing/2014/main" id="{00000000-0008-0000-0600-000088EC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05" name="Line 233">
              <a:extLst>
                <a:ext uri="{FF2B5EF4-FFF2-40B4-BE49-F238E27FC236}">
                  <a16:creationId xmlns:a16="http://schemas.microsoft.com/office/drawing/2014/main" id="{00000000-0008-0000-0600-000089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306" name="Line 234">
              <a:extLst>
                <a:ext uri="{FF2B5EF4-FFF2-40B4-BE49-F238E27FC236}">
                  <a16:creationId xmlns:a16="http://schemas.microsoft.com/office/drawing/2014/main" id="{00000000-0008-0000-0600-00008A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0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307" name="Line 235">
              <a:extLst>
                <a:ext uri="{FF2B5EF4-FFF2-40B4-BE49-F238E27FC236}">
                  <a16:creationId xmlns:a16="http://schemas.microsoft.com/office/drawing/2014/main" id="{00000000-0008-0000-0600-00008BEC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61"/>
              <a:ext cx="5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9308" name="Freeform 236">
              <a:extLst>
                <a:ext uri="{FF2B5EF4-FFF2-40B4-BE49-F238E27FC236}">
                  <a16:creationId xmlns:a16="http://schemas.microsoft.com/office/drawing/2014/main" id="{00000000-0008-0000-0600-00008CEC07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309" name="Freeform 237">
              <a:extLst>
                <a:ext uri="{FF2B5EF4-FFF2-40B4-BE49-F238E27FC236}">
                  <a16:creationId xmlns:a16="http://schemas.microsoft.com/office/drawing/2014/main" id="{00000000-0008-0000-0600-00008DEC07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19310" name="Freeform 238">
              <a:extLst>
                <a:ext uri="{FF2B5EF4-FFF2-40B4-BE49-F238E27FC236}">
                  <a16:creationId xmlns:a16="http://schemas.microsoft.com/office/drawing/2014/main" id="{00000000-0008-0000-0600-00008EEC07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9311" name="Freeform 239">
              <a:extLst>
                <a:ext uri="{FF2B5EF4-FFF2-40B4-BE49-F238E27FC236}">
                  <a16:creationId xmlns:a16="http://schemas.microsoft.com/office/drawing/2014/main" id="{00000000-0008-0000-0600-00008FEC07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519168" name="Line 241">
            <a:extLst>
              <a:ext uri="{FF2B5EF4-FFF2-40B4-BE49-F238E27FC236}">
                <a16:creationId xmlns:a16="http://schemas.microsoft.com/office/drawing/2014/main" id="{00000000-0008-0000-0600-000000EC0700}"/>
              </a:ext>
            </a:extLst>
          </xdr:cNvPr>
          <xdr:cNvSpPr>
            <a:spLocks noChangeShapeType="1"/>
          </xdr:cNvSpPr>
        </xdr:nvSpPr>
        <xdr:spPr bwMode="auto">
          <a:xfrm>
            <a:off x="1500295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0" name="Line 242">
            <a:extLst>
              <a:ext uri="{FF2B5EF4-FFF2-40B4-BE49-F238E27FC236}">
                <a16:creationId xmlns:a16="http://schemas.microsoft.com/office/drawing/2014/main" id="{00000000-0008-0000-0600-000016EC0700}"/>
              </a:ext>
            </a:extLst>
          </xdr:cNvPr>
          <xdr:cNvSpPr>
            <a:spLocks noChangeShapeType="1"/>
          </xdr:cNvSpPr>
        </xdr:nvSpPr>
        <xdr:spPr bwMode="auto">
          <a:xfrm>
            <a:off x="1778691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1" name="Line 248">
            <a:extLst>
              <a:ext uri="{FF2B5EF4-FFF2-40B4-BE49-F238E27FC236}">
                <a16:creationId xmlns:a16="http://schemas.microsoft.com/office/drawing/2014/main" id="{00000000-0008-0000-0600-000017EC0700}"/>
              </a:ext>
            </a:extLst>
          </xdr:cNvPr>
          <xdr:cNvSpPr>
            <a:spLocks noChangeShapeType="1"/>
          </xdr:cNvSpPr>
        </xdr:nvSpPr>
        <xdr:spPr bwMode="auto">
          <a:xfrm>
            <a:off x="1778691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2" name="Line 249">
            <a:extLst>
              <a:ext uri="{FF2B5EF4-FFF2-40B4-BE49-F238E27FC236}">
                <a16:creationId xmlns:a16="http://schemas.microsoft.com/office/drawing/2014/main" id="{00000000-0008-0000-0600-000018EC0700}"/>
              </a:ext>
            </a:extLst>
          </xdr:cNvPr>
          <xdr:cNvSpPr>
            <a:spLocks noChangeShapeType="1"/>
          </xdr:cNvSpPr>
        </xdr:nvSpPr>
        <xdr:spPr bwMode="auto">
          <a:xfrm>
            <a:off x="3955870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3" name="Line 250">
            <a:extLst>
              <a:ext uri="{FF2B5EF4-FFF2-40B4-BE49-F238E27FC236}">
                <a16:creationId xmlns:a16="http://schemas.microsoft.com/office/drawing/2014/main" id="{00000000-0008-0000-0600-000019EC0700}"/>
              </a:ext>
            </a:extLst>
          </xdr:cNvPr>
          <xdr:cNvSpPr>
            <a:spLocks noChangeShapeType="1"/>
          </xdr:cNvSpPr>
        </xdr:nvSpPr>
        <xdr:spPr bwMode="auto">
          <a:xfrm>
            <a:off x="1866605" y="8035707"/>
            <a:ext cx="2001351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4" name="Freeform 251">
            <a:extLst>
              <a:ext uri="{FF2B5EF4-FFF2-40B4-BE49-F238E27FC236}">
                <a16:creationId xmlns:a16="http://schemas.microsoft.com/office/drawing/2014/main" id="{00000000-0008-0000-0600-00001AEC0700}"/>
              </a:ext>
            </a:extLst>
          </xdr:cNvPr>
          <xdr:cNvSpPr>
            <a:spLocks/>
          </xdr:cNvSpPr>
        </xdr:nvSpPr>
        <xdr:spPr bwMode="auto">
          <a:xfrm>
            <a:off x="1778691" y="8022852"/>
            <a:ext cx="87914" cy="25708"/>
          </a:xfrm>
          <a:custGeom>
            <a:avLst/>
            <a:gdLst>
              <a:gd name="T0" fmla="*/ 6 w 6"/>
              <a:gd name="T1" fmla="*/ 0 h 2"/>
              <a:gd name="T2" fmla="*/ 6 w 6"/>
              <a:gd name="T3" fmla="*/ 2 h 2"/>
              <a:gd name="T4" fmla="*/ 0 w 6"/>
              <a:gd name="T5" fmla="*/ 1 h 2"/>
              <a:gd name="T6" fmla="*/ 6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6" y="0"/>
                </a:moveTo>
                <a:lnTo>
                  <a:pt x="6" y="2"/>
                </a:lnTo>
                <a:lnTo>
                  <a:pt x="0" y="1"/>
                </a:lnTo>
                <a:lnTo>
                  <a:pt x="6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9195" name="Freeform 253">
            <a:extLst>
              <a:ext uri="{FF2B5EF4-FFF2-40B4-BE49-F238E27FC236}">
                <a16:creationId xmlns:a16="http://schemas.microsoft.com/office/drawing/2014/main" id="{00000000-0008-0000-0600-00001BEC0700}"/>
              </a:ext>
            </a:extLst>
          </xdr:cNvPr>
          <xdr:cNvSpPr>
            <a:spLocks/>
          </xdr:cNvSpPr>
        </xdr:nvSpPr>
        <xdr:spPr bwMode="auto">
          <a:xfrm>
            <a:off x="3867956" y="8022852"/>
            <a:ext cx="87914" cy="25708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9196" name="Freeform 254">
            <a:extLst>
              <a:ext uri="{FF2B5EF4-FFF2-40B4-BE49-F238E27FC236}">
                <a16:creationId xmlns:a16="http://schemas.microsoft.com/office/drawing/2014/main" id="{00000000-0008-0000-0600-00001CEC0700}"/>
              </a:ext>
            </a:extLst>
          </xdr:cNvPr>
          <xdr:cNvSpPr>
            <a:spLocks/>
          </xdr:cNvSpPr>
        </xdr:nvSpPr>
        <xdr:spPr bwMode="auto">
          <a:xfrm>
            <a:off x="3867956" y="8022852"/>
            <a:ext cx="87914" cy="25708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19197" name="Line 255">
            <a:extLst>
              <a:ext uri="{FF2B5EF4-FFF2-40B4-BE49-F238E27FC236}">
                <a16:creationId xmlns:a16="http://schemas.microsoft.com/office/drawing/2014/main" id="{00000000-0008-0000-0600-00001DEC0700}"/>
              </a:ext>
            </a:extLst>
          </xdr:cNvPr>
          <xdr:cNvSpPr>
            <a:spLocks noChangeShapeType="1"/>
          </xdr:cNvSpPr>
        </xdr:nvSpPr>
        <xdr:spPr bwMode="auto">
          <a:xfrm>
            <a:off x="3955870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8" name="Line 256">
            <a:extLst>
              <a:ext uri="{FF2B5EF4-FFF2-40B4-BE49-F238E27FC236}">
                <a16:creationId xmlns:a16="http://schemas.microsoft.com/office/drawing/2014/main" id="{00000000-0008-0000-0600-00001EEC0700}"/>
              </a:ext>
            </a:extLst>
          </xdr:cNvPr>
          <xdr:cNvSpPr>
            <a:spLocks noChangeShapeType="1"/>
          </xdr:cNvSpPr>
        </xdr:nvSpPr>
        <xdr:spPr bwMode="auto">
          <a:xfrm>
            <a:off x="4234266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199" name="Line 262">
            <a:extLst>
              <a:ext uri="{FF2B5EF4-FFF2-40B4-BE49-F238E27FC236}">
                <a16:creationId xmlns:a16="http://schemas.microsoft.com/office/drawing/2014/main" id="{00000000-0008-0000-0600-00001FEC0700}"/>
              </a:ext>
            </a:extLst>
          </xdr:cNvPr>
          <xdr:cNvSpPr>
            <a:spLocks noChangeShapeType="1"/>
          </xdr:cNvSpPr>
        </xdr:nvSpPr>
        <xdr:spPr bwMode="auto">
          <a:xfrm>
            <a:off x="4234266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200" name="Line 263">
            <a:extLst>
              <a:ext uri="{FF2B5EF4-FFF2-40B4-BE49-F238E27FC236}">
                <a16:creationId xmlns:a16="http://schemas.microsoft.com/office/drawing/2014/main" id="{00000000-0008-0000-0600-000020EC0700}"/>
              </a:ext>
            </a:extLst>
          </xdr:cNvPr>
          <xdr:cNvSpPr>
            <a:spLocks noChangeShapeType="1"/>
          </xdr:cNvSpPr>
        </xdr:nvSpPr>
        <xdr:spPr bwMode="auto">
          <a:xfrm>
            <a:off x="5248157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201" name="Line 264">
            <a:extLst>
              <a:ext uri="{FF2B5EF4-FFF2-40B4-BE49-F238E27FC236}">
                <a16:creationId xmlns:a16="http://schemas.microsoft.com/office/drawing/2014/main" id="{00000000-0008-0000-0600-000021EC0700}"/>
              </a:ext>
            </a:extLst>
          </xdr:cNvPr>
          <xdr:cNvSpPr>
            <a:spLocks noChangeShapeType="1"/>
          </xdr:cNvSpPr>
        </xdr:nvSpPr>
        <xdr:spPr bwMode="auto">
          <a:xfrm>
            <a:off x="4307529" y="8035707"/>
            <a:ext cx="867366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9202" name="Freeform 265">
            <a:extLst>
              <a:ext uri="{FF2B5EF4-FFF2-40B4-BE49-F238E27FC236}">
                <a16:creationId xmlns:a16="http://schemas.microsoft.com/office/drawing/2014/main" id="{00000000-0008-0000-0600-000022EC0700}"/>
              </a:ext>
            </a:extLst>
          </xdr:cNvPr>
          <xdr:cNvSpPr>
            <a:spLocks/>
          </xdr:cNvSpPr>
        </xdr:nvSpPr>
        <xdr:spPr bwMode="auto">
          <a:xfrm>
            <a:off x="4234266" y="8022852"/>
            <a:ext cx="73262" cy="25708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9203" name="Freeform 266">
            <a:extLst>
              <a:ext uri="{FF2B5EF4-FFF2-40B4-BE49-F238E27FC236}">
                <a16:creationId xmlns:a16="http://schemas.microsoft.com/office/drawing/2014/main" id="{00000000-0008-0000-0600-000023EC0700}"/>
              </a:ext>
            </a:extLst>
          </xdr:cNvPr>
          <xdr:cNvSpPr>
            <a:spLocks/>
          </xdr:cNvSpPr>
        </xdr:nvSpPr>
        <xdr:spPr bwMode="auto">
          <a:xfrm>
            <a:off x="4234266" y="8022852"/>
            <a:ext cx="73262" cy="25708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19204" name="Freeform 267">
            <a:extLst>
              <a:ext uri="{FF2B5EF4-FFF2-40B4-BE49-F238E27FC236}">
                <a16:creationId xmlns:a16="http://schemas.microsoft.com/office/drawing/2014/main" id="{00000000-0008-0000-0600-000024EC0700}"/>
              </a:ext>
            </a:extLst>
          </xdr:cNvPr>
          <xdr:cNvSpPr>
            <a:spLocks/>
          </xdr:cNvSpPr>
        </xdr:nvSpPr>
        <xdr:spPr bwMode="auto">
          <a:xfrm>
            <a:off x="5174895" y="8022852"/>
            <a:ext cx="73262" cy="25708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9205" name="Freeform 268">
            <a:extLst>
              <a:ext uri="{FF2B5EF4-FFF2-40B4-BE49-F238E27FC236}">
                <a16:creationId xmlns:a16="http://schemas.microsoft.com/office/drawing/2014/main" id="{00000000-0008-0000-0600-000025EC0700}"/>
              </a:ext>
            </a:extLst>
          </xdr:cNvPr>
          <xdr:cNvSpPr>
            <a:spLocks/>
          </xdr:cNvSpPr>
        </xdr:nvSpPr>
        <xdr:spPr bwMode="auto">
          <a:xfrm>
            <a:off x="5174895" y="8022852"/>
            <a:ext cx="73262" cy="25708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186</xdr:row>
      <xdr:rowOff>0</xdr:rowOff>
    </xdr:from>
    <xdr:to>
      <xdr:col>9</xdr:col>
      <xdr:colOff>304800</xdr:colOff>
      <xdr:row>186</xdr:row>
      <xdr:rowOff>0</xdr:rowOff>
    </xdr:to>
    <xdr:grpSp>
      <xdr:nvGrpSpPr>
        <xdr:cNvPr id="2" name="Group 9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>
          <a:grpSpLocks/>
        </xdr:cNvGrpSpPr>
      </xdr:nvGrpSpPr>
      <xdr:grpSpPr bwMode="auto">
        <a:xfrm>
          <a:off x="4587875" y="37185600"/>
          <a:ext cx="2092325" cy="0"/>
          <a:chOff x="497" y="3068"/>
          <a:chExt cx="140" cy="102"/>
        </a:xfrm>
      </xdr:grpSpPr>
      <xdr:sp macro="" textlink="">
        <xdr:nvSpPr>
          <xdr:cNvPr id="3" name="Line 10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20"/>
            <a:ext cx="0" cy="4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" name="Line 11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119"/>
            <a:ext cx="0" cy="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Line 12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518" y="3120"/>
            <a:ext cx="112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13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67"/>
            <a:ext cx="112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1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69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5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630" y="3068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6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74"/>
            <a:ext cx="113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7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497" y="3120"/>
            <a:ext cx="1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8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498" y="3167"/>
            <a:ext cx="2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9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505" y="3117"/>
            <a:ext cx="0" cy="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3" name="Group 20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GrpSpPr>
            <a:grpSpLocks/>
          </xdr:cNvGrpSpPr>
        </xdr:nvGrpSpPr>
        <xdr:grpSpPr bwMode="auto">
          <a:xfrm>
            <a:off x="531" y="3115"/>
            <a:ext cx="10" cy="6"/>
            <a:chOff x="545" y="3239"/>
            <a:chExt cx="10" cy="6"/>
          </a:xfrm>
        </xdr:grpSpPr>
        <xdr:sp macro="" textlink="">
          <xdr:nvSpPr>
            <xdr:cNvPr id="50" name="Line 21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1" name="Line 22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4" name="Group 2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GrpSpPr>
            <a:grpSpLocks/>
          </xdr:cNvGrpSpPr>
        </xdr:nvGrpSpPr>
        <xdr:grpSpPr bwMode="auto">
          <a:xfrm>
            <a:off x="515" y="3114"/>
            <a:ext cx="10" cy="6"/>
            <a:chOff x="545" y="3239"/>
            <a:chExt cx="10" cy="6"/>
          </a:xfrm>
        </xdr:grpSpPr>
        <xdr:sp macro="" textlink="">
          <xdr:nvSpPr>
            <xdr:cNvPr id="48" name="Line 24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" name="Line 25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5" name="Group 26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pSpPr>
            <a:grpSpLocks/>
          </xdr:cNvGrpSpPr>
        </xdr:nvGrpSpPr>
        <xdr:grpSpPr bwMode="auto">
          <a:xfrm>
            <a:off x="548" y="3115"/>
            <a:ext cx="10" cy="6"/>
            <a:chOff x="545" y="3239"/>
            <a:chExt cx="10" cy="6"/>
          </a:xfrm>
        </xdr:grpSpPr>
        <xdr:sp macro="" textlink="">
          <xdr:nvSpPr>
            <xdr:cNvPr id="46" name="Line 27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" name="Line 28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6" name="Group 29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GrpSpPr>
            <a:grpSpLocks/>
          </xdr:cNvGrpSpPr>
        </xdr:nvGrpSpPr>
        <xdr:grpSpPr bwMode="auto">
          <a:xfrm>
            <a:off x="564" y="3113"/>
            <a:ext cx="10" cy="6"/>
            <a:chOff x="545" y="3239"/>
            <a:chExt cx="10" cy="6"/>
          </a:xfrm>
        </xdr:grpSpPr>
        <xdr:sp macro="" textlink="">
          <xdr:nvSpPr>
            <xdr:cNvPr id="44" name="Line 30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5" name="Line 31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7" name="Group 32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GrpSpPr>
            <a:grpSpLocks/>
          </xdr:cNvGrpSpPr>
        </xdr:nvGrpSpPr>
        <xdr:grpSpPr bwMode="auto">
          <a:xfrm>
            <a:off x="584" y="3113"/>
            <a:ext cx="10" cy="6"/>
            <a:chOff x="545" y="3239"/>
            <a:chExt cx="10" cy="6"/>
          </a:xfrm>
        </xdr:grpSpPr>
        <xdr:sp macro="" textlink="">
          <xdr:nvSpPr>
            <xdr:cNvPr id="42" name="Line 33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3" name="Line 34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8" name="Group 35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>
            <a:grpSpLocks/>
          </xdr:cNvGrpSpPr>
        </xdr:nvGrpSpPr>
        <xdr:grpSpPr bwMode="auto">
          <a:xfrm>
            <a:off x="600" y="3114"/>
            <a:ext cx="10" cy="6"/>
            <a:chOff x="545" y="3239"/>
            <a:chExt cx="10" cy="6"/>
          </a:xfrm>
        </xdr:grpSpPr>
        <xdr:sp macro="" textlink="">
          <xdr:nvSpPr>
            <xdr:cNvPr id="40" name="Line 36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" name="Line 37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9" name="Group 3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pSpPr>
            <a:grpSpLocks/>
          </xdr:cNvGrpSpPr>
        </xdr:nvGrpSpPr>
        <xdr:grpSpPr bwMode="auto">
          <a:xfrm>
            <a:off x="617" y="3113"/>
            <a:ext cx="10" cy="6"/>
            <a:chOff x="545" y="3239"/>
            <a:chExt cx="10" cy="6"/>
          </a:xfrm>
        </xdr:grpSpPr>
        <xdr:sp macro="" textlink="">
          <xdr:nvSpPr>
            <xdr:cNvPr id="38" name="Line 39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" name="Line 40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0" name="Group 41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GrpSpPr>
            <a:grpSpLocks/>
          </xdr:cNvGrpSpPr>
        </xdr:nvGrpSpPr>
        <xdr:grpSpPr bwMode="auto">
          <a:xfrm>
            <a:off x="630" y="3123"/>
            <a:ext cx="7" cy="9"/>
            <a:chOff x="653" y="3197"/>
            <a:chExt cx="7" cy="9"/>
          </a:xfrm>
        </xdr:grpSpPr>
        <xdr:sp macro="" textlink="">
          <xdr:nvSpPr>
            <xdr:cNvPr id="36" name="Line 42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" name="Line 43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1" name="Group 4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GrpSpPr>
            <a:grpSpLocks/>
          </xdr:cNvGrpSpPr>
        </xdr:nvGrpSpPr>
        <xdr:grpSpPr bwMode="auto">
          <a:xfrm>
            <a:off x="629" y="3140"/>
            <a:ext cx="7" cy="9"/>
            <a:chOff x="653" y="3197"/>
            <a:chExt cx="7" cy="9"/>
          </a:xfrm>
        </xdr:grpSpPr>
        <xdr:sp macro="" textlink="">
          <xdr:nvSpPr>
            <xdr:cNvPr id="34" name="Line 45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5" name="Line 46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2" name="Group 47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GrpSpPr>
            <a:grpSpLocks/>
          </xdr:cNvGrpSpPr>
        </xdr:nvGrpSpPr>
        <xdr:grpSpPr bwMode="auto">
          <a:xfrm>
            <a:off x="629" y="3158"/>
            <a:ext cx="7" cy="9"/>
            <a:chOff x="653" y="3197"/>
            <a:chExt cx="7" cy="9"/>
          </a:xfrm>
        </xdr:grpSpPr>
        <xdr:sp macro="" textlink="">
          <xdr:nvSpPr>
            <xdr:cNvPr id="32" name="Line 48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3" name="Line 49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3" name="Group 50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GrpSpPr>
            <a:grpSpLocks/>
          </xdr:cNvGrpSpPr>
        </xdr:nvGrpSpPr>
        <xdr:grpSpPr bwMode="auto">
          <a:xfrm>
            <a:off x="511" y="3140"/>
            <a:ext cx="7" cy="9"/>
            <a:chOff x="653" y="3197"/>
            <a:chExt cx="7" cy="9"/>
          </a:xfrm>
        </xdr:grpSpPr>
        <xdr:sp macro="" textlink="">
          <xdr:nvSpPr>
            <xdr:cNvPr id="30" name="Line 51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52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4" name="Group 5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GrpSpPr>
            <a:grpSpLocks/>
          </xdr:cNvGrpSpPr>
        </xdr:nvGrpSpPr>
        <xdr:grpSpPr bwMode="auto">
          <a:xfrm>
            <a:off x="511" y="3121"/>
            <a:ext cx="7" cy="9"/>
            <a:chOff x="653" y="3197"/>
            <a:chExt cx="7" cy="9"/>
          </a:xfrm>
        </xdr:grpSpPr>
        <xdr:sp macro="" textlink="">
          <xdr:nvSpPr>
            <xdr:cNvPr id="28" name="Line 54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55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5" name="Group 56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GrpSpPr>
            <a:grpSpLocks/>
          </xdr:cNvGrpSpPr>
        </xdr:nvGrpSpPr>
        <xdr:grpSpPr bwMode="auto">
          <a:xfrm>
            <a:off x="511" y="3158"/>
            <a:ext cx="7" cy="9"/>
            <a:chOff x="653" y="3197"/>
            <a:chExt cx="7" cy="9"/>
          </a:xfrm>
        </xdr:grpSpPr>
        <xdr:sp macro="" textlink="">
          <xdr:nvSpPr>
            <xdr:cNvPr id="26" name="Line 57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58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7</xdr:col>
      <xdr:colOff>238125</xdr:colOff>
      <xdr:row>186</xdr:row>
      <xdr:rowOff>0</xdr:rowOff>
    </xdr:from>
    <xdr:to>
      <xdr:col>9</xdr:col>
      <xdr:colOff>219075</xdr:colOff>
      <xdr:row>186</xdr:row>
      <xdr:rowOff>0</xdr:rowOff>
    </xdr:to>
    <xdr:grpSp>
      <xdr:nvGrpSpPr>
        <xdr:cNvPr id="52" name="Group 59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GrpSpPr>
          <a:grpSpLocks/>
        </xdr:cNvGrpSpPr>
      </xdr:nvGrpSpPr>
      <xdr:grpSpPr bwMode="auto">
        <a:xfrm>
          <a:off x="5210175" y="37185600"/>
          <a:ext cx="1384300" cy="0"/>
          <a:chOff x="463" y="2821"/>
          <a:chExt cx="103" cy="82"/>
        </a:xfrm>
      </xdr:grpSpPr>
      <xdr:sp macro="" textlink="">
        <xdr:nvSpPr>
          <xdr:cNvPr id="53" name="Line 60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0" cy="6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61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6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62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901"/>
            <a:ext cx="6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63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540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64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SpPr>
            <a:spLocks noChangeShapeType="1"/>
          </xdr:cNvSpPr>
        </xdr:nvSpPr>
        <xdr:spPr bwMode="auto">
          <a:xfrm>
            <a:off x="547" y="2844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65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545" y="2901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9" name="Line 66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SpPr>
            <a:spLocks noChangeShapeType="1"/>
          </xdr:cNvSpPr>
        </xdr:nvSpPr>
        <xdr:spPr bwMode="auto">
          <a:xfrm>
            <a:off x="557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Line 67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21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Line 68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2822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Line 69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2825"/>
            <a:ext cx="7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63" name="Group 70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GrpSpPr>
            <a:grpSpLocks/>
          </xdr:cNvGrpSpPr>
        </xdr:nvGrpSpPr>
        <xdr:grpSpPr bwMode="auto">
          <a:xfrm>
            <a:off x="530" y="2836"/>
            <a:ext cx="10" cy="6"/>
            <a:chOff x="545" y="3239"/>
            <a:chExt cx="10" cy="6"/>
          </a:xfrm>
        </xdr:grpSpPr>
        <xdr:sp macro="" textlink="">
          <xdr:nvSpPr>
            <xdr:cNvPr id="82" name="Line 71">
              <a:extLst>
                <a:ext uri="{FF2B5EF4-FFF2-40B4-BE49-F238E27FC236}">
                  <a16:creationId xmlns:a16="http://schemas.microsoft.com/office/drawing/2014/main" id="{00000000-0008-0000-0700-00005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3" name="Line 72">
              <a:extLst>
                <a:ext uri="{FF2B5EF4-FFF2-40B4-BE49-F238E27FC236}">
                  <a16:creationId xmlns:a16="http://schemas.microsoft.com/office/drawing/2014/main" id="{00000000-0008-0000-0700-00005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4" name="Group 7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GrpSpPr>
            <a:grpSpLocks/>
          </xdr:cNvGrpSpPr>
        </xdr:nvGrpSpPr>
        <xdr:grpSpPr bwMode="auto">
          <a:xfrm>
            <a:off x="463" y="2868"/>
            <a:ext cx="7" cy="9"/>
            <a:chOff x="653" y="3197"/>
            <a:chExt cx="7" cy="9"/>
          </a:xfrm>
        </xdr:grpSpPr>
        <xdr:sp macro="" textlink="">
          <xdr:nvSpPr>
            <xdr:cNvPr id="80" name="Line 74">
              <a:extLst>
                <a:ext uri="{FF2B5EF4-FFF2-40B4-BE49-F238E27FC236}">
                  <a16:creationId xmlns:a16="http://schemas.microsoft.com/office/drawing/2014/main" id="{00000000-0008-0000-0700-00005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1" name="Line 75">
              <a:extLst>
                <a:ext uri="{FF2B5EF4-FFF2-40B4-BE49-F238E27FC236}">
                  <a16:creationId xmlns:a16="http://schemas.microsoft.com/office/drawing/2014/main" id="{00000000-0008-0000-0700-00005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5" name="Group 76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GrpSpPr>
            <a:grpSpLocks/>
          </xdr:cNvGrpSpPr>
        </xdr:nvGrpSpPr>
        <xdr:grpSpPr bwMode="auto">
          <a:xfrm>
            <a:off x="464" y="2846"/>
            <a:ext cx="7" cy="9"/>
            <a:chOff x="653" y="3197"/>
            <a:chExt cx="7" cy="9"/>
          </a:xfrm>
        </xdr:grpSpPr>
        <xdr:sp macro="" textlink="">
          <xdr:nvSpPr>
            <xdr:cNvPr id="78" name="Line 77">
              <a:extLst>
                <a:ext uri="{FF2B5EF4-FFF2-40B4-BE49-F238E27FC236}">
                  <a16:creationId xmlns:a16="http://schemas.microsoft.com/office/drawing/2014/main" id="{00000000-0008-0000-0700-00004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9" name="Line 78">
              <a:extLst>
                <a:ext uri="{FF2B5EF4-FFF2-40B4-BE49-F238E27FC236}">
                  <a16:creationId xmlns:a16="http://schemas.microsoft.com/office/drawing/2014/main" id="{00000000-0008-0000-0700-00004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6" name="Group 79">
            <a:extLst>
              <a:ext uri="{FF2B5EF4-FFF2-40B4-BE49-F238E27FC236}">
                <a16:creationId xmlns:a16="http://schemas.microsoft.com/office/drawing/2014/main" id="{00000000-0008-0000-0700-000042000000}"/>
              </a:ext>
            </a:extLst>
          </xdr:cNvPr>
          <xdr:cNvGrpSpPr>
            <a:grpSpLocks/>
          </xdr:cNvGrpSpPr>
        </xdr:nvGrpSpPr>
        <xdr:grpSpPr bwMode="auto">
          <a:xfrm>
            <a:off x="463" y="2892"/>
            <a:ext cx="7" cy="9"/>
            <a:chOff x="653" y="3197"/>
            <a:chExt cx="7" cy="9"/>
          </a:xfrm>
        </xdr:grpSpPr>
        <xdr:sp macro="" textlink="">
          <xdr:nvSpPr>
            <xdr:cNvPr id="76" name="Line 80">
              <a:extLst>
                <a:ext uri="{FF2B5EF4-FFF2-40B4-BE49-F238E27FC236}">
                  <a16:creationId xmlns:a16="http://schemas.microsoft.com/office/drawing/2014/main" id="{00000000-0008-0000-07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7" name="Line 81">
              <a:extLst>
                <a:ext uri="{FF2B5EF4-FFF2-40B4-BE49-F238E27FC236}">
                  <a16:creationId xmlns:a16="http://schemas.microsoft.com/office/drawing/2014/main" id="{00000000-0008-0000-0700-00004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7" name="Group 82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GrpSpPr>
            <a:grpSpLocks/>
          </xdr:cNvGrpSpPr>
        </xdr:nvGrpSpPr>
        <xdr:grpSpPr bwMode="auto">
          <a:xfrm>
            <a:off x="511" y="2837"/>
            <a:ext cx="10" cy="6"/>
            <a:chOff x="545" y="3239"/>
            <a:chExt cx="10" cy="6"/>
          </a:xfrm>
        </xdr:grpSpPr>
        <xdr:sp macro="" textlink="">
          <xdr:nvSpPr>
            <xdr:cNvPr id="74" name="Line 83">
              <a:extLst>
                <a:ext uri="{FF2B5EF4-FFF2-40B4-BE49-F238E27FC236}">
                  <a16:creationId xmlns:a16="http://schemas.microsoft.com/office/drawing/2014/main" id="{00000000-0008-0000-0700-00004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5" name="Line 84">
              <a:extLst>
                <a:ext uri="{FF2B5EF4-FFF2-40B4-BE49-F238E27FC236}">
                  <a16:creationId xmlns:a16="http://schemas.microsoft.com/office/drawing/2014/main" id="{00000000-0008-0000-0700-00004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8" name="Group 85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GrpSpPr>
            <a:grpSpLocks/>
          </xdr:cNvGrpSpPr>
        </xdr:nvGrpSpPr>
        <xdr:grpSpPr bwMode="auto">
          <a:xfrm>
            <a:off x="474" y="2837"/>
            <a:ext cx="10" cy="6"/>
            <a:chOff x="545" y="3239"/>
            <a:chExt cx="10" cy="6"/>
          </a:xfrm>
        </xdr:grpSpPr>
        <xdr:sp macro="" textlink="">
          <xdr:nvSpPr>
            <xdr:cNvPr id="72" name="Line 86">
              <a:extLst>
                <a:ext uri="{FF2B5EF4-FFF2-40B4-BE49-F238E27FC236}">
                  <a16:creationId xmlns:a16="http://schemas.microsoft.com/office/drawing/2014/main" id="{00000000-0008-0000-0700-00004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" name="Line 87">
              <a:extLst>
                <a:ext uri="{FF2B5EF4-FFF2-40B4-BE49-F238E27FC236}">
                  <a16:creationId xmlns:a16="http://schemas.microsoft.com/office/drawing/2014/main" id="{00000000-0008-0000-0700-00004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69" name="Group 8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GrpSpPr>
            <a:grpSpLocks/>
          </xdr:cNvGrpSpPr>
        </xdr:nvGrpSpPr>
        <xdr:grpSpPr bwMode="auto">
          <a:xfrm>
            <a:off x="492" y="2836"/>
            <a:ext cx="10" cy="6"/>
            <a:chOff x="545" y="3239"/>
            <a:chExt cx="10" cy="6"/>
          </a:xfrm>
        </xdr:grpSpPr>
        <xdr:sp macro="" textlink="">
          <xdr:nvSpPr>
            <xdr:cNvPr id="70" name="Line 89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1" name="Line 90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647700</xdr:colOff>
      <xdr:row>186</xdr:row>
      <xdr:rowOff>0</xdr:rowOff>
    </xdr:from>
    <xdr:to>
      <xdr:col>9</xdr:col>
      <xdr:colOff>28575</xdr:colOff>
      <xdr:row>186</xdr:row>
      <xdr:rowOff>0</xdr:rowOff>
    </xdr:to>
    <xdr:grpSp>
      <xdr:nvGrpSpPr>
        <xdr:cNvPr id="84" name="Group 174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GrpSpPr>
          <a:grpSpLocks/>
        </xdr:cNvGrpSpPr>
      </xdr:nvGrpSpPr>
      <xdr:grpSpPr bwMode="auto">
        <a:xfrm>
          <a:off x="647700" y="37185600"/>
          <a:ext cx="5756275" cy="0"/>
          <a:chOff x="67" y="3604"/>
          <a:chExt cx="476" cy="354"/>
        </a:xfrm>
      </xdr:grpSpPr>
      <xdr:sp macro="" textlink="">
        <xdr:nvSpPr>
          <xdr:cNvPr id="85" name="Rectangle 175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09"/>
            <a:ext cx="336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6" name="Rectangle 176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>
            <a:spLocks noChangeArrowheads="1"/>
          </xdr:cNvSpPr>
        </xdr:nvSpPr>
        <xdr:spPr bwMode="auto">
          <a:xfrm>
            <a:off x="147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7" name="Rectangle 177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>
            <a:spLocks noChangeArrowheads="1"/>
          </xdr:cNvSpPr>
        </xdr:nvSpPr>
        <xdr:spPr bwMode="auto">
          <a:xfrm>
            <a:off x="302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8" name="Rectangle 178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854"/>
            <a:ext cx="33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9" name="Rectangle 179">
            <a:extLst>
              <a:ext uri="{FF2B5EF4-FFF2-40B4-BE49-F238E27FC236}">
                <a16:creationId xmlns:a16="http://schemas.microsoft.com/office/drawing/2014/main" id="{00000000-0008-0000-07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88"/>
            <a:ext cx="33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90" name="Rectangle 180">
            <a:extLst>
              <a:ext uri="{FF2B5EF4-FFF2-40B4-BE49-F238E27FC236}">
                <a16:creationId xmlns:a16="http://schemas.microsoft.com/office/drawing/2014/main" id="{00000000-0008-0000-07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207" y="3749"/>
            <a:ext cx="61" cy="62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1" name="Line 181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875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2" name="Line 182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4" y="3785"/>
            <a:ext cx="79" cy="7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3" name="Line 183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>
            <a:spLocks noChangeShapeType="1"/>
          </xdr:cNvSpPr>
        </xdr:nvSpPr>
        <xdr:spPr bwMode="auto">
          <a:xfrm>
            <a:off x="267" y="3811"/>
            <a:ext cx="36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4" name="Line 184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7" y="3877"/>
            <a:ext cx="56" cy="8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" name="Line 185">
            <a:extLst>
              <a:ext uri="{FF2B5EF4-FFF2-40B4-BE49-F238E27FC236}">
                <a16:creationId xmlns:a16="http://schemas.microsoft.com/office/drawing/2014/main" id="{00000000-0008-0000-0700-00005F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" y="3709"/>
            <a:ext cx="34" cy="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6" name="Line 186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>
            <a:spLocks noChangeShapeType="1"/>
          </xdr:cNvSpPr>
        </xdr:nvSpPr>
        <xdr:spPr bwMode="auto">
          <a:xfrm>
            <a:off x="324" y="3708"/>
            <a:ext cx="79" cy="6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7" name="Line 187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3" y="3608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8" name="Line 188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SpPr>
            <a:spLocks noChangeShapeType="1"/>
          </xdr:cNvSpPr>
        </xdr:nvSpPr>
        <xdr:spPr bwMode="auto">
          <a:xfrm>
            <a:off x="236" y="3609"/>
            <a:ext cx="67" cy="8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9" name="Line 189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SpPr>
            <a:spLocks noChangeShapeType="1"/>
          </xdr:cNvSpPr>
        </xdr:nvSpPr>
        <xdr:spPr bwMode="auto">
          <a:xfrm>
            <a:off x="541" y="3604"/>
            <a:ext cx="0" cy="35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0" name="Line 190">
            <a:extLst>
              <a:ext uri="{FF2B5EF4-FFF2-40B4-BE49-F238E27FC236}">
                <a16:creationId xmlns:a16="http://schemas.microsoft.com/office/drawing/2014/main" id="{00000000-0008-0000-0700-000064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958"/>
            <a:ext cx="7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" name="Line 191">
            <a:extLst>
              <a:ext uri="{FF2B5EF4-FFF2-40B4-BE49-F238E27FC236}">
                <a16:creationId xmlns:a16="http://schemas.microsoft.com/office/drawing/2014/main" id="{00000000-0008-0000-0700-00006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4" y="3865"/>
            <a:ext cx="66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" name="Line 192">
            <a:extLst>
              <a:ext uri="{FF2B5EF4-FFF2-40B4-BE49-F238E27FC236}">
                <a16:creationId xmlns:a16="http://schemas.microsoft.com/office/drawing/2014/main" id="{00000000-0008-0000-0700-000066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90"/>
            <a:ext cx="7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" name="Line 193">
            <a:extLst>
              <a:ext uri="{FF2B5EF4-FFF2-40B4-BE49-F238E27FC236}">
                <a16:creationId xmlns:a16="http://schemas.microsoft.com/office/drawing/2014/main" id="{00000000-0008-0000-0700-00006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0" y="3699"/>
            <a:ext cx="70" cy="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" name="Line 194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" name="Line 195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" name="Line 196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68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" name="Rectangle 197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680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8" name="Rectangle 198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294" y="3679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9" name="Rectangle 199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>
            <a:spLocks noChangeArrowheads="1"/>
          </xdr:cNvSpPr>
        </xdr:nvSpPr>
        <xdr:spPr bwMode="auto">
          <a:xfrm>
            <a:off x="292" y="3845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" name="Rectangle 200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844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186</xdr:row>
      <xdr:rowOff>0</xdr:rowOff>
    </xdr:from>
    <xdr:to>
      <xdr:col>9</xdr:col>
      <xdr:colOff>9525</xdr:colOff>
      <xdr:row>186</xdr:row>
      <xdr:rowOff>0</xdr:rowOff>
    </xdr:to>
    <xdr:grpSp>
      <xdr:nvGrpSpPr>
        <xdr:cNvPr id="111" name="Group 201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GrpSpPr>
          <a:grpSpLocks/>
        </xdr:cNvGrpSpPr>
      </xdr:nvGrpSpPr>
      <xdr:grpSpPr bwMode="auto">
        <a:xfrm>
          <a:off x="736600" y="37185600"/>
          <a:ext cx="5648325" cy="0"/>
          <a:chOff x="68" y="2526"/>
          <a:chExt cx="446" cy="100"/>
        </a:xfrm>
      </xdr:grpSpPr>
      <xdr:sp macro="" textlink="">
        <xdr:nvSpPr>
          <xdr:cNvPr id="112" name="Line 202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64"/>
            <a:ext cx="44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" name="Line 203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SpPr>
            <a:spLocks noChangeShapeType="1"/>
          </xdr:cNvSpPr>
        </xdr:nvSpPr>
        <xdr:spPr bwMode="auto">
          <a:xfrm>
            <a:off x="69" y="2547"/>
            <a:ext cx="0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4" name="Line 204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SpPr>
            <a:spLocks noChangeShapeType="1"/>
          </xdr:cNvSpPr>
        </xdr:nvSpPr>
        <xdr:spPr bwMode="auto">
          <a:xfrm>
            <a:off x="513" y="256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5" name="Line 205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>
            <a:spLocks noChangeShapeType="1"/>
          </xdr:cNvSpPr>
        </xdr:nvSpPr>
        <xdr:spPr bwMode="auto">
          <a:xfrm>
            <a:off x="70" y="2546"/>
            <a:ext cx="442" cy="4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6" name="Line 206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>
            <a:spLocks noChangeShapeType="1"/>
          </xdr:cNvSpPr>
        </xdr:nvSpPr>
        <xdr:spPr bwMode="auto">
          <a:xfrm>
            <a:off x="139" y="2555"/>
            <a:ext cx="0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7" name="Line 207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>
            <a:spLocks noChangeShapeType="1"/>
          </xdr:cNvSpPr>
        </xdr:nvSpPr>
        <xdr:spPr bwMode="auto">
          <a:xfrm>
            <a:off x="158" y="2556"/>
            <a:ext cx="0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8" name="Line 208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>
            <a:spLocks noChangeShapeType="1"/>
          </xdr:cNvSpPr>
        </xdr:nvSpPr>
        <xdr:spPr bwMode="auto">
          <a:xfrm>
            <a:off x="391" y="2563"/>
            <a:ext cx="0" cy="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9" name="Line 209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4" y="2563"/>
            <a:ext cx="1" cy="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0" name="Line 210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SpPr>
            <a:spLocks noChangeShapeType="1"/>
          </xdr:cNvSpPr>
        </xdr:nvSpPr>
        <xdr:spPr bwMode="auto">
          <a:xfrm>
            <a:off x="288" y="2526"/>
            <a:ext cx="0" cy="7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1" name="Line 211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>
            <a:spLocks noChangeShapeType="1"/>
          </xdr:cNvSpPr>
        </xdr:nvSpPr>
        <xdr:spPr bwMode="auto">
          <a:xfrm>
            <a:off x="68" y="2626"/>
            <a:ext cx="4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" name="Line 212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609"/>
            <a:ext cx="28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3" name="Line 213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2594"/>
            <a:ext cx="5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448</xdr:row>
          <xdr:rowOff>146050</xdr:rowOff>
        </xdr:from>
        <xdr:to>
          <xdr:col>1</xdr:col>
          <xdr:colOff>641350</xdr:colOff>
          <xdr:row>450</xdr:row>
          <xdr:rowOff>19050</xdr:rowOff>
        </xdr:to>
        <xdr:sp macro="" textlink="">
          <xdr:nvSpPr>
            <xdr:cNvPr id="520193" name="Object 1" hidden="1">
              <a:extLst>
                <a:ext uri="{63B3BB69-23CF-44E3-9099-C40C66FF867C}">
                  <a14:compatExt spid="_x0000_s520193"/>
                </a:ext>
                <a:ext uri="{FF2B5EF4-FFF2-40B4-BE49-F238E27FC236}">
                  <a16:creationId xmlns:a16="http://schemas.microsoft.com/office/drawing/2014/main" id="{00000000-0008-0000-0700-000001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146050</xdr:colOff>
          <xdr:row>449</xdr:row>
          <xdr:rowOff>209550</xdr:rowOff>
        </xdr:to>
        <xdr:sp macro="" textlink="">
          <xdr:nvSpPr>
            <xdr:cNvPr id="520194" name="Object 2" hidden="1">
              <a:extLst>
                <a:ext uri="{63B3BB69-23CF-44E3-9099-C40C66FF867C}">
                  <a14:compatExt spid="_x0000_s520194"/>
                </a:ext>
                <a:ext uri="{FF2B5EF4-FFF2-40B4-BE49-F238E27FC236}">
                  <a16:creationId xmlns:a16="http://schemas.microsoft.com/office/drawing/2014/main" id="{00000000-0008-0000-0700-000002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448</xdr:row>
          <xdr:rowOff>107950</xdr:rowOff>
        </xdr:from>
        <xdr:to>
          <xdr:col>5</xdr:col>
          <xdr:colOff>247650</xdr:colOff>
          <xdr:row>449</xdr:row>
          <xdr:rowOff>165100</xdr:rowOff>
        </xdr:to>
        <xdr:sp macro="" textlink="">
          <xdr:nvSpPr>
            <xdr:cNvPr id="520195" name="Object 3" hidden="1">
              <a:extLst>
                <a:ext uri="{63B3BB69-23CF-44E3-9099-C40C66FF867C}">
                  <a14:compatExt spid="_x0000_s520195"/>
                </a:ext>
                <a:ext uri="{FF2B5EF4-FFF2-40B4-BE49-F238E27FC236}">
                  <a16:creationId xmlns:a16="http://schemas.microsoft.com/office/drawing/2014/main" id="{00000000-0008-0000-0700-000003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448</xdr:row>
          <xdr:rowOff>146050</xdr:rowOff>
        </xdr:from>
        <xdr:to>
          <xdr:col>6</xdr:col>
          <xdr:colOff>76200</xdr:colOff>
          <xdr:row>449</xdr:row>
          <xdr:rowOff>203200</xdr:rowOff>
        </xdr:to>
        <xdr:sp macro="" textlink="">
          <xdr:nvSpPr>
            <xdr:cNvPr id="520196" name="Object 4" hidden="1">
              <a:extLst>
                <a:ext uri="{63B3BB69-23CF-44E3-9099-C40C66FF867C}">
                  <a14:compatExt spid="_x0000_s520196"/>
                </a:ext>
                <a:ext uri="{FF2B5EF4-FFF2-40B4-BE49-F238E27FC236}">
                  <a16:creationId xmlns:a16="http://schemas.microsoft.com/office/drawing/2014/main" id="{00000000-0008-0000-0700-000004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448</xdr:row>
          <xdr:rowOff>88900</xdr:rowOff>
        </xdr:from>
        <xdr:to>
          <xdr:col>3</xdr:col>
          <xdr:colOff>361950</xdr:colOff>
          <xdr:row>450</xdr:row>
          <xdr:rowOff>95250</xdr:rowOff>
        </xdr:to>
        <xdr:sp macro="" textlink="">
          <xdr:nvSpPr>
            <xdr:cNvPr id="520197" name="Object 5" hidden="1">
              <a:extLst>
                <a:ext uri="{63B3BB69-23CF-44E3-9099-C40C66FF867C}">
                  <a14:compatExt spid="_x0000_s520197"/>
                </a:ext>
                <a:ext uri="{FF2B5EF4-FFF2-40B4-BE49-F238E27FC236}">
                  <a16:creationId xmlns:a16="http://schemas.microsoft.com/office/drawing/2014/main" id="{00000000-0008-0000-0700-000005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449</xdr:row>
          <xdr:rowOff>19050</xdr:rowOff>
        </xdr:from>
        <xdr:to>
          <xdr:col>3</xdr:col>
          <xdr:colOff>222250</xdr:colOff>
          <xdr:row>450</xdr:row>
          <xdr:rowOff>165100</xdr:rowOff>
        </xdr:to>
        <xdr:sp macro="" textlink="">
          <xdr:nvSpPr>
            <xdr:cNvPr id="520198" name="Object 6" hidden="1">
              <a:extLst>
                <a:ext uri="{63B3BB69-23CF-44E3-9099-C40C66FF867C}">
                  <a14:compatExt spid="_x0000_s520198"/>
                </a:ext>
                <a:ext uri="{FF2B5EF4-FFF2-40B4-BE49-F238E27FC236}">
                  <a16:creationId xmlns:a16="http://schemas.microsoft.com/office/drawing/2014/main" id="{00000000-0008-0000-0700-000006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133350</xdr:rowOff>
        </xdr:from>
        <xdr:to>
          <xdr:col>2</xdr:col>
          <xdr:colOff>336550</xdr:colOff>
          <xdr:row>450</xdr:row>
          <xdr:rowOff>31750</xdr:rowOff>
        </xdr:to>
        <xdr:sp macro="" textlink="">
          <xdr:nvSpPr>
            <xdr:cNvPr id="520199" name="Object 7" hidden="1">
              <a:extLst>
                <a:ext uri="{63B3BB69-23CF-44E3-9099-C40C66FF867C}">
                  <a14:compatExt spid="_x0000_s520199"/>
                </a:ext>
                <a:ext uri="{FF2B5EF4-FFF2-40B4-BE49-F238E27FC236}">
                  <a16:creationId xmlns:a16="http://schemas.microsoft.com/office/drawing/2014/main" id="{00000000-0008-0000-0700-000007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448</xdr:row>
          <xdr:rowOff>88900</xdr:rowOff>
        </xdr:from>
        <xdr:to>
          <xdr:col>4</xdr:col>
          <xdr:colOff>628650</xdr:colOff>
          <xdr:row>449</xdr:row>
          <xdr:rowOff>203200</xdr:rowOff>
        </xdr:to>
        <xdr:sp macro="" textlink="">
          <xdr:nvSpPr>
            <xdr:cNvPr id="520200" name="Object 8" hidden="1">
              <a:extLst>
                <a:ext uri="{63B3BB69-23CF-44E3-9099-C40C66FF867C}">
                  <a14:compatExt spid="_x0000_s520200"/>
                </a:ext>
                <a:ext uri="{FF2B5EF4-FFF2-40B4-BE49-F238E27FC236}">
                  <a16:creationId xmlns:a16="http://schemas.microsoft.com/office/drawing/2014/main" id="{00000000-0008-0000-0700-000008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508000</xdr:colOff>
          <xdr:row>449</xdr:row>
          <xdr:rowOff>31750</xdr:rowOff>
        </xdr:from>
        <xdr:to>
          <xdr:col>4</xdr:col>
          <xdr:colOff>622300</xdr:colOff>
          <xdr:row>450</xdr:row>
          <xdr:rowOff>88900</xdr:rowOff>
        </xdr:to>
        <xdr:sp macro="" textlink="">
          <xdr:nvSpPr>
            <xdr:cNvPr id="520201" name="Object 9" hidden="1">
              <a:extLst>
                <a:ext uri="{63B3BB69-23CF-44E3-9099-C40C66FF867C}">
                  <a14:compatExt spid="_x0000_s520201"/>
                </a:ext>
                <a:ext uri="{FF2B5EF4-FFF2-40B4-BE49-F238E27FC236}">
                  <a16:creationId xmlns:a16="http://schemas.microsoft.com/office/drawing/2014/main" id="{00000000-0008-0000-0700-000009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241300</xdr:colOff>
          <xdr:row>448</xdr:row>
          <xdr:rowOff>127000</xdr:rowOff>
        </xdr:from>
        <xdr:to>
          <xdr:col>2</xdr:col>
          <xdr:colOff>336550</xdr:colOff>
          <xdr:row>450</xdr:row>
          <xdr:rowOff>19050</xdr:rowOff>
        </xdr:to>
        <xdr:sp macro="" textlink="">
          <xdr:nvSpPr>
            <xdr:cNvPr id="520202" name="Object 10" hidden="1">
              <a:extLst>
                <a:ext uri="{63B3BB69-23CF-44E3-9099-C40C66FF867C}">
                  <a14:compatExt spid="_x0000_s520202"/>
                </a:ext>
                <a:ext uri="{FF2B5EF4-FFF2-40B4-BE49-F238E27FC236}">
                  <a16:creationId xmlns:a16="http://schemas.microsoft.com/office/drawing/2014/main" id="{00000000-0008-0000-0700-00000A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448</xdr:row>
          <xdr:rowOff>165100</xdr:rowOff>
        </xdr:from>
        <xdr:to>
          <xdr:col>6</xdr:col>
          <xdr:colOff>114300</xdr:colOff>
          <xdr:row>449</xdr:row>
          <xdr:rowOff>209550</xdr:rowOff>
        </xdr:to>
        <xdr:sp macro="" textlink="">
          <xdr:nvSpPr>
            <xdr:cNvPr id="520203" name="Object 11" hidden="1">
              <a:extLst>
                <a:ext uri="{63B3BB69-23CF-44E3-9099-C40C66FF867C}">
                  <a14:compatExt spid="_x0000_s520203"/>
                </a:ext>
                <a:ext uri="{FF2B5EF4-FFF2-40B4-BE49-F238E27FC236}">
                  <a16:creationId xmlns:a16="http://schemas.microsoft.com/office/drawing/2014/main" id="{00000000-0008-0000-0700-00000B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312</xdr:row>
          <xdr:rowOff>31750</xdr:rowOff>
        </xdr:from>
        <xdr:to>
          <xdr:col>3</xdr:col>
          <xdr:colOff>628650</xdr:colOff>
          <xdr:row>314</xdr:row>
          <xdr:rowOff>114300</xdr:rowOff>
        </xdr:to>
        <xdr:sp macro="" textlink="">
          <xdr:nvSpPr>
            <xdr:cNvPr id="520204" name="Object 12" hidden="1">
              <a:extLst>
                <a:ext uri="{63B3BB69-23CF-44E3-9099-C40C66FF867C}">
                  <a14:compatExt spid="_x0000_s520204"/>
                </a:ext>
                <a:ext uri="{FF2B5EF4-FFF2-40B4-BE49-F238E27FC236}">
                  <a16:creationId xmlns:a16="http://schemas.microsoft.com/office/drawing/2014/main" id="{00000000-0008-0000-0700-00000C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314</xdr:row>
          <xdr:rowOff>114300</xdr:rowOff>
        </xdr:from>
        <xdr:to>
          <xdr:col>3</xdr:col>
          <xdr:colOff>704850</xdr:colOff>
          <xdr:row>316</xdr:row>
          <xdr:rowOff>50800</xdr:rowOff>
        </xdr:to>
        <xdr:sp macro="" textlink="">
          <xdr:nvSpPr>
            <xdr:cNvPr id="520205" name="Object 13" hidden="1">
              <a:extLst>
                <a:ext uri="{63B3BB69-23CF-44E3-9099-C40C66FF867C}">
                  <a14:compatExt spid="_x0000_s520205"/>
                </a:ext>
                <a:ext uri="{FF2B5EF4-FFF2-40B4-BE49-F238E27FC236}">
                  <a16:creationId xmlns:a16="http://schemas.microsoft.com/office/drawing/2014/main" id="{00000000-0008-0000-0700-00000D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448</xdr:row>
          <xdr:rowOff>69850</xdr:rowOff>
        </xdr:from>
        <xdr:to>
          <xdr:col>10</xdr:col>
          <xdr:colOff>336550</xdr:colOff>
          <xdr:row>453</xdr:row>
          <xdr:rowOff>107950</xdr:rowOff>
        </xdr:to>
        <xdr:sp macro="" textlink="">
          <xdr:nvSpPr>
            <xdr:cNvPr id="520206" name="Object 14" hidden="1">
              <a:extLst>
                <a:ext uri="{63B3BB69-23CF-44E3-9099-C40C66FF867C}">
                  <a14:compatExt spid="_x0000_s520206"/>
                </a:ext>
                <a:ext uri="{FF2B5EF4-FFF2-40B4-BE49-F238E27FC236}">
                  <a16:creationId xmlns:a16="http://schemas.microsoft.com/office/drawing/2014/main" id="{00000000-0008-0000-0700-00000E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448</xdr:row>
          <xdr:rowOff>69850</xdr:rowOff>
        </xdr:from>
        <xdr:to>
          <xdr:col>9</xdr:col>
          <xdr:colOff>450850</xdr:colOff>
          <xdr:row>453</xdr:row>
          <xdr:rowOff>88900</xdr:rowOff>
        </xdr:to>
        <xdr:sp macro="" textlink="">
          <xdr:nvSpPr>
            <xdr:cNvPr id="520207" name="Object 15" hidden="1">
              <a:extLst>
                <a:ext uri="{63B3BB69-23CF-44E3-9099-C40C66FF867C}">
                  <a14:compatExt spid="_x0000_s520207"/>
                </a:ext>
                <a:ext uri="{FF2B5EF4-FFF2-40B4-BE49-F238E27FC236}">
                  <a16:creationId xmlns:a16="http://schemas.microsoft.com/office/drawing/2014/main" id="{00000000-0008-0000-0700-00000F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123577</xdr:colOff>
      <xdr:row>142</xdr:row>
      <xdr:rowOff>182215</xdr:rowOff>
    </xdr:from>
    <xdr:to>
      <xdr:col>9</xdr:col>
      <xdr:colOff>47947</xdr:colOff>
      <xdr:row>144</xdr:row>
      <xdr:rowOff>92349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4" name="Object 21">
              <a:extLst>
                <a:ext uri="{FF2B5EF4-FFF2-40B4-BE49-F238E27FC236}">
                  <a16:creationId xmlns:a16="http://schemas.microsoft.com/office/drawing/2014/main" id="{00000000-0008-0000-0700-00007C000000}"/>
                </a:ext>
              </a:extLst>
            </xdr:cNvPr>
            <xdr:cNvSpPr txBox="1"/>
          </xdr:nvSpPr>
          <xdr:spPr>
            <a:xfrm>
              <a:off x="6057652" y="26366440"/>
              <a:ext cx="686370" cy="46258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24" name="Object 21">
              <a:extLst>
                <a:ext uri="{FF2B5EF4-FFF2-40B4-BE49-F238E27FC236}">
                  <a16:creationId xmlns:a16="http://schemas.microsoft.com/office/drawing/2014/main" id="{218DCA26-0B72-48E6-B931-34497259D119}"/>
                </a:ext>
              </a:extLst>
            </xdr:cNvPr>
            <xdr:cNvSpPr txBox="1"/>
          </xdr:nvSpPr>
          <xdr:spPr>
            <a:xfrm>
              <a:off x="6057652" y="26366440"/>
              <a:ext cx="686370" cy="462584"/>
            </a:xfrm>
            <a:prstGeom prst="rect">
              <a:avLst/>
            </a:prstGeom>
          </xdr:spPr>
          <xdr:txBody>
            <a:bodyPr vertOverflow="clip" horzOverflow="clip" wrap="squar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∑▒𝑃_𝑎 =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8</xdr:col>
      <xdr:colOff>136331</xdr:colOff>
      <xdr:row>144</xdr:row>
      <xdr:rowOff>248478</xdr:rowOff>
    </xdr:from>
    <xdr:to>
      <xdr:col>9</xdr:col>
      <xdr:colOff>49935</xdr:colOff>
      <xdr:row>146</xdr:row>
      <xdr:rowOff>135172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Object 23">
              <a:extLst>
                <a:ext uri="{FF2B5EF4-FFF2-40B4-BE49-F238E27FC236}">
                  <a16:creationId xmlns:a16="http://schemas.microsoft.com/office/drawing/2014/main" id="{00000000-0008-0000-0700-00007D000000}"/>
                </a:ext>
              </a:extLst>
            </xdr:cNvPr>
            <xdr:cNvSpPr txBox="1"/>
          </xdr:nvSpPr>
          <xdr:spPr>
            <a:xfrm>
              <a:off x="6070406" y="26985153"/>
              <a:ext cx="675604" cy="43914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nary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25" name="Object 23">
              <a:extLst>
                <a:ext uri="{FF2B5EF4-FFF2-40B4-BE49-F238E27FC236}">
                  <a16:creationId xmlns:a16="http://schemas.microsoft.com/office/drawing/2014/main" id="{78F835E7-618E-460B-8DD8-71BAEE58D3F1}"/>
                </a:ext>
              </a:extLst>
            </xdr:cNvPr>
            <xdr:cNvSpPr txBox="1"/>
          </xdr:nvSpPr>
          <xdr:spPr>
            <a:xfrm>
              <a:off x="6070406" y="26985153"/>
              <a:ext cx="675604" cy="439144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∑▒𝑃_𝑝 =</a:t>
              </a:r>
              <a:endParaRPr lang="en-US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147</xdr:row>
          <xdr:rowOff>69850</xdr:rowOff>
        </xdr:from>
        <xdr:to>
          <xdr:col>4</xdr:col>
          <xdr:colOff>260350</xdr:colOff>
          <xdr:row>148</xdr:row>
          <xdr:rowOff>57150</xdr:rowOff>
        </xdr:to>
        <xdr:sp macro="" textlink="">
          <xdr:nvSpPr>
            <xdr:cNvPr id="520208" name="Object 16" hidden="1">
              <a:extLst>
                <a:ext uri="{63B3BB69-23CF-44E3-9099-C40C66FF867C}">
                  <a14:compatExt spid="_x0000_s520208"/>
                </a:ext>
                <a:ext uri="{FF2B5EF4-FFF2-40B4-BE49-F238E27FC236}">
                  <a16:creationId xmlns:a16="http://schemas.microsoft.com/office/drawing/2014/main" id="{00000000-0008-0000-0700-000010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153</xdr:row>
          <xdr:rowOff>0</xdr:rowOff>
        </xdr:from>
        <xdr:to>
          <xdr:col>3</xdr:col>
          <xdr:colOff>660400</xdr:colOff>
          <xdr:row>154</xdr:row>
          <xdr:rowOff>184150</xdr:rowOff>
        </xdr:to>
        <xdr:sp macro="" textlink="">
          <xdr:nvSpPr>
            <xdr:cNvPr id="520209" name="Object 17" hidden="1">
              <a:extLst>
                <a:ext uri="{63B3BB69-23CF-44E3-9099-C40C66FF867C}">
                  <a14:compatExt spid="_x0000_s520209"/>
                </a:ext>
                <a:ext uri="{FF2B5EF4-FFF2-40B4-BE49-F238E27FC236}">
                  <a16:creationId xmlns:a16="http://schemas.microsoft.com/office/drawing/2014/main" id="{00000000-0008-0000-0700-000011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142</xdr:row>
          <xdr:rowOff>12700</xdr:rowOff>
        </xdr:from>
        <xdr:to>
          <xdr:col>7</xdr:col>
          <xdr:colOff>114300</xdr:colOff>
          <xdr:row>143</xdr:row>
          <xdr:rowOff>31750</xdr:rowOff>
        </xdr:to>
        <xdr:sp macro="" textlink="">
          <xdr:nvSpPr>
            <xdr:cNvPr id="520210" name="Object 18" hidden="1">
              <a:extLst>
                <a:ext uri="{63B3BB69-23CF-44E3-9099-C40C66FF867C}">
                  <a14:compatExt spid="_x0000_s520210"/>
                </a:ext>
                <a:ext uri="{FF2B5EF4-FFF2-40B4-BE49-F238E27FC236}">
                  <a16:creationId xmlns:a16="http://schemas.microsoft.com/office/drawing/2014/main" id="{00000000-0008-0000-0700-000012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603250</xdr:colOff>
          <xdr:row>142</xdr:row>
          <xdr:rowOff>247650</xdr:rowOff>
        </xdr:from>
        <xdr:to>
          <xdr:col>5</xdr:col>
          <xdr:colOff>12700</xdr:colOff>
          <xdr:row>144</xdr:row>
          <xdr:rowOff>88900</xdr:rowOff>
        </xdr:to>
        <xdr:sp macro="" textlink="">
          <xdr:nvSpPr>
            <xdr:cNvPr id="520211" name="Object 19" hidden="1">
              <a:extLst>
                <a:ext uri="{63B3BB69-23CF-44E3-9099-C40C66FF867C}">
                  <a14:compatExt spid="_x0000_s520211"/>
                </a:ext>
                <a:ext uri="{FF2B5EF4-FFF2-40B4-BE49-F238E27FC236}">
                  <a16:creationId xmlns:a16="http://schemas.microsoft.com/office/drawing/2014/main" id="{00000000-0008-0000-0700-000013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144</xdr:row>
          <xdr:rowOff>19050</xdr:rowOff>
        </xdr:from>
        <xdr:to>
          <xdr:col>6</xdr:col>
          <xdr:colOff>736600</xdr:colOff>
          <xdr:row>145</xdr:row>
          <xdr:rowOff>19050</xdr:rowOff>
        </xdr:to>
        <xdr:sp macro="" textlink="">
          <xdr:nvSpPr>
            <xdr:cNvPr id="520212" name="Object 20" hidden="1">
              <a:extLst>
                <a:ext uri="{63B3BB69-23CF-44E3-9099-C40C66FF867C}">
                  <a14:compatExt spid="_x0000_s520212"/>
                </a:ext>
                <a:ext uri="{FF2B5EF4-FFF2-40B4-BE49-F238E27FC236}">
                  <a16:creationId xmlns:a16="http://schemas.microsoft.com/office/drawing/2014/main" id="{00000000-0008-0000-0700-000014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622300</xdr:colOff>
          <xdr:row>144</xdr:row>
          <xdr:rowOff>336550</xdr:rowOff>
        </xdr:from>
        <xdr:to>
          <xdr:col>4</xdr:col>
          <xdr:colOff>698500</xdr:colOff>
          <xdr:row>146</xdr:row>
          <xdr:rowOff>31750</xdr:rowOff>
        </xdr:to>
        <xdr:sp macro="" textlink="">
          <xdr:nvSpPr>
            <xdr:cNvPr id="520213" name="Object 21" hidden="1">
              <a:extLst>
                <a:ext uri="{63B3BB69-23CF-44E3-9099-C40C66FF867C}">
                  <a14:compatExt spid="_x0000_s520213"/>
                </a:ext>
                <a:ext uri="{FF2B5EF4-FFF2-40B4-BE49-F238E27FC236}">
                  <a16:creationId xmlns:a16="http://schemas.microsoft.com/office/drawing/2014/main" id="{00000000-0008-0000-0700-000015F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13631</xdr:colOff>
      <xdr:row>5</xdr:row>
      <xdr:rowOff>215900</xdr:rowOff>
    </xdr:from>
    <xdr:to>
      <xdr:col>7</xdr:col>
      <xdr:colOff>482601</xdr:colOff>
      <xdr:row>27</xdr:row>
      <xdr:rowOff>76201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GrpSpPr/>
      </xdr:nvGrpSpPr>
      <xdr:grpSpPr>
        <a:xfrm>
          <a:off x="13631" y="1206500"/>
          <a:ext cx="5441020" cy="5308601"/>
          <a:chOff x="483530" y="3884239"/>
          <a:chExt cx="5485469" cy="4434261"/>
        </a:xfrm>
      </xdr:grpSpPr>
      <xdr:grpSp>
        <xdr:nvGrpSpPr>
          <xdr:cNvPr id="127" name="Group 240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GrpSpPr>
            <a:grpSpLocks/>
          </xdr:cNvGrpSpPr>
        </xdr:nvGrpSpPr>
        <xdr:grpSpPr bwMode="auto">
          <a:xfrm>
            <a:off x="483530" y="3884239"/>
            <a:ext cx="5485469" cy="4434261"/>
            <a:chOff x="721" y="338"/>
            <a:chExt cx="373" cy="345"/>
          </a:xfrm>
        </xdr:grpSpPr>
        <xdr:sp macro="" textlink="">
          <xdr:nvSpPr>
            <xdr:cNvPr id="520230" name="Line 123">
              <a:extLst>
                <a:ext uri="{FF2B5EF4-FFF2-40B4-BE49-F238E27FC236}">
                  <a16:creationId xmlns:a16="http://schemas.microsoft.com/office/drawing/2014/main" id="{00000000-0008-0000-0700-000026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31" name="Line 124">
              <a:extLst>
                <a:ext uri="{FF2B5EF4-FFF2-40B4-BE49-F238E27FC236}">
                  <a16:creationId xmlns:a16="http://schemas.microsoft.com/office/drawing/2014/main" id="{00000000-0008-0000-0700-000027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32" name="Line 125">
              <a:extLst>
                <a:ext uri="{FF2B5EF4-FFF2-40B4-BE49-F238E27FC236}">
                  <a16:creationId xmlns:a16="http://schemas.microsoft.com/office/drawing/2014/main" id="{00000000-0008-0000-0700-000028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79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33" name="Freeform 126">
              <a:extLst>
                <a:ext uri="{FF2B5EF4-FFF2-40B4-BE49-F238E27FC236}">
                  <a16:creationId xmlns:a16="http://schemas.microsoft.com/office/drawing/2014/main" id="{00000000-0008-0000-0700-000029F007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34" name="Freeform 127">
              <a:extLst>
                <a:ext uri="{FF2B5EF4-FFF2-40B4-BE49-F238E27FC236}">
                  <a16:creationId xmlns:a16="http://schemas.microsoft.com/office/drawing/2014/main" id="{00000000-0008-0000-0700-00002AF007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35" name="Freeform 128">
              <a:extLst>
                <a:ext uri="{FF2B5EF4-FFF2-40B4-BE49-F238E27FC236}">
                  <a16:creationId xmlns:a16="http://schemas.microsoft.com/office/drawing/2014/main" id="{00000000-0008-0000-0700-00002BF007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36" name="Freeform 129">
              <a:extLst>
                <a:ext uri="{FF2B5EF4-FFF2-40B4-BE49-F238E27FC236}">
                  <a16:creationId xmlns:a16="http://schemas.microsoft.com/office/drawing/2014/main" id="{00000000-0008-0000-0700-00002CF007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37" name="Line 130">
              <a:extLst>
                <a:ext uri="{FF2B5EF4-FFF2-40B4-BE49-F238E27FC236}">
                  <a16:creationId xmlns:a16="http://schemas.microsoft.com/office/drawing/2014/main" id="{00000000-0008-0000-0700-00002D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38" name="Line 131">
              <a:extLst>
                <a:ext uri="{FF2B5EF4-FFF2-40B4-BE49-F238E27FC236}">
                  <a16:creationId xmlns:a16="http://schemas.microsoft.com/office/drawing/2014/main" id="{00000000-0008-0000-0700-00002E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39" name="Line 132">
              <a:extLst>
                <a:ext uri="{FF2B5EF4-FFF2-40B4-BE49-F238E27FC236}">
                  <a16:creationId xmlns:a16="http://schemas.microsoft.com/office/drawing/2014/main" id="{00000000-0008-0000-0700-00002F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588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40" name="Freeform 133">
              <a:extLst>
                <a:ext uri="{FF2B5EF4-FFF2-40B4-BE49-F238E27FC236}">
                  <a16:creationId xmlns:a16="http://schemas.microsoft.com/office/drawing/2014/main" id="{00000000-0008-0000-0700-000030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41" name="Freeform 134">
              <a:extLst>
                <a:ext uri="{FF2B5EF4-FFF2-40B4-BE49-F238E27FC236}">
                  <a16:creationId xmlns:a16="http://schemas.microsoft.com/office/drawing/2014/main" id="{00000000-0008-0000-0700-000031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42" name="Freeform 135">
              <a:extLst>
                <a:ext uri="{FF2B5EF4-FFF2-40B4-BE49-F238E27FC236}">
                  <a16:creationId xmlns:a16="http://schemas.microsoft.com/office/drawing/2014/main" id="{00000000-0008-0000-0700-000032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43" name="Freeform 136">
              <a:extLst>
                <a:ext uri="{FF2B5EF4-FFF2-40B4-BE49-F238E27FC236}">
                  <a16:creationId xmlns:a16="http://schemas.microsoft.com/office/drawing/2014/main" id="{00000000-0008-0000-0700-000033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44" name="Line 137">
              <a:extLst>
                <a:ext uri="{FF2B5EF4-FFF2-40B4-BE49-F238E27FC236}">
                  <a16:creationId xmlns:a16="http://schemas.microsoft.com/office/drawing/2014/main" id="{00000000-0008-0000-0700-000034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45" name="Line 138">
              <a:extLst>
                <a:ext uri="{FF2B5EF4-FFF2-40B4-BE49-F238E27FC236}">
                  <a16:creationId xmlns:a16="http://schemas.microsoft.com/office/drawing/2014/main" id="{00000000-0008-0000-0700-000035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46" name="Line 144">
              <a:extLst>
                <a:ext uri="{FF2B5EF4-FFF2-40B4-BE49-F238E27FC236}">
                  <a16:creationId xmlns:a16="http://schemas.microsoft.com/office/drawing/2014/main" id="{00000000-0008-0000-0700-000036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47" name="Line 145">
              <a:extLst>
                <a:ext uri="{FF2B5EF4-FFF2-40B4-BE49-F238E27FC236}">
                  <a16:creationId xmlns:a16="http://schemas.microsoft.com/office/drawing/2014/main" id="{00000000-0008-0000-0700-000037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48" name="Line 146">
              <a:extLst>
                <a:ext uri="{FF2B5EF4-FFF2-40B4-BE49-F238E27FC236}">
                  <a16:creationId xmlns:a16="http://schemas.microsoft.com/office/drawing/2014/main" id="{00000000-0008-0000-0700-000038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422"/>
              <a:ext cx="0" cy="13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49" name="Freeform 147">
              <a:extLst>
                <a:ext uri="{FF2B5EF4-FFF2-40B4-BE49-F238E27FC236}">
                  <a16:creationId xmlns:a16="http://schemas.microsoft.com/office/drawing/2014/main" id="{00000000-0008-0000-0700-000039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50" name="Freeform 148">
              <a:extLst>
                <a:ext uri="{FF2B5EF4-FFF2-40B4-BE49-F238E27FC236}">
                  <a16:creationId xmlns:a16="http://schemas.microsoft.com/office/drawing/2014/main" id="{00000000-0008-0000-0700-00003A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51" name="Freeform 149">
              <a:extLst>
                <a:ext uri="{FF2B5EF4-FFF2-40B4-BE49-F238E27FC236}">
                  <a16:creationId xmlns:a16="http://schemas.microsoft.com/office/drawing/2014/main" id="{00000000-0008-0000-0700-00003B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52" name="Freeform 150">
              <a:extLst>
                <a:ext uri="{FF2B5EF4-FFF2-40B4-BE49-F238E27FC236}">
                  <a16:creationId xmlns:a16="http://schemas.microsoft.com/office/drawing/2014/main" id="{00000000-0008-0000-0700-00003C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53" name="Line 151">
              <a:extLst>
                <a:ext uri="{FF2B5EF4-FFF2-40B4-BE49-F238E27FC236}">
                  <a16:creationId xmlns:a16="http://schemas.microsoft.com/office/drawing/2014/main" id="{00000000-0008-0000-0700-00003D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54" name="Line 152">
              <a:extLst>
                <a:ext uri="{FF2B5EF4-FFF2-40B4-BE49-F238E27FC236}">
                  <a16:creationId xmlns:a16="http://schemas.microsoft.com/office/drawing/2014/main" id="{00000000-0008-0000-0700-00003E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55" name="Line 158">
              <a:extLst>
                <a:ext uri="{FF2B5EF4-FFF2-40B4-BE49-F238E27FC236}">
                  <a16:creationId xmlns:a16="http://schemas.microsoft.com/office/drawing/2014/main" id="{00000000-0008-0000-0700-00003F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56" name="Line 159">
              <a:extLst>
                <a:ext uri="{FF2B5EF4-FFF2-40B4-BE49-F238E27FC236}">
                  <a16:creationId xmlns:a16="http://schemas.microsoft.com/office/drawing/2014/main" id="{00000000-0008-0000-0700-000040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57" name="Line 160">
              <a:extLst>
                <a:ext uri="{FF2B5EF4-FFF2-40B4-BE49-F238E27FC236}">
                  <a16:creationId xmlns:a16="http://schemas.microsoft.com/office/drawing/2014/main" id="{00000000-0008-0000-0700-000041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344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58" name="Freeform 161">
              <a:extLst>
                <a:ext uri="{FF2B5EF4-FFF2-40B4-BE49-F238E27FC236}">
                  <a16:creationId xmlns:a16="http://schemas.microsoft.com/office/drawing/2014/main" id="{00000000-0008-0000-0700-000042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391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59" name="Freeform 163">
              <a:extLst>
                <a:ext uri="{FF2B5EF4-FFF2-40B4-BE49-F238E27FC236}">
                  <a16:creationId xmlns:a16="http://schemas.microsoft.com/office/drawing/2014/main" id="{00000000-0008-0000-0700-000043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60" name="Freeform 164">
              <a:extLst>
                <a:ext uri="{FF2B5EF4-FFF2-40B4-BE49-F238E27FC236}">
                  <a16:creationId xmlns:a16="http://schemas.microsoft.com/office/drawing/2014/main" id="{00000000-0008-0000-0700-000044F007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61" name="Line 165">
              <a:extLst>
                <a:ext uri="{FF2B5EF4-FFF2-40B4-BE49-F238E27FC236}">
                  <a16:creationId xmlns:a16="http://schemas.microsoft.com/office/drawing/2014/main" id="{00000000-0008-0000-0700-000045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62" name="Line 166">
              <a:extLst>
                <a:ext uri="{FF2B5EF4-FFF2-40B4-BE49-F238E27FC236}">
                  <a16:creationId xmlns:a16="http://schemas.microsoft.com/office/drawing/2014/main" id="{00000000-0008-0000-0700-000046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63" name="Line 167">
              <a:extLst>
                <a:ext uri="{FF2B5EF4-FFF2-40B4-BE49-F238E27FC236}">
                  <a16:creationId xmlns:a16="http://schemas.microsoft.com/office/drawing/2014/main" id="{00000000-0008-0000-0700-000047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344"/>
              <a:ext cx="0" cy="29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64" name="Freeform 168">
              <a:extLst>
                <a:ext uri="{FF2B5EF4-FFF2-40B4-BE49-F238E27FC236}">
                  <a16:creationId xmlns:a16="http://schemas.microsoft.com/office/drawing/2014/main" id="{00000000-0008-0000-0700-000048F007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65" name="Freeform 169">
              <a:extLst>
                <a:ext uri="{FF2B5EF4-FFF2-40B4-BE49-F238E27FC236}">
                  <a16:creationId xmlns:a16="http://schemas.microsoft.com/office/drawing/2014/main" id="{00000000-0008-0000-0700-000049F007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66" name="Freeform 170">
              <a:extLst>
                <a:ext uri="{FF2B5EF4-FFF2-40B4-BE49-F238E27FC236}">
                  <a16:creationId xmlns:a16="http://schemas.microsoft.com/office/drawing/2014/main" id="{00000000-0008-0000-0700-00004AF007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67" name="Freeform 171">
              <a:extLst>
                <a:ext uri="{FF2B5EF4-FFF2-40B4-BE49-F238E27FC236}">
                  <a16:creationId xmlns:a16="http://schemas.microsoft.com/office/drawing/2014/main" id="{00000000-0008-0000-0700-00004BF007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68" name="Line 172">
              <a:extLst>
                <a:ext uri="{FF2B5EF4-FFF2-40B4-BE49-F238E27FC236}">
                  <a16:creationId xmlns:a16="http://schemas.microsoft.com/office/drawing/2014/main" id="{00000000-0008-0000-0700-00004C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56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69" name="Line 173">
              <a:extLst>
                <a:ext uri="{FF2B5EF4-FFF2-40B4-BE49-F238E27FC236}">
                  <a16:creationId xmlns:a16="http://schemas.microsoft.com/office/drawing/2014/main" id="{00000000-0008-0000-0700-00004D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10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70" name="Line 174">
              <a:extLst>
                <a:ext uri="{FF2B5EF4-FFF2-40B4-BE49-F238E27FC236}">
                  <a16:creationId xmlns:a16="http://schemas.microsoft.com/office/drawing/2014/main" id="{00000000-0008-0000-0700-00004E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62" y="443"/>
              <a:ext cx="4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71" name="Freeform 175">
              <a:extLst>
                <a:ext uri="{FF2B5EF4-FFF2-40B4-BE49-F238E27FC236}">
                  <a16:creationId xmlns:a16="http://schemas.microsoft.com/office/drawing/2014/main" id="{00000000-0008-0000-0700-00004FF007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72" name="Freeform 176">
              <a:extLst>
                <a:ext uri="{FF2B5EF4-FFF2-40B4-BE49-F238E27FC236}">
                  <a16:creationId xmlns:a16="http://schemas.microsoft.com/office/drawing/2014/main" id="{00000000-0008-0000-0700-000050F007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73" name="Freeform 177">
              <a:extLst>
                <a:ext uri="{FF2B5EF4-FFF2-40B4-BE49-F238E27FC236}">
                  <a16:creationId xmlns:a16="http://schemas.microsoft.com/office/drawing/2014/main" id="{00000000-0008-0000-0700-000051F007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74" name="Freeform 178">
              <a:extLst>
                <a:ext uri="{FF2B5EF4-FFF2-40B4-BE49-F238E27FC236}">
                  <a16:creationId xmlns:a16="http://schemas.microsoft.com/office/drawing/2014/main" id="{00000000-0008-0000-0700-000052F007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75" name="Line 179">
              <a:extLst>
                <a:ext uri="{FF2B5EF4-FFF2-40B4-BE49-F238E27FC236}">
                  <a16:creationId xmlns:a16="http://schemas.microsoft.com/office/drawing/2014/main" id="{00000000-0008-0000-0700-000053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516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76" name="Line 180">
              <a:extLst>
                <a:ext uri="{FF2B5EF4-FFF2-40B4-BE49-F238E27FC236}">
                  <a16:creationId xmlns:a16="http://schemas.microsoft.com/office/drawing/2014/main" id="{00000000-0008-0000-0700-000054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463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77" name="Line 181">
              <a:extLst>
                <a:ext uri="{FF2B5EF4-FFF2-40B4-BE49-F238E27FC236}">
                  <a16:creationId xmlns:a16="http://schemas.microsoft.com/office/drawing/2014/main" id="{00000000-0008-0000-0700-000055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40" y="469"/>
              <a:ext cx="0" cy="4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78" name="Freeform 182">
              <a:extLst>
                <a:ext uri="{FF2B5EF4-FFF2-40B4-BE49-F238E27FC236}">
                  <a16:creationId xmlns:a16="http://schemas.microsoft.com/office/drawing/2014/main" id="{00000000-0008-0000-0700-000056F007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79" name="Freeform 183">
              <a:extLst>
                <a:ext uri="{FF2B5EF4-FFF2-40B4-BE49-F238E27FC236}">
                  <a16:creationId xmlns:a16="http://schemas.microsoft.com/office/drawing/2014/main" id="{00000000-0008-0000-0700-000057F007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80" name="Freeform 184">
              <a:extLst>
                <a:ext uri="{FF2B5EF4-FFF2-40B4-BE49-F238E27FC236}">
                  <a16:creationId xmlns:a16="http://schemas.microsoft.com/office/drawing/2014/main" id="{00000000-0008-0000-0700-000058F007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81" name="Freeform 185">
              <a:extLst>
                <a:ext uri="{FF2B5EF4-FFF2-40B4-BE49-F238E27FC236}">
                  <a16:creationId xmlns:a16="http://schemas.microsoft.com/office/drawing/2014/main" id="{00000000-0008-0000-0700-000059F007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82" name="Line 186">
              <a:extLst>
                <a:ext uri="{FF2B5EF4-FFF2-40B4-BE49-F238E27FC236}">
                  <a16:creationId xmlns:a16="http://schemas.microsoft.com/office/drawing/2014/main" id="{00000000-0008-0000-0700-00005A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8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83" name="Line 187">
              <a:extLst>
                <a:ext uri="{FF2B5EF4-FFF2-40B4-BE49-F238E27FC236}">
                  <a16:creationId xmlns:a16="http://schemas.microsoft.com/office/drawing/2014/main" id="{00000000-0008-0000-0700-00005B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11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84" name="Line 188">
              <a:extLst>
                <a:ext uri="{FF2B5EF4-FFF2-40B4-BE49-F238E27FC236}">
                  <a16:creationId xmlns:a16="http://schemas.microsoft.com/office/drawing/2014/main" id="{00000000-0008-0000-0700-00005C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4" y="377"/>
              <a:ext cx="1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85" name="Freeform 189">
              <a:extLst>
                <a:ext uri="{FF2B5EF4-FFF2-40B4-BE49-F238E27FC236}">
                  <a16:creationId xmlns:a16="http://schemas.microsoft.com/office/drawing/2014/main" id="{00000000-0008-0000-0700-00005DF007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86" name="Freeform 190">
              <a:extLst>
                <a:ext uri="{FF2B5EF4-FFF2-40B4-BE49-F238E27FC236}">
                  <a16:creationId xmlns:a16="http://schemas.microsoft.com/office/drawing/2014/main" id="{00000000-0008-0000-0700-00005EF007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87" name="Freeform 191">
              <a:extLst>
                <a:ext uri="{FF2B5EF4-FFF2-40B4-BE49-F238E27FC236}">
                  <a16:creationId xmlns:a16="http://schemas.microsoft.com/office/drawing/2014/main" id="{00000000-0008-0000-0700-00005FF007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88" name="Freeform 192">
              <a:extLst>
                <a:ext uri="{FF2B5EF4-FFF2-40B4-BE49-F238E27FC236}">
                  <a16:creationId xmlns:a16="http://schemas.microsoft.com/office/drawing/2014/main" id="{00000000-0008-0000-0700-000060F007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89" name="Line 193">
              <a:extLst>
                <a:ext uri="{FF2B5EF4-FFF2-40B4-BE49-F238E27FC236}">
                  <a16:creationId xmlns:a16="http://schemas.microsoft.com/office/drawing/2014/main" id="{00000000-0008-0000-0700-000061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395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90" name="Line 194">
              <a:extLst>
                <a:ext uri="{FF2B5EF4-FFF2-40B4-BE49-F238E27FC236}">
                  <a16:creationId xmlns:a16="http://schemas.microsoft.com/office/drawing/2014/main" id="{00000000-0008-0000-0700-000062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418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91" name="Line 195">
              <a:extLst>
                <a:ext uri="{FF2B5EF4-FFF2-40B4-BE49-F238E27FC236}">
                  <a16:creationId xmlns:a16="http://schemas.microsoft.com/office/drawing/2014/main" id="{00000000-0008-0000-0700-000063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70" y="401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92" name="Freeform 196">
              <a:extLst>
                <a:ext uri="{FF2B5EF4-FFF2-40B4-BE49-F238E27FC236}">
                  <a16:creationId xmlns:a16="http://schemas.microsoft.com/office/drawing/2014/main" id="{00000000-0008-0000-0700-000064F007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93" name="Freeform 197">
              <a:extLst>
                <a:ext uri="{FF2B5EF4-FFF2-40B4-BE49-F238E27FC236}">
                  <a16:creationId xmlns:a16="http://schemas.microsoft.com/office/drawing/2014/main" id="{00000000-0008-0000-0700-000065F007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94" name="Freeform 198">
              <a:extLst>
                <a:ext uri="{FF2B5EF4-FFF2-40B4-BE49-F238E27FC236}">
                  <a16:creationId xmlns:a16="http://schemas.microsoft.com/office/drawing/2014/main" id="{00000000-0008-0000-0700-000066F007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295" name="Freeform 199">
              <a:extLst>
                <a:ext uri="{FF2B5EF4-FFF2-40B4-BE49-F238E27FC236}">
                  <a16:creationId xmlns:a16="http://schemas.microsoft.com/office/drawing/2014/main" id="{00000000-0008-0000-0700-000067F007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296" name="Line 200">
              <a:extLst>
                <a:ext uri="{FF2B5EF4-FFF2-40B4-BE49-F238E27FC236}">
                  <a16:creationId xmlns:a16="http://schemas.microsoft.com/office/drawing/2014/main" id="{00000000-0008-0000-0700-000068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1" y="538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97" name="Line 201">
              <a:extLst>
                <a:ext uri="{FF2B5EF4-FFF2-40B4-BE49-F238E27FC236}">
                  <a16:creationId xmlns:a16="http://schemas.microsoft.com/office/drawing/2014/main" id="{00000000-0008-0000-0700-000069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90" y="538"/>
              <a:ext cx="0" cy="1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98" name="Line 202">
              <a:extLst>
                <a:ext uri="{FF2B5EF4-FFF2-40B4-BE49-F238E27FC236}">
                  <a16:creationId xmlns:a16="http://schemas.microsoft.com/office/drawing/2014/main" id="{00000000-0008-0000-0700-00006A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9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299" name="Line 203">
              <a:extLst>
                <a:ext uri="{FF2B5EF4-FFF2-40B4-BE49-F238E27FC236}">
                  <a16:creationId xmlns:a16="http://schemas.microsoft.com/office/drawing/2014/main" id="{00000000-0008-0000-0700-00006B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6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00" name="Line 204">
              <a:extLst>
                <a:ext uri="{FF2B5EF4-FFF2-40B4-BE49-F238E27FC236}">
                  <a16:creationId xmlns:a16="http://schemas.microsoft.com/office/drawing/2014/main" id="{00000000-0008-0000-0700-00006C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1" y="540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01" name="Freeform 205">
              <a:extLst>
                <a:ext uri="{FF2B5EF4-FFF2-40B4-BE49-F238E27FC236}">
                  <a16:creationId xmlns:a16="http://schemas.microsoft.com/office/drawing/2014/main" id="{00000000-0008-0000-0700-00006DF007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302" name="Freeform 206">
              <a:extLst>
                <a:ext uri="{FF2B5EF4-FFF2-40B4-BE49-F238E27FC236}">
                  <a16:creationId xmlns:a16="http://schemas.microsoft.com/office/drawing/2014/main" id="{00000000-0008-0000-0700-00006EF007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03" name="Freeform 207">
              <a:extLst>
                <a:ext uri="{FF2B5EF4-FFF2-40B4-BE49-F238E27FC236}">
                  <a16:creationId xmlns:a16="http://schemas.microsoft.com/office/drawing/2014/main" id="{00000000-0008-0000-0700-00006FF007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304" name="Freeform 208">
              <a:extLst>
                <a:ext uri="{FF2B5EF4-FFF2-40B4-BE49-F238E27FC236}">
                  <a16:creationId xmlns:a16="http://schemas.microsoft.com/office/drawing/2014/main" id="{00000000-0008-0000-0700-000070F007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05" name="Line 209">
              <a:extLst>
                <a:ext uri="{FF2B5EF4-FFF2-40B4-BE49-F238E27FC236}">
                  <a16:creationId xmlns:a16="http://schemas.microsoft.com/office/drawing/2014/main" id="{00000000-0008-0000-0700-000071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63"/>
              <a:ext cx="1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06" name="Line 210">
              <a:extLst>
                <a:ext uri="{FF2B5EF4-FFF2-40B4-BE49-F238E27FC236}">
                  <a16:creationId xmlns:a16="http://schemas.microsoft.com/office/drawing/2014/main" id="{00000000-0008-0000-0700-000072F0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54"/>
              <a:ext cx="2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07" name="Line 211">
              <a:extLst>
                <a:ext uri="{FF2B5EF4-FFF2-40B4-BE49-F238E27FC236}">
                  <a16:creationId xmlns:a16="http://schemas.microsoft.com/office/drawing/2014/main" id="{00000000-0008-0000-0700-000073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8" y="569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08" name="Line 212">
              <a:extLst>
                <a:ext uri="{FF2B5EF4-FFF2-40B4-BE49-F238E27FC236}">
                  <a16:creationId xmlns:a16="http://schemas.microsoft.com/office/drawing/2014/main" id="{00000000-0008-0000-0700-000074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42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09" name="Line 213">
              <a:extLst>
                <a:ext uri="{FF2B5EF4-FFF2-40B4-BE49-F238E27FC236}">
                  <a16:creationId xmlns:a16="http://schemas.microsoft.com/office/drawing/2014/main" id="{00000000-0008-0000-0700-000075F0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54"/>
              <a:ext cx="0" cy="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10" name="Freeform 214">
              <a:extLst>
                <a:ext uri="{FF2B5EF4-FFF2-40B4-BE49-F238E27FC236}">
                  <a16:creationId xmlns:a16="http://schemas.microsoft.com/office/drawing/2014/main" id="{00000000-0008-0000-0700-000076F007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311" name="Freeform 215">
              <a:extLst>
                <a:ext uri="{FF2B5EF4-FFF2-40B4-BE49-F238E27FC236}">
                  <a16:creationId xmlns:a16="http://schemas.microsoft.com/office/drawing/2014/main" id="{00000000-0008-0000-0700-000077F007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2" name="Freeform 216">
              <a:extLst>
                <a:ext uri="{FF2B5EF4-FFF2-40B4-BE49-F238E27FC236}">
                  <a16:creationId xmlns:a16="http://schemas.microsoft.com/office/drawing/2014/main" id="{00000000-0008-0000-0700-000078F007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313" name="Freeform 217">
              <a:extLst>
                <a:ext uri="{FF2B5EF4-FFF2-40B4-BE49-F238E27FC236}">
                  <a16:creationId xmlns:a16="http://schemas.microsoft.com/office/drawing/2014/main" id="{00000000-0008-0000-0700-000079F007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4" name="Rectangle 218">
              <a:extLst>
                <a:ext uri="{FF2B5EF4-FFF2-40B4-BE49-F238E27FC236}">
                  <a16:creationId xmlns:a16="http://schemas.microsoft.com/office/drawing/2014/main" id="{00000000-0008-0000-0700-00007AF0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21" y="338"/>
              <a:ext cx="324" cy="30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5" name="Rectangle 219">
              <a:extLst>
                <a:ext uri="{FF2B5EF4-FFF2-40B4-BE49-F238E27FC236}">
                  <a16:creationId xmlns:a16="http://schemas.microsoft.com/office/drawing/2014/main" id="{00000000-0008-0000-0700-00007BF0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6" y="463"/>
              <a:ext cx="54" cy="5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6" name="Freeform 220">
              <a:extLst>
                <a:ext uri="{FF2B5EF4-FFF2-40B4-BE49-F238E27FC236}">
                  <a16:creationId xmlns:a16="http://schemas.microsoft.com/office/drawing/2014/main" id="{00000000-0008-0000-0700-00007CF00700}"/>
                </a:ext>
              </a:extLst>
            </xdr:cNvPr>
            <xdr:cNvSpPr>
              <a:spLocks/>
            </xdr:cNvSpPr>
          </xdr:nvSpPr>
          <xdr:spPr bwMode="auto">
            <a:xfrm>
              <a:off x="721" y="583"/>
              <a:ext cx="69" cy="58"/>
            </a:xfrm>
            <a:custGeom>
              <a:avLst/>
              <a:gdLst>
                <a:gd name="T0" fmla="*/ 69 w 69"/>
                <a:gd name="T1" fmla="*/ 58 h 58"/>
                <a:gd name="T2" fmla="*/ 69 w 69"/>
                <a:gd name="T3" fmla="*/ 9 h 58"/>
                <a:gd name="T4" fmla="*/ 60 w 69"/>
                <a:gd name="T5" fmla="*/ 0 h 58"/>
                <a:gd name="T6" fmla="*/ 0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69" y="58"/>
                  </a:move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7" name="Freeform 221">
              <a:extLst>
                <a:ext uri="{FF2B5EF4-FFF2-40B4-BE49-F238E27FC236}">
                  <a16:creationId xmlns:a16="http://schemas.microsoft.com/office/drawing/2014/main" id="{00000000-0008-0000-0700-00007DF00700}"/>
                </a:ext>
              </a:extLst>
            </xdr:cNvPr>
            <xdr:cNvSpPr>
              <a:spLocks/>
            </xdr:cNvSpPr>
          </xdr:nvSpPr>
          <xdr:spPr bwMode="auto">
            <a:xfrm>
              <a:off x="721" y="416"/>
              <a:ext cx="69" cy="147"/>
            </a:xfrm>
            <a:custGeom>
              <a:avLst/>
              <a:gdLst>
                <a:gd name="T0" fmla="*/ 0 w 69"/>
                <a:gd name="T1" fmla="*/ 147 h 147"/>
                <a:gd name="T2" fmla="*/ 60 w 69"/>
                <a:gd name="T3" fmla="*/ 147 h 147"/>
                <a:gd name="T4" fmla="*/ 69 w 69"/>
                <a:gd name="T5" fmla="*/ 138 h 147"/>
                <a:gd name="T6" fmla="*/ 69 w 69"/>
                <a:gd name="T7" fmla="*/ 9 h 147"/>
                <a:gd name="T8" fmla="*/ 60 w 69"/>
                <a:gd name="T9" fmla="*/ 0 h 147"/>
                <a:gd name="T10" fmla="*/ 0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0" y="147"/>
                  </a:moveTo>
                  <a:lnTo>
                    <a:pt x="60" y="147"/>
                  </a:lnTo>
                  <a:lnTo>
                    <a:pt x="69" y="138"/>
                  </a:ln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8" name="Freeform 222">
              <a:extLst>
                <a:ext uri="{FF2B5EF4-FFF2-40B4-BE49-F238E27FC236}">
                  <a16:creationId xmlns:a16="http://schemas.microsoft.com/office/drawing/2014/main" id="{00000000-0008-0000-0700-00007EF00700}"/>
                </a:ext>
              </a:extLst>
            </xdr:cNvPr>
            <xdr:cNvSpPr>
              <a:spLocks/>
            </xdr:cNvSpPr>
          </xdr:nvSpPr>
          <xdr:spPr bwMode="auto">
            <a:xfrm>
              <a:off x="721" y="338"/>
              <a:ext cx="69" cy="59"/>
            </a:xfrm>
            <a:custGeom>
              <a:avLst/>
              <a:gdLst>
                <a:gd name="T0" fmla="*/ 69 w 69"/>
                <a:gd name="T1" fmla="*/ 0 h 59"/>
                <a:gd name="T2" fmla="*/ 69 w 69"/>
                <a:gd name="T3" fmla="*/ 49 h 59"/>
                <a:gd name="T4" fmla="*/ 60 w 69"/>
                <a:gd name="T5" fmla="*/ 59 h 59"/>
                <a:gd name="T6" fmla="*/ 0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69" y="0"/>
                  </a:moveTo>
                  <a:lnTo>
                    <a:pt x="69" y="49"/>
                  </a:lnTo>
                  <a:lnTo>
                    <a:pt x="60" y="59"/>
                  </a:lnTo>
                  <a:lnTo>
                    <a:pt x="0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19" name="Freeform 223">
              <a:extLst>
                <a:ext uri="{FF2B5EF4-FFF2-40B4-BE49-F238E27FC236}">
                  <a16:creationId xmlns:a16="http://schemas.microsoft.com/office/drawing/2014/main" id="{00000000-0008-0000-0700-00007FF00700}"/>
                </a:ext>
              </a:extLst>
            </xdr:cNvPr>
            <xdr:cNvSpPr>
              <a:spLocks/>
            </xdr:cNvSpPr>
          </xdr:nvSpPr>
          <xdr:spPr bwMode="auto">
            <a:xfrm>
              <a:off x="976" y="338"/>
              <a:ext cx="69" cy="59"/>
            </a:xfrm>
            <a:custGeom>
              <a:avLst/>
              <a:gdLst>
                <a:gd name="T0" fmla="*/ 0 w 69"/>
                <a:gd name="T1" fmla="*/ 0 h 59"/>
                <a:gd name="T2" fmla="*/ 0 w 69"/>
                <a:gd name="T3" fmla="*/ 49 h 59"/>
                <a:gd name="T4" fmla="*/ 9 w 69"/>
                <a:gd name="T5" fmla="*/ 59 h 59"/>
                <a:gd name="T6" fmla="*/ 69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0" y="0"/>
                  </a:moveTo>
                  <a:lnTo>
                    <a:pt x="0" y="49"/>
                  </a:lnTo>
                  <a:lnTo>
                    <a:pt x="9" y="59"/>
                  </a:lnTo>
                  <a:lnTo>
                    <a:pt x="69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0" name="Freeform 224">
              <a:extLst>
                <a:ext uri="{FF2B5EF4-FFF2-40B4-BE49-F238E27FC236}">
                  <a16:creationId xmlns:a16="http://schemas.microsoft.com/office/drawing/2014/main" id="{00000000-0008-0000-0700-000080F00700}"/>
                </a:ext>
              </a:extLst>
            </xdr:cNvPr>
            <xdr:cNvSpPr>
              <a:spLocks/>
            </xdr:cNvSpPr>
          </xdr:nvSpPr>
          <xdr:spPr bwMode="auto">
            <a:xfrm>
              <a:off x="976" y="583"/>
              <a:ext cx="69" cy="58"/>
            </a:xfrm>
            <a:custGeom>
              <a:avLst/>
              <a:gdLst>
                <a:gd name="T0" fmla="*/ 0 w 69"/>
                <a:gd name="T1" fmla="*/ 58 h 58"/>
                <a:gd name="T2" fmla="*/ 0 w 69"/>
                <a:gd name="T3" fmla="*/ 9 h 58"/>
                <a:gd name="T4" fmla="*/ 9 w 69"/>
                <a:gd name="T5" fmla="*/ 0 h 58"/>
                <a:gd name="T6" fmla="*/ 69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0" y="58"/>
                  </a:move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1" name="Freeform 225">
              <a:extLst>
                <a:ext uri="{FF2B5EF4-FFF2-40B4-BE49-F238E27FC236}">
                  <a16:creationId xmlns:a16="http://schemas.microsoft.com/office/drawing/2014/main" id="{00000000-0008-0000-0700-000081F00700}"/>
                </a:ext>
              </a:extLst>
            </xdr:cNvPr>
            <xdr:cNvSpPr>
              <a:spLocks/>
            </xdr:cNvSpPr>
          </xdr:nvSpPr>
          <xdr:spPr bwMode="auto">
            <a:xfrm>
              <a:off x="976" y="416"/>
              <a:ext cx="69" cy="147"/>
            </a:xfrm>
            <a:custGeom>
              <a:avLst/>
              <a:gdLst>
                <a:gd name="T0" fmla="*/ 69 w 69"/>
                <a:gd name="T1" fmla="*/ 147 h 147"/>
                <a:gd name="T2" fmla="*/ 9 w 69"/>
                <a:gd name="T3" fmla="*/ 147 h 147"/>
                <a:gd name="T4" fmla="*/ 0 w 69"/>
                <a:gd name="T5" fmla="*/ 138 h 147"/>
                <a:gd name="T6" fmla="*/ 0 w 69"/>
                <a:gd name="T7" fmla="*/ 9 h 147"/>
                <a:gd name="T8" fmla="*/ 9 w 69"/>
                <a:gd name="T9" fmla="*/ 0 h 147"/>
                <a:gd name="T10" fmla="*/ 69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69" y="147"/>
                  </a:moveTo>
                  <a:lnTo>
                    <a:pt x="9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2" name="Freeform 226">
              <a:extLst>
                <a:ext uri="{FF2B5EF4-FFF2-40B4-BE49-F238E27FC236}">
                  <a16:creationId xmlns:a16="http://schemas.microsoft.com/office/drawing/2014/main" id="{00000000-0008-0000-0700-000082F00700}"/>
                </a:ext>
              </a:extLst>
            </xdr:cNvPr>
            <xdr:cNvSpPr>
              <a:spLocks/>
            </xdr:cNvSpPr>
          </xdr:nvSpPr>
          <xdr:spPr bwMode="auto">
            <a:xfrm>
              <a:off x="809" y="338"/>
              <a:ext cx="148" cy="59"/>
            </a:xfrm>
            <a:custGeom>
              <a:avLst/>
              <a:gdLst>
                <a:gd name="T0" fmla="*/ 0 w 148"/>
                <a:gd name="T1" fmla="*/ 0 h 59"/>
                <a:gd name="T2" fmla="*/ 0 w 148"/>
                <a:gd name="T3" fmla="*/ 49 h 59"/>
                <a:gd name="T4" fmla="*/ 10 w 148"/>
                <a:gd name="T5" fmla="*/ 59 h 59"/>
                <a:gd name="T6" fmla="*/ 138 w 148"/>
                <a:gd name="T7" fmla="*/ 59 h 59"/>
                <a:gd name="T8" fmla="*/ 148 w 148"/>
                <a:gd name="T9" fmla="*/ 49 h 59"/>
                <a:gd name="T10" fmla="*/ 148 w 148"/>
                <a:gd name="T11" fmla="*/ 0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9">
                  <a:moveTo>
                    <a:pt x="0" y="0"/>
                  </a:moveTo>
                  <a:lnTo>
                    <a:pt x="0" y="49"/>
                  </a:lnTo>
                  <a:lnTo>
                    <a:pt x="10" y="59"/>
                  </a:lnTo>
                  <a:lnTo>
                    <a:pt x="138" y="59"/>
                  </a:lnTo>
                  <a:lnTo>
                    <a:pt x="148" y="49"/>
                  </a:lnTo>
                  <a:lnTo>
                    <a:pt x="148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3" name="Freeform 227">
              <a:extLst>
                <a:ext uri="{FF2B5EF4-FFF2-40B4-BE49-F238E27FC236}">
                  <a16:creationId xmlns:a16="http://schemas.microsoft.com/office/drawing/2014/main" id="{00000000-0008-0000-0700-000083F00700}"/>
                </a:ext>
              </a:extLst>
            </xdr:cNvPr>
            <xdr:cNvSpPr>
              <a:spLocks/>
            </xdr:cNvSpPr>
          </xdr:nvSpPr>
          <xdr:spPr bwMode="auto">
            <a:xfrm>
              <a:off x="809" y="583"/>
              <a:ext cx="148" cy="58"/>
            </a:xfrm>
            <a:custGeom>
              <a:avLst/>
              <a:gdLst>
                <a:gd name="T0" fmla="*/ 0 w 148"/>
                <a:gd name="T1" fmla="*/ 58 h 58"/>
                <a:gd name="T2" fmla="*/ 0 w 148"/>
                <a:gd name="T3" fmla="*/ 9 h 58"/>
                <a:gd name="T4" fmla="*/ 10 w 148"/>
                <a:gd name="T5" fmla="*/ 0 h 58"/>
                <a:gd name="T6" fmla="*/ 138 w 148"/>
                <a:gd name="T7" fmla="*/ 0 h 58"/>
                <a:gd name="T8" fmla="*/ 148 w 148"/>
                <a:gd name="T9" fmla="*/ 9 h 58"/>
                <a:gd name="T10" fmla="*/ 148 w 148"/>
                <a:gd name="T11" fmla="*/ 58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8">
                  <a:moveTo>
                    <a:pt x="0" y="58"/>
                  </a:moveTo>
                  <a:lnTo>
                    <a:pt x="0" y="9"/>
                  </a:lnTo>
                  <a:lnTo>
                    <a:pt x="10" y="0"/>
                  </a:lnTo>
                  <a:lnTo>
                    <a:pt x="138" y="0"/>
                  </a:lnTo>
                  <a:lnTo>
                    <a:pt x="148" y="9"/>
                  </a:lnTo>
                  <a:lnTo>
                    <a:pt x="148" y="58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4" name="Freeform 228">
              <a:extLst>
                <a:ext uri="{FF2B5EF4-FFF2-40B4-BE49-F238E27FC236}">
                  <a16:creationId xmlns:a16="http://schemas.microsoft.com/office/drawing/2014/main" id="{00000000-0008-0000-0700-000084F00700}"/>
                </a:ext>
              </a:extLst>
            </xdr:cNvPr>
            <xdr:cNvSpPr>
              <a:spLocks/>
            </xdr:cNvSpPr>
          </xdr:nvSpPr>
          <xdr:spPr bwMode="auto">
            <a:xfrm>
              <a:off x="809" y="416"/>
              <a:ext cx="148" cy="147"/>
            </a:xfrm>
            <a:custGeom>
              <a:avLst/>
              <a:gdLst>
                <a:gd name="T0" fmla="*/ 10 w 148"/>
                <a:gd name="T1" fmla="*/ 0 h 147"/>
                <a:gd name="T2" fmla="*/ 138 w 148"/>
                <a:gd name="T3" fmla="*/ 0 h 147"/>
                <a:gd name="T4" fmla="*/ 148 w 148"/>
                <a:gd name="T5" fmla="*/ 9 h 147"/>
                <a:gd name="T6" fmla="*/ 148 w 148"/>
                <a:gd name="T7" fmla="*/ 138 h 147"/>
                <a:gd name="T8" fmla="*/ 138 w 148"/>
                <a:gd name="T9" fmla="*/ 147 h 147"/>
                <a:gd name="T10" fmla="*/ 10 w 148"/>
                <a:gd name="T11" fmla="*/ 147 h 147"/>
                <a:gd name="T12" fmla="*/ 0 w 148"/>
                <a:gd name="T13" fmla="*/ 138 h 147"/>
                <a:gd name="T14" fmla="*/ 0 w 148"/>
                <a:gd name="T15" fmla="*/ 9 h 147"/>
                <a:gd name="T16" fmla="*/ 10 w 148"/>
                <a:gd name="T17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8" h="147">
                  <a:moveTo>
                    <a:pt x="10" y="0"/>
                  </a:moveTo>
                  <a:lnTo>
                    <a:pt x="138" y="0"/>
                  </a:lnTo>
                  <a:lnTo>
                    <a:pt x="148" y="9"/>
                  </a:lnTo>
                  <a:lnTo>
                    <a:pt x="148" y="138"/>
                  </a:lnTo>
                  <a:lnTo>
                    <a:pt x="138" y="147"/>
                  </a:lnTo>
                  <a:lnTo>
                    <a:pt x="10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1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5" name="Rectangle 229">
              <a:extLst>
                <a:ext uri="{FF2B5EF4-FFF2-40B4-BE49-F238E27FC236}">
                  <a16:creationId xmlns:a16="http://schemas.microsoft.com/office/drawing/2014/main" id="{00000000-0008-0000-0700-000085F0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6" name="Rectangle 230">
              <a:extLst>
                <a:ext uri="{FF2B5EF4-FFF2-40B4-BE49-F238E27FC236}">
                  <a16:creationId xmlns:a16="http://schemas.microsoft.com/office/drawing/2014/main" id="{00000000-0008-0000-0700-000086F0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7" name="Rectangle 231">
              <a:extLst>
                <a:ext uri="{FF2B5EF4-FFF2-40B4-BE49-F238E27FC236}">
                  <a16:creationId xmlns:a16="http://schemas.microsoft.com/office/drawing/2014/main" id="{00000000-0008-0000-0700-000087F0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8" name="Rectangle 232">
              <a:extLst>
                <a:ext uri="{FF2B5EF4-FFF2-40B4-BE49-F238E27FC236}">
                  <a16:creationId xmlns:a16="http://schemas.microsoft.com/office/drawing/2014/main" id="{00000000-0008-0000-0700-000088F0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29" name="Line 233">
              <a:extLst>
                <a:ext uri="{FF2B5EF4-FFF2-40B4-BE49-F238E27FC236}">
                  <a16:creationId xmlns:a16="http://schemas.microsoft.com/office/drawing/2014/main" id="{00000000-0008-0000-0700-000089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30" name="Line 234">
              <a:extLst>
                <a:ext uri="{FF2B5EF4-FFF2-40B4-BE49-F238E27FC236}">
                  <a16:creationId xmlns:a16="http://schemas.microsoft.com/office/drawing/2014/main" id="{00000000-0008-0000-0700-00008A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0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31" name="Line 235">
              <a:extLst>
                <a:ext uri="{FF2B5EF4-FFF2-40B4-BE49-F238E27FC236}">
                  <a16:creationId xmlns:a16="http://schemas.microsoft.com/office/drawing/2014/main" id="{00000000-0008-0000-0700-00008BF0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61"/>
              <a:ext cx="5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0332" name="Freeform 236">
              <a:extLst>
                <a:ext uri="{FF2B5EF4-FFF2-40B4-BE49-F238E27FC236}">
                  <a16:creationId xmlns:a16="http://schemas.microsoft.com/office/drawing/2014/main" id="{00000000-0008-0000-0700-00008CF007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333" name="Freeform 237">
              <a:extLst>
                <a:ext uri="{FF2B5EF4-FFF2-40B4-BE49-F238E27FC236}">
                  <a16:creationId xmlns:a16="http://schemas.microsoft.com/office/drawing/2014/main" id="{00000000-0008-0000-0700-00008DF007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0334" name="Freeform 238">
              <a:extLst>
                <a:ext uri="{FF2B5EF4-FFF2-40B4-BE49-F238E27FC236}">
                  <a16:creationId xmlns:a16="http://schemas.microsoft.com/office/drawing/2014/main" id="{00000000-0008-0000-0700-00008EF007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0335" name="Freeform 239">
              <a:extLst>
                <a:ext uri="{FF2B5EF4-FFF2-40B4-BE49-F238E27FC236}">
                  <a16:creationId xmlns:a16="http://schemas.microsoft.com/office/drawing/2014/main" id="{00000000-0008-0000-0700-00008FF007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520192" name="Line 241">
            <a:extLst>
              <a:ext uri="{FF2B5EF4-FFF2-40B4-BE49-F238E27FC236}">
                <a16:creationId xmlns:a16="http://schemas.microsoft.com/office/drawing/2014/main" id="{00000000-0008-0000-0700-000000F00700}"/>
              </a:ext>
            </a:extLst>
          </xdr:cNvPr>
          <xdr:cNvSpPr>
            <a:spLocks noChangeShapeType="1"/>
          </xdr:cNvSpPr>
        </xdr:nvSpPr>
        <xdr:spPr bwMode="auto">
          <a:xfrm>
            <a:off x="1500295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14" name="Line 242">
            <a:extLst>
              <a:ext uri="{FF2B5EF4-FFF2-40B4-BE49-F238E27FC236}">
                <a16:creationId xmlns:a16="http://schemas.microsoft.com/office/drawing/2014/main" id="{00000000-0008-0000-0700-000016F00700}"/>
              </a:ext>
            </a:extLst>
          </xdr:cNvPr>
          <xdr:cNvSpPr>
            <a:spLocks noChangeShapeType="1"/>
          </xdr:cNvSpPr>
        </xdr:nvSpPr>
        <xdr:spPr bwMode="auto">
          <a:xfrm>
            <a:off x="1778691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15" name="Line 248">
            <a:extLst>
              <a:ext uri="{FF2B5EF4-FFF2-40B4-BE49-F238E27FC236}">
                <a16:creationId xmlns:a16="http://schemas.microsoft.com/office/drawing/2014/main" id="{00000000-0008-0000-0700-000017F00700}"/>
              </a:ext>
            </a:extLst>
          </xdr:cNvPr>
          <xdr:cNvSpPr>
            <a:spLocks noChangeShapeType="1"/>
          </xdr:cNvSpPr>
        </xdr:nvSpPr>
        <xdr:spPr bwMode="auto">
          <a:xfrm>
            <a:off x="1778691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16" name="Line 249">
            <a:extLst>
              <a:ext uri="{FF2B5EF4-FFF2-40B4-BE49-F238E27FC236}">
                <a16:creationId xmlns:a16="http://schemas.microsoft.com/office/drawing/2014/main" id="{00000000-0008-0000-0700-000018F00700}"/>
              </a:ext>
            </a:extLst>
          </xdr:cNvPr>
          <xdr:cNvSpPr>
            <a:spLocks noChangeShapeType="1"/>
          </xdr:cNvSpPr>
        </xdr:nvSpPr>
        <xdr:spPr bwMode="auto">
          <a:xfrm>
            <a:off x="3955870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17" name="Line 250">
            <a:extLst>
              <a:ext uri="{FF2B5EF4-FFF2-40B4-BE49-F238E27FC236}">
                <a16:creationId xmlns:a16="http://schemas.microsoft.com/office/drawing/2014/main" id="{00000000-0008-0000-0700-000019F00700}"/>
              </a:ext>
            </a:extLst>
          </xdr:cNvPr>
          <xdr:cNvSpPr>
            <a:spLocks noChangeShapeType="1"/>
          </xdr:cNvSpPr>
        </xdr:nvSpPr>
        <xdr:spPr bwMode="auto">
          <a:xfrm>
            <a:off x="1866605" y="8035707"/>
            <a:ext cx="2001351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18" name="Freeform 251">
            <a:extLst>
              <a:ext uri="{FF2B5EF4-FFF2-40B4-BE49-F238E27FC236}">
                <a16:creationId xmlns:a16="http://schemas.microsoft.com/office/drawing/2014/main" id="{00000000-0008-0000-0700-00001AF00700}"/>
              </a:ext>
            </a:extLst>
          </xdr:cNvPr>
          <xdr:cNvSpPr>
            <a:spLocks/>
          </xdr:cNvSpPr>
        </xdr:nvSpPr>
        <xdr:spPr bwMode="auto">
          <a:xfrm>
            <a:off x="1778691" y="8022852"/>
            <a:ext cx="87914" cy="25708"/>
          </a:xfrm>
          <a:custGeom>
            <a:avLst/>
            <a:gdLst>
              <a:gd name="T0" fmla="*/ 6 w 6"/>
              <a:gd name="T1" fmla="*/ 0 h 2"/>
              <a:gd name="T2" fmla="*/ 6 w 6"/>
              <a:gd name="T3" fmla="*/ 2 h 2"/>
              <a:gd name="T4" fmla="*/ 0 w 6"/>
              <a:gd name="T5" fmla="*/ 1 h 2"/>
              <a:gd name="T6" fmla="*/ 6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6" y="0"/>
                </a:moveTo>
                <a:lnTo>
                  <a:pt x="6" y="2"/>
                </a:lnTo>
                <a:lnTo>
                  <a:pt x="0" y="1"/>
                </a:lnTo>
                <a:lnTo>
                  <a:pt x="6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0219" name="Freeform 253">
            <a:extLst>
              <a:ext uri="{FF2B5EF4-FFF2-40B4-BE49-F238E27FC236}">
                <a16:creationId xmlns:a16="http://schemas.microsoft.com/office/drawing/2014/main" id="{00000000-0008-0000-0700-00001BF00700}"/>
              </a:ext>
            </a:extLst>
          </xdr:cNvPr>
          <xdr:cNvSpPr>
            <a:spLocks/>
          </xdr:cNvSpPr>
        </xdr:nvSpPr>
        <xdr:spPr bwMode="auto">
          <a:xfrm>
            <a:off x="3867956" y="8022852"/>
            <a:ext cx="87914" cy="25708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0220" name="Freeform 254">
            <a:extLst>
              <a:ext uri="{FF2B5EF4-FFF2-40B4-BE49-F238E27FC236}">
                <a16:creationId xmlns:a16="http://schemas.microsoft.com/office/drawing/2014/main" id="{00000000-0008-0000-0700-00001CF00700}"/>
              </a:ext>
            </a:extLst>
          </xdr:cNvPr>
          <xdr:cNvSpPr>
            <a:spLocks/>
          </xdr:cNvSpPr>
        </xdr:nvSpPr>
        <xdr:spPr bwMode="auto">
          <a:xfrm>
            <a:off x="3867956" y="8022852"/>
            <a:ext cx="87914" cy="25708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20221" name="Line 255">
            <a:extLst>
              <a:ext uri="{FF2B5EF4-FFF2-40B4-BE49-F238E27FC236}">
                <a16:creationId xmlns:a16="http://schemas.microsoft.com/office/drawing/2014/main" id="{00000000-0008-0000-0700-00001DF00700}"/>
              </a:ext>
            </a:extLst>
          </xdr:cNvPr>
          <xdr:cNvSpPr>
            <a:spLocks noChangeShapeType="1"/>
          </xdr:cNvSpPr>
        </xdr:nvSpPr>
        <xdr:spPr bwMode="auto">
          <a:xfrm>
            <a:off x="3955870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22" name="Line 256">
            <a:extLst>
              <a:ext uri="{FF2B5EF4-FFF2-40B4-BE49-F238E27FC236}">
                <a16:creationId xmlns:a16="http://schemas.microsoft.com/office/drawing/2014/main" id="{00000000-0008-0000-0700-00001EF00700}"/>
              </a:ext>
            </a:extLst>
          </xdr:cNvPr>
          <xdr:cNvSpPr>
            <a:spLocks noChangeShapeType="1"/>
          </xdr:cNvSpPr>
        </xdr:nvSpPr>
        <xdr:spPr bwMode="auto">
          <a:xfrm>
            <a:off x="4234266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23" name="Line 262">
            <a:extLst>
              <a:ext uri="{FF2B5EF4-FFF2-40B4-BE49-F238E27FC236}">
                <a16:creationId xmlns:a16="http://schemas.microsoft.com/office/drawing/2014/main" id="{00000000-0008-0000-0700-00001FF00700}"/>
              </a:ext>
            </a:extLst>
          </xdr:cNvPr>
          <xdr:cNvSpPr>
            <a:spLocks noChangeShapeType="1"/>
          </xdr:cNvSpPr>
        </xdr:nvSpPr>
        <xdr:spPr bwMode="auto">
          <a:xfrm>
            <a:off x="4234266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24" name="Line 263">
            <a:extLst>
              <a:ext uri="{FF2B5EF4-FFF2-40B4-BE49-F238E27FC236}">
                <a16:creationId xmlns:a16="http://schemas.microsoft.com/office/drawing/2014/main" id="{00000000-0008-0000-0700-000020F00700}"/>
              </a:ext>
            </a:extLst>
          </xdr:cNvPr>
          <xdr:cNvSpPr>
            <a:spLocks noChangeShapeType="1"/>
          </xdr:cNvSpPr>
        </xdr:nvSpPr>
        <xdr:spPr bwMode="auto">
          <a:xfrm>
            <a:off x="5248157" y="7830038"/>
            <a:ext cx="0" cy="231377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25" name="Line 264">
            <a:extLst>
              <a:ext uri="{FF2B5EF4-FFF2-40B4-BE49-F238E27FC236}">
                <a16:creationId xmlns:a16="http://schemas.microsoft.com/office/drawing/2014/main" id="{00000000-0008-0000-0700-000021F00700}"/>
              </a:ext>
            </a:extLst>
          </xdr:cNvPr>
          <xdr:cNvSpPr>
            <a:spLocks noChangeShapeType="1"/>
          </xdr:cNvSpPr>
        </xdr:nvSpPr>
        <xdr:spPr bwMode="auto">
          <a:xfrm>
            <a:off x="4307529" y="8035707"/>
            <a:ext cx="867366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226" name="Freeform 265">
            <a:extLst>
              <a:ext uri="{FF2B5EF4-FFF2-40B4-BE49-F238E27FC236}">
                <a16:creationId xmlns:a16="http://schemas.microsoft.com/office/drawing/2014/main" id="{00000000-0008-0000-0700-000022F00700}"/>
              </a:ext>
            </a:extLst>
          </xdr:cNvPr>
          <xdr:cNvSpPr>
            <a:spLocks/>
          </xdr:cNvSpPr>
        </xdr:nvSpPr>
        <xdr:spPr bwMode="auto">
          <a:xfrm>
            <a:off x="4234266" y="8022852"/>
            <a:ext cx="73262" cy="25708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0227" name="Freeform 266">
            <a:extLst>
              <a:ext uri="{FF2B5EF4-FFF2-40B4-BE49-F238E27FC236}">
                <a16:creationId xmlns:a16="http://schemas.microsoft.com/office/drawing/2014/main" id="{00000000-0008-0000-0700-000023F00700}"/>
              </a:ext>
            </a:extLst>
          </xdr:cNvPr>
          <xdr:cNvSpPr>
            <a:spLocks/>
          </xdr:cNvSpPr>
        </xdr:nvSpPr>
        <xdr:spPr bwMode="auto">
          <a:xfrm>
            <a:off x="4234266" y="8022852"/>
            <a:ext cx="73262" cy="25708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20228" name="Freeform 267">
            <a:extLst>
              <a:ext uri="{FF2B5EF4-FFF2-40B4-BE49-F238E27FC236}">
                <a16:creationId xmlns:a16="http://schemas.microsoft.com/office/drawing/2014/main" id="{00000000-0008-0000-0700-000024F00700}"/>
              </a:ext>
            </a:extLst>
          </xdr:cNvPr>
          <xdr:cNvSpPr>
            <a:spLocks/>
          </xdr:cNvSpPr>
        </xdr:nvSpPr>
        <xdr:spPr bwMode="auto">
          <a:xfrm>
            <a:off x="5174895" y="8022852"/>
            <a:ext cx="73262" cy="25708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0229" name="Freeform 268">
            <a:extLst>
              <a:ext uri="{FF2B5EF4-FFF2-40B4-BE49-F238E27FC236}">
                <a16:creationId xmlns:a16="http://schemas.microsoft.com/office/drawing/2014/main" id="{00000000-0008-0000-0700-000025F00700}"/>
              </a:ext>
            </a:extLst>
          </xdr:cNvPr>
          <xdr:cNvSpPr>
            <a:spLocks/>
          </xdr:cNvSpPr>
        </xdr:nvSpPr>
        <xdr:spPr bwMode="auto">
          <a:xfrm>
            <a:off x="5174895" y="8022852"/>
            <a:ext cx="73262" cy="25708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407422</xdr:colOff>
      <xdr:row>110</xdr:row>
      <xdr:rowOff>178903</xdr:rowOff>
    </xdr:from>
    <xdr:to>
      <xdr:col>10</xdr:col>
      <xdr:colOff>592207</xdr:colOff>
      <xdr:row>114</xdr:row>
      <xdr:rowOff>217003</xdr:rowOff>
    </xdr:to>
    <xdr:grpSp>
      <xdr:nvGrpSpPr>
        <xdr:cNvPr id="1055524" name="Group 9">
          <a:extLst>
            <a:ext uri="{FF2B5EF4-FFF2-40B4-BE49-F238E27FC236}">
              <a16:creationId xmlns:a16="http://schemas.microsoft.com/office/drawing/2014/main" id="{00000000-0008-0000-0800-0000241B1000}"/>
            </a:ext>
          </a:extLst>
        </xdr:cNvPr>
        <xdr:cNvGrpSpPr>
          <a:grpSpLocks/>
        </xdr:cNvGrpSpPr>
      </xdr:nvGrpSpPr>
      <xdr:grpSpPr bwMode="auto">
        <a:xfrm>
          <a:off x="6465322" y="27718853"/>
          <a:ext cx="1467485" cy="1104900"/>
          <a:chOff x="497" y="3068"/>
          <a:chExt cx="140" cy="102"/>
        </a:xfrm>
      </xdr:grpSpPr>
      <xdr:sp macro="" textlink="">
        <xdr:nvSpPr>
          <xdr:cNvPr id="1055638" name="Line 10">
            <a:extLst>
              <a:ext uri="{FF2B5EF4-FFF2-40B4-BE49-F238E27FC236}">
                <a16:creationId xmlns:a16="http://schemas.microsoft.com/office/drawing/2014/main" id="{00000000-0008-0000-0800-0000961B1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20"/>
            <a:ext cx="0" cy="4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39" name="Line 11">
            <a:extLst>
              <a:ext uri="{FF2B5EF4-FFF2-40B4-BE49-F238E27FC236}">
                <a16:creationId xmlns:a16="http://schemas.microsoft.com/office/drawing/2014/main" id="{00000000-0008-0000-0800-0000971B1000}"/>
              </a:ext>
            </a:extLst>
          </xdr:cNvPr>
          <xdr:cNvSpPr>
            <a:spLocks noChangeShapeType="1"/>
          </xdr:cNvSpPr>
        </xdr:nvSpPr>
        <xdr:spPr bwMode="auto">
          <a:xfrm>
            <a:off x="630" y="3119"/>
            <a:ext cx="0" cy="51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0" name="Line 12">
            <a:extLst>
              <a:ext uri="{FF2B5EF4-FFF2-40B4-BE49-F238E27FC236}">
                <a16:creationId xmlns:a16="http://schemas.microsoft.com/office/drawing/2014/main" id="{00000000-0008-0000-0800-0000981B1000}"/>
              </a:ext>
            </a:extLst>
          </xdr:cNvPr>
          <xdr:cNvSpPr>
            <a:spLocks noChangeShapeType="1"/>
          </xdr:cNvSpPr>
        </xdr:nvSpPr>
        <xdr:spPr bwMode="auto">
          <a:xfrm>
            <a:off x="518" y="3120"/>
            <a:ext cx="112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1" name="Line 13">
            <a:extLst>
              <a:ext uri="{FF2B5EF4-FFF2-40B4-BE49-F238E27FC236}">
                <a16:creationId xmlns:a16="http://schemas.microsoft.com/office/drawing/2014/main" id="{00000000-0008-0000-0800-0000991B1000}"/>
              </a:ext>
            </a:extLst>
          </xdr:cNvPr>
          <xdr:cNvSpPr>
            <a:spLocks noChangeShapeType="1"/>
          </xdr:cNvSpPr>
        </xdr:nvSpPr>
        <xdr:spPr bwMode="auto">
          <a:xfrm>
            <a:off x="519" y="3167"/>
            <a:ext cx="112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2" name="Line 14">
            <a:extLst>
              <a:ext uri="{FF2B5EF4-FFF2-40B4-BE49-F238E27FC236}">
                <a16:creationId xmlns:a16="http://schemas.microsoft.com/office/drawing/2014/main" id="{00000000-0008-0000-0800-00009A1B1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69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3" name="Line 15">
            <a:extLst>
              <a:ext uri="{FF2B5EF4-FFF2-40B4-BE49-F238E27FC236}">
                <a16:creationId xmlns:a16="http://schemas.microsoft.com/office/drawing/2014/main" id="{00000000-0008-0000-0800-00009B1B1000}"/>
              </a:ext>
            </a:extLst>
          </xdr:cNvPr>
          <xdr:cNvSpPr>
            <a:spLocks noChangeShapeType="1"/>
          </xdr:cNvSpPr>
        </xdr:nvSpPr>
        <xdr:spPr bwMode="auto">
          <a:xfrm>
            <a:off x="630" y="3068"/>
            <a:ext cx="0" cy="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4" name="Line 16">
            <a:extLst>
              <a:ext uri="{FF2B5EF4-FFF2-40B4-BE49-F238E27FC236}">
                <a16:creationId xmlns:a16="http://schemas.microsoft.com/office/drawing/2014/main" id="{00000000-0008-0000-0800-00009C1B1000}"/>
              </a:ext>
            </a:extLst>
          </xdr:cNvPr>
          <xdr:cNvSpPr>
            <a:spLocks noChangeShapeType="1"/>
          </xdr:cNvSpPr>
        </xdr:nvSpPr>
        <xdr:spPr bwMode="auto">
          <a:xfrm>
            <a:off x="517" y="3074"/>
            <a:ext cx="113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5" name="Line 17">
            <a:extLst>
              <a:ext uri="{FF2B5EF4-FFF2-40B4-BE49-F238E27FC236}">
                <a16:creationId xmlns:a16="http://schemas.microsoft.com/office/drawing/2014/main" id="{00000000-0008-0000-0800-00009D1B1000}"/>
              </a:ext>
            </a:extLst>
          </xdr:cNvPr>
          <xdr:cNvSpPr>
            <a:spLocks noChangeShapeType="1"/>
          </xdr:cNvSpPr>
        </xdr:nvSpPr>
        <xdr:spPr bwMode="auto">
          <a:xfrm>
            <a:off x="497" y="3120"/>
            <a:ext cx="1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6" name="Line 18">
            <a:extLst>
              <a:ext uri="{FF2B5EF4-FFF2-40B4-BE49-F238E27FC236}">
                <a16:creationId xmlns:a16="http://schemas.microsoft.com/office/drawing/2014/main" id="{00000000-0008-0000-0800-00009E1B1000}"/>
              </a:ext>
            </a:extLst>
          </xdr:cNvPr>
          <xdr:cNvSpPr>
            <a:spLocks noChangeShapeType="1"/>
          </xdr:cNvSpPr>
        </xdr:nvSpPr>
        <xdr:spPr bwMode="auto">
          <a:xfrm>
            <a:off x="498" y="3167"/>
            <a:ext cx="2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47" name="Line 19">
            <a:extLst>
              <a:ext uri="{FF2B5EF4-FFF2-40B4-BE49-F238E27FC236}">
                <a16:creationId xmlns:a16="http://schemas.microsoft.com/office/drawing/2014/main" id="{00000000-0008-0000-0800-00009F1B1000}"/>
              </a:ext>
            </a:extLst>
          </xdr:cNvPr>
          <xdr:cNvSpPr>
            <a:spLocks noChangeShapeType="1"/>
          </xdr:cNvSpPr>
        </xdr:nvSpPr>
        <xdr:spPr bwMode="auto">
          <a:xfrm>
            <a:off x="505" y="3117"/>
            <a:ext cx="0" cy="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055648" name="Group 20">
            <a:extLst>
              <a:ext uri="{FF2B5EF4-FFF2-40B4-BE49-F238E27FC236}">
                <a16:creationId xmlns:a16="http://schemas.microsoft.com/office/drawing/2014/main" id="{00000000-0008-0000-0800-0000A01B1000}"/>
              </a:ext>
            </a:extLst>
          </xdr:cNvPr>
          <xdr:cNvGrpSpPr>
            <a:grpSpLocks/>
          </xdr:cNvGrpSpPr>
        </xdr:nvGrpSpPr>
        <xdr:grpSpPr bwMode="auto">
          <a:xfrm>
            <a:off x="531" y="3115"/>
            <a:ext cx="10" cy="6"/>
            <a:chOff x="545" y="3239"/>
            <a:chExt cx="10" cy="6"/>
          </a:xfrm>
        </xdr:grpSpPr>
        <xdr:sp macro="" textlink="">
          <xdr:nvSpPr>
            <xdr:cNvPr id="1055685" name="Line 21">
              <a:extLst>
                <a:ext uri="{FF2B5EF4-FFF2-40B4-BE49-F238E27FC236}">
                  <a16:creationId xmlns:a16="http://schemas.microsoft.com/office/drawing/2014/main" id="{00000000-0008-0000-0800-0000C5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86" name="Line 22">
              <a:extLst>
                <a:ext uri="{FF2B5EF4-FFF2-40B4-BE49-F238E27FC236}">
                  <a16:creationId xmlns:a16="http://schemas.microsoft.com/office/drawing/2014/main" id="{00000000-0008-0000-0800-0000C6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49" name="Group 23">
            <a:extLst>
              <a:ext uri="{FF2B5EF4-FFF2-40B4-BE49-F238E27FC236}">
                <a16:creationId xmlns:a16="http://schemas.microsoft.com/office/drawing/2014/main" id="{00000000-0008-0000-0800-0000A11B1000}"/>
              </a:ext>
            </a:extLst>
          </xdr:cNvPr>
          <xdr:cNvGrpSpPr>
            <a:grpSpLocks/>
          </xdr:cNvGrpSpPr>
        </xdr:nvGrpSpPr>
        <xdr:grpSpPr bwMode="auto">
          <a:xfrm>
            <a:off x="515" y="3114"/>
            <a:ext cx="10" cy="6"/>
            <a:chOff x="545" y="3239"/>
            <a:chExt cx="10" cy="6"/>
          </a:xfrm>
        </xdr:grpSpPr>
        <xdr:sp macro="" textlink="">
          <xdr:nvSpPr>
            <xdr:cNvPr id="1055683" name="Line 24">
              <a:extLst>
                <a:ext uri="{FF2B5EF4-FFF2-40B4-BE49-F238E27FC236}">
                  <a16:creationId xmlns:a16="http://schemas.microsoft.com/office/drawing/2014/main" id="{00000000-0008-0000-0800-0000C3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84" name="Line 25">
              <a:extLst>
                <a:ext uri="{FF2B5EF4-FFF2-40B4-BE49-F238E27FC236}">
                  <a16:creationId xmlns:a16="http://schemas.microsoft.com/office/drawing/2014/main" id="{00000000-0008-0000-0800-0000C4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0" name="Group 26">
            <a:extLst>
              <a:ext uri="{FF2B5EF4-FFF2-40B4-BE49-F238E27FC236}">
                <a16:creationId xmlns:a16="http://schemas.microsoft.com/office/drawing/2014/main" id="{00000000-0008-0000-0800-0000A21B1000}"/>
              </a:ext>
            </a:extLst>
          </xdr:cNvPr>
          <xdr:cNvGrpSpPr>
            <a:grpSpLocks/>
          </xdr:cNvGrpSpPr>
        </xdr:nvGrpSpPr>
        <xdr:grpSpPr bwMode="auto">
          <a:xfrm>
            <a:off x="548" y="3115"/>
            <a:ext cx="10" cy="6"/>
            <a:chOff x="545" y="3239"/>
            <a:chExt cx="10" cy="6"/>
          </a:xfrm>
        </xdr:grpSpPr>
        <xdr:sp macro="" textlink="">
          <xdr:nvSpPr>
            <xdr:cNvPr id="1055681" name="Line 27">
              <a:extLst>
                <a:ext uri="{FF2B5EF4-FFF2-40B4-BE49-F238E27FC236}">
                  <a16:creationId xmlns:a16="http://schemas.microsoft.com/office/drawing/2014/main" id="{00000000-0008-0000-0800-0000C1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82" name="Line 28">
              <a:extLst>
                <a:ext uri="{FF2B5EF4-FFF2-40B4-BE49-F238E27FC236}">
                  <a16:creationId xmlns:a16="http://schemas.microsoft.com/office/drawing/2014/main" id="{00000000-0008-0000-0800-0000C2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1" name="Group 29">
            <a:extLst>
              <a:ext uri="{FF2B5EF4-FFF2-40B4-BE49-F238E27FC236}">
                <a16:creationId xmlns:a16="http://schemas.microsoft.com/office/drawing/2014/main" id="{00000000-0008-0000-0800-0000A31B1000}"/>
              </a:ext>
            </a:extLst>
          </xdr:cNvPr>
          <xdr:cNvGrpSpPr>
            <a:grpSpLocks/>
          </xdr:cNvGrpSpPr>
        </xdr:nvGrpSpPr>
        <xdr:grpSpPr bwMode="auto">
          <a:xfrm>
            <a:off x="564" y="3113"/>
            <a:ext cx="10" cy="6"/>
            <a:chOff x="545" y="3239"/>
            <a:chExt cx="10" cy="6"/>
          </a:xfrm>
        </xdr:grpSpPr>
        <xdr:sp macro="" textlink="">
          <xdr:nvSpPr>
            <xdr:cNvPr id="1055679" name="Line 30">
              <a:extLst>
                <a:ext uri="{FF2B5EF4-FFF2-40B4-BE49-F238E27FC236}">
                  <a16:creationId xmlns:a16="http://schemas.microsoft.com/office/drawing/2014/main" id="{00000000-0008-0000-0800-0000BF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80" name="Line 31">
              <a:extLst>
                <a:ext uri="{FF2B5EF4-FFF2-40B4-BE49-F238E27FC236}">
                  <a16:creationId xmlns:a16="http://schemas.microsoft.com/office/drawing/2014/main" id="{00000000-0008-0000-0800-0000C0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2" name="Group 32">
            <a:extLst>
              <a:ext uri="{FF2B5EF4-FFF2-40B4-BE49-F238E27FC236}">
                <a16:creationId xmlns:a16="http://schemas.microsoft.com/office/drawing/2014/main" id="{00000000-0008-0000-0800-0000A41B1000}"/>
              </a:ext>
            </a:extLst>
          </xdr:cNvPr>
          <xdr:cNvGrpSpPr>
            <a:grpSpLocks/>
          </xdr:cNvGrpSpPr>
        </xdr:nvGrpSpPr>
        <xdr:grpSpPr bwMode="auto">
          <a:xfrm>
            <a:off x="584" y="3113"/>
            <a:ext cx="10" cy="6"/>
            <a:chOff x="545" y="3239"/>
            <a:chExt cx="10" cy="6"/>
          </a:xfrm>
        </xdr:grpSpPr>
        <xdr:sp macro="" textlink="">
          <xdr:nvSpPr>
            <xdr:cNvPr id="1055677" name="Line 33">
              <a:extLst>
                <a:ext uri="{FF2B5EF4-FFF2-40B4-BE49-F238E27FC236}">
                  <a16:creationId xmlns:a16="http://schemas.microsoft.com/office/drawing/2014/main" id="{00000000-0008-0000-0800-0000BD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78" name="Line 34">
              <a:extLst>
                <a:ext uri="{FF2B5EF4-FFF2-40B4-BE49-F238E27FC236}">
                  <a16:creationId xmlns:a16="http://schemas.microsoft.com/office/drawing/2014/main" id="{00000000-0008-0000-0800-0000BE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3" name="Group 35">
            <a:extLst>
              <a:ext uri="{FF2B5EF4-FFF2-40B4-BE49-F238E27FC236}">
                <a16:creationId xmlns:a16="http://schemas.microsoft.com/office/drawing/2014/main" id="{00000000-0008-0000-0800-0000A51B1000}"/>
              </a:ext>
            </a:extLst>
          </xdr:cNvPr>
          <xdr:cNvGrpSpPr>
            <a:grpSpLocks/>
          </xdr:cNvGrpSpPr>
        </xdr:nvGrpSpPr>
        <xdr:grpSpPr bwMode="auto">
          <a:xfrm>
            <a:off x="600" y="3114"/>
            <a:ext cx="10" cy="6"/>
            <a:chOff x="545" y="3239"/>
            <a:chExt cx="10" cy="6"/>
          </a:xfrm>
        </xdr:grpSpPr>
        <xdr:sp macro="" textlink="">
          <xdr:nvSpPr>
            <xdr:cNvPr id="1055675" name="Line 36">
              <a:extLst>
                <a:ext uri="{FF2B5EF4-FFF2-40B4-BE49-F238E27FC236}">
                  <a16:creationId xmlns:a16="http://schemas.microsoft.com/office/drawing/2014/main" id="{00000000-0008-0000-0800-0000BB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76" name="Line 37">
              <a:extLst>
                <a:ext uri="{FF2B5EF4-FFF2-40B4-BE49-F238E27FC236}">
                  <a16:creationId xmlns:a16="http://schemas.microsoft.com/office/drawing/2014/main" id="{00000000-0008-0000-0800-0000BC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4" name="Group 38">
            <a:extLst>
              <a:ext uri="{FF2B5EF4-FFF2-40B4-BE49-F238E27FC236}">
                <a16:creationId xmlns:a16="http://schemas.microsoft.com/office/drawing/2014/main" id="{00000000-0008-0000-0800-0000A61B1000}"/>
              </a:ext>
            </a:extLst>
          </xdr:cNvPr>
          <xdr:cNvGrpSpPr>
            <a:grpSpLocks/>
          </xdr:cNvGrpSpPr>
        </xdr:nvGrpSpPr>
        <xdr:grpSpPr bwMode="auto">
          <a:xfrm>
            <a:off x="617" y="3113"/>
            <a:ext cx="10" cy="6"/>
            <a:chOff x="545" y="3239"/>
            <a:chExt cx="10" cy="6"/>
          </a:xfrm>
        </xdr:grpSpPr>
        <xdr:sp macro="" textlink="">
          <xdr:nvSpPr>
            <xdr:cNvPr id="1055673" name="Line 39">
              <a:extLst>
                <a:ext uri="{FF2B5EF4-FFF2-40B4-BE49-F238E27FC236}">
                  <a16:creationId xmlns:a16="http://schemas.microsoft.com/office/drawing/2014/main" id="{00000000-0008-0000-0800-0000B9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74" name="Line 40">
              <a:extLst>
                <a:ext uri="{FF2B5EF4-FFF2-40B4-BE49-F238E27FC236}">
                  <a16:creationId xmlns:a16="http://schemas.microsoft.com/office/drawing/2014/main" id="{00000000-0008-0000-0800-0000BA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5" name="Group 41">
            <a:extLst>
              <a:ext uri="{FF2B5EF4-FFF2-40B4-BE49-F238E27FC236}">
                <a16:creationId xmlns:a16="http://schemas.microsoft.com/office/drawing/2014/main" id="{00000000-0008-0000-0800-0000A71B1000}"/>
              </a:ext>
            </a:extLst>
          </xdr:cNvPr>
          <xdr:cNvGrpSpPr>
            <a:grpSpLocks/>
          </xdr:cNvGrpSpPr>
        </xdr:nvGrpSpPr>
        <xdr:grpSpPr bwMode="auto">
          <a:xfrm>
            <a:off x="630" y="3123"/>
            <a:ext cx="7" cy="9"/>
            <a:chOff x="653" y="3197"/>
            <a:chExt cx="7" cy="9"/>
          </a:xfrm>
        </xdr:grpSpPr>
        <xdr:sp macro="" textlink="">
          <xdr:nvSpPr>
            <xdr:cNvPr id="1055671" name="Line 42">
              <a:extLst>
                <a:ext uri="{FF2B5EF4-FFF2-40B4-BE49-F238E27FC236}">
                  <a16:creationId xmlns:a16="http://schemas.microsoft.com/office/drawing/2014/main" id="{00000000-0008-0000-0800-0000B7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72" name="Line 43">
              <a:extLst>
                <a:ext uri="{FF2B5EF4-FFF2-40B4-BE49-F238E27FC236}">
                  <a16:creationId xmlns:a16="http://schemas.microsoft.com/office/drawing/2014/main" id="{00000000-0008-0000-0800-0000B8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6" name="Group 44">
            <a:extLst>
              <a:ext uri="{FF2B5EF4-FFF2-40B4-BE49-F238E27FC236}">
                <a16:creationId xmlns:a16="http://schemas.microsoft.com/office/drawing/2014/main" id="{00000000-0008-0000-0800-0000A81B1000}"/>
              </a:ext>
            </a:extLst>
          </xdr:cNvPr>
          <xdr:cNvGrpSpPr>
            <a:grpSpLocks/>
          </xdr:cNvGrpSpPr>
        </xdr:nvGrpSpPr>
        <xdr:grpSpPr bwMode="auto">
          <a:xfrm>
            <a:off x="629" y="3140"/>
            <a:ext cx="7" cy="9"/>
            <a:chOff x="653" y="3197"/>
            <a:chExt cx="7" cy="9"/>
          </a:xfrm>
        </xdr:grpSpPr>
        <xdr:sp macro="" textlink="">
          <xdr:nvSpPr>
            <xdr:cNvPr id="1055669" name="Line 45">
              <a:extLst>
                <a:ext uri="{FF2B5EF4-FFF2-40B4-BE49-F238E27FC236}">
                  <a16:creationId xmlns:a16="http://schemas.microsoft.com/office/drawing/2014/main" id="{00000000-0008-0000-0800-0000B5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70" name="Line 46">
              <a:extLst>
                <a:ext uri="{FF2B5EF4-FFF2-40B4-BE49-F238E27FC236}">
                  <a16:creationId xmlns:a16="http://schemas.microsoft.com/office/drawing/2014/main" id="{00000000-0008-0000-0800-0000B6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7" name="Group 47">
            <a:extLst>
              <a:ext uri="{FF2B5EF4-FFF2-40B4-BE49-F238E27FC236}">
                <a16:creationId xmlns:a16="http://schemas.microsoft.com/office/drawing/2014/main" id="{00000000-0008-0000-0800-0000A91B1000}"/>
              </a:ext>
            </a:extLst>
          </xdr:cNvPr>
          <xdr:cNvGrpSpPr>
            <a:grpSpLocks/>
          </xdr:cNvGrpSpPr>
        </xdr:nvGrpSpPr>
        <xdr:grpSpPr bwMode="auto">
          <a:xfrm>
            <a:off x="629" y="3158"/>
            <a:ext cx="7" cy="9"/>
            <a:chOff x="653" y="3197"/>
            <a:chExt cx="7" cy="9"/>
          </a:xfrm>
        </xdr:grpSpPr>
        <xdr:sp macro="" textlink="">
          <xdr:nvSpPr>
            <xdr:cNvPr id="1055667" name="Line 48">
              <a:extLst>
                <a:ext uri="{FF2B5EF4-FFF2-40B4-BE49-F238E27FC236}">
                  <a16:creationId xmlns:a16="http://schemas.microsoft.com/office/drawing/2014/main" id="{00000000-0008-0000-0800-0000B3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68" name="Line 49">
              <a:extLst>
                <a:ext uri="{FF2B5EF4-FFF2-40B4-BE49-F238E27FC236}">
                  <a16:creationId xmlns:a16="http://schemas.microsoft.com/office/drawing/2014/main" id="{00000000-0008-0000-0800-0000B4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8" name="Group 50">
            <a:extLst>
              <a:ext uri="{FF2B5EF4-FFF2-40B4-BE49-F238E27FC236}">
                <a16:creationId xmlns:a16="http://schemas.microsoft.com/office/drawing/2014/main" id="{00000000-0008-0000-0800-0000AA1B1000}"/>
              </a:ext>
            </a:extLst>
          </xdr:cNvPr>
          <xdr:cNvGrpSpPr>
            <a:grpSpLocks/>
          </xdr:cNvGrpSpPr>
        </xdr:nvGrpSpPr>
        <xdr:grpSpPr bwMode="auto">
          <a:xfrm>
            <a:off x="511" y="3140"/>
            <a:ext cx="7" cy="9"/>
            <a:chOff x="653" y="3197"/>
            <a:chExt cx="7" cy="9"/>
          </a:xfrm>
        </xdr:grpSpPr>
        <xdr:sp macro="" textlink="">
          <xdr:nvSpPr>
            <xdr:cNvPr id="1055665" name="Line 51">
              <a:extLst>
                <a:ext uri="{FF2B5EF4-FFF2-40B4-BE49-F238E27FC236}">
                  <a16:creationId xmlns:a16="http://schemas.microsoft.com/office/drawing/2014/main" id="{00000000-0008-0000-0800-0000B1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66" name="Line 52">
              <a:extLst>
                <a:ext uri="{FF2B5EF4-FFF2-40B4-BE49-F238E27FC236}">
                  <a16:creationId xmlns:a16="http://schemas.microsoft.com/office/drawing/2014/main" id="{00000000-0008-0000-0800-0000B2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59" name="Group 53">
            <a:extLst>
              <a:ext uri="{FF2B5EF4-FFF2-40B4-BE49-F238E27FC236}">
                <a16:creationId xmlns:a16="http://schemas.microsoft.com/office/drawing/2014/main" id="{00000000-0008-0000-0800-0000AB1B1000}"/>
              </a:ext>
            </a:extLst>
          </xdr:cNvPr>
          <xdr:cNvGrpSpPr>
            <a:grpSpLocks/>
          </xdr:cNvGrpSpPr>
        </xdr:nvGrpSpPr>
        <xdr:grpSpPr bwMode="auto">
          <a:xfrm>
            <a:off x="511" y="3121"/>
            <a:ext cx="7" cy="9"/>
            <a:chOff x="653" y="3197"/>
            <a:chExt cx="7" cy="9"/>
          </a:xfrm>
        </xdr:grpSpPr>
        <xdr:sp macro="" textlink="">
          <xdr:nvSpPr>
            <xdr:cNvPr id="1055663" name="Line 54">
              <a:extLst>
                <a:ext uri="{FF2B5EF4-FFF2-40B4-BE49-F238E27FC236}">
                  <a16:creationId xmlns:a16="http://schemas.microsoft.com/office/drawing/2014/main" id="{00000000-0008-0000-0800-0000AF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64" name="Line 55">
              <a:extLst>
                <a:ext uri="{FF2B5EF4-FFF2-40B4-BE49-F238E27FC236}">
                  <a16:creationId xmlns:a16="http://schemas.microsoft.com/office/drawing/2014/main" id="{00000000-0008-0000-0800-0000B0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60" name="Group 56">
            <a:extLst>
              <a:ext uri="{FF2B5EF4-FFF2-40B4-BE49-F238E27FC236}">
                <a16:creationId xmlns:a16="http://schemas.microsoft.com/office/drawing/2014/main" id="{00000000-0008-0000-0800-0000AC1B1000}"/>
              </a:ext>
            </a:extLst>
          </xdr:cNvPr>
          <xdr:cNvGrpSpPr>
            <a:grpSpLocks/>
          </xdr:cNvGrpSpPr>
        </xdr:nvGrpSpPr>
        <xdr:grpSpPr bwMode="auto">
          <a:xfrm>
            <a:off x="511" y="3158"/>
            <a:ext cx="7" cy="9"/>
            <a:chOff x="653" y="3197"/>
            <a:chExt cx="7" cy="9"/>
          </a:xfrm>
        </xdr:grpSpPr>
        <xdr:sp macro="" textlink="">
          <xdr:nvSpPr>
            <xdr:cNvPr id="1055661" name="Line 57">
              <a:extLst>
                <a:ext uri="{FF2B5EF4-FFF2-40B4-BE49-F238E27FC236}">
                  <a16:creationId xmlns:a16="http://schemas.microsoft.com/office/drawing/2014/main" id="{00000000-0008-0000-0800-0000AD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62" name="Line 58">
              <a:extLst>
                <a:ext uri="{FF2B5EF4-FFF2-40B4-BE49-F238E27FC236}">
                  <a16:creationId xmlns:a16="http://schemas.microsoft.com/office/drawing/2014/main" id="{00000000-0008-0000-0800-0000AE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8</xdr:col>
      <xdr:colOff>564378</xdr:colOff>
      <xdr:row>98</xdr:row>
      <xdr:rowOff>156294</xdr:rowOff>
    </xdr:from>
    <xdr:to>
      <xdr:col>10</xdr:col>
      <xdr:colOff>556758</xdr:colOff>
      <xdr:row>103</xdr:row>
      <xdr:rowOff>47709</xdr:rowOff>
    </xdr:to>
    <xdr:grpSp>
      <xdr:nvGrpSpPr>
        <xdr:cNvPr id="1055525" name="Group 59">
          <a:extLst>
            <a:ext uri="{FF2B5EF4-FFF2-40B4-BE49-F238E27FC236}">
              <a16:creationId xmlns:a16="http://schemas.microsoft.com/office/drawing/2014/main" id="{00000000-0008-0000-0800-0000251B1000}"/>
            </a:ext>
          </a:extLst>
        </xdr:cNvPr>
        <xdr:cNvGrpSpPr>
          <a:grpSpLocks/>
        </xdr:cNvGrpSpPr>
      </xdr:nvGrpSpPr>
      <xdr:grpSpPr bwMode="auto">
        <a:xfrm>
          <a:off x="6622278" y="24495844"/>
          <a:ext cx="1275080" cy="1224915"/>
          <a:chOff x="463" y="2821"/>
          <a:chExt cx="103" cy="82"/>
        </a:xfrm>
      </xdr:grpSpPr>
      <xdr:sp macro="" textlink="">
        <xdr:nvSpPr>
          <xdr:cNvPr id="1055607" name="Line 60">
            <a:extLst>
              <a:ext uri="{FF2B5EF4-FFF2-40B4-BE49-F238E27FC236}">
                <a16:creationId xmlns:a16="http://schemas.microsoft.com/office/drawing/2014/main" id="{00000000-0008-0000-0800-0000771B1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0" cy="6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08" name="Line 61">
            <a:extLst>
              <a:ext uri="{FF2B5EF4-FFF2-40B4-BE49-F238E27FC236}">
                <a16:creationId xmlns:a16="http://schemas.microsoft.com/office/drawing/2014/main" id="{00000000-0008-0000-0800-0000781B1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43"/>
            <a:ext cx="6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09" name="Line 62">
            <a:extLst>
              <a:ext uri="{FF2B5EF4-FFF2-40B4-BE49-F238E27FC236}">
                <a16:creationId xmlns:a16="http://schemas.microsoft.com/office/drawing/2014/main" id="{00000000-0008-0000-0800-0000791B1000}"/>
              </a:ext>
            </a:extLst>
          </xdr:cNvPr>
          <xdr:cNvSpPr>
            <a:spLocks noChangeShapeType="1"/>
          </xdr:cNvSpPr>
        </xdr:nvSpPr>
        <xdr:spPr bwMode="auto">
          <a:xfrm>
            <a:off x="472" y="2901"/>
            <a:ext cx="68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0" name="Line 63">
            <a:extLst>
              <a:ext uri="{FF2B5EF4-FFF2-40B4-BE49-F238E27FC236}">
                <a16:creationId xmlns:a16="http://schemas.microsoft.com/office/drawing/2014/main" id="{00000000-0008-0000-0800-00007A1B1000}"/>
              </a:ext>
            </a:extLst>
          </xdr:cNvPr>
          <xdr:cNvSpPr>
            <a:spLocks noChangeShapeType="1"/>
          </xdr:cNvSpPr>
        </xdr:nvSpPr>
        <xdr:spPr bwMode="auto">
          <a:xfrm>
            <a:off x="540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1" name="Line 64">
            <a:extLst>
              <a:ext uri="{FF2B5EF4-FFF2-40B4-BE49-F238E27FC236}">
                <a16:creationId xmlns:a16="http://schemas.microsoft.com/office/drawing/2014/main" id="{00000000-0008-0000-0800-00007B1B1000}"/>
              </a:ext>
            </a:extLst>
          </xdr:cNvPr>
          <xdr:cNvSpPr>
            <a:spLocks noChangeShapeType="1"/>
          </xdr:cNvSpPr>
        </xdr:nvSpPr>
        <xdr:spPr bwMode="auto">
          <a:xfrm>
            <a:off x="547" y="2844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2" name="Line 65">
            <a:extLst>
              <a:ext uri="{FF2B5EF4-FFF2-40B4-BE49-F238E27FC236}">
                <a16:creationId xmlns:a16="http://schemas.microsoft.com/office/drawing/2014/main" id="{00000000-0008-0000-0800-00007C1B1000}"/>
              </a:ext>
            </a:extLst>
          </xdr:cNvPr>
          <xdr:cNvSpPr>
            <a:spLocks noChangeShapeType="1"/>
          </xdr:cNvSpPr>
        </xdr:nvSpPr>
        <xdr:spPr bwMode="auto">
          <a:xfrm>
            <a:off x="545" y="2901"/>
            <a:ext cx="1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3" name="Line 66">
            <a:extLst>
              <a:ext uri="{FF2B5EF4-FFF2-40B4-BE49-F238E27FC236}">
                <a16:creationId xmlns:a16="http://schemas.microsoft.com/office/drawing/2014/main" id="{00000000-0008-0000-0800-00007D1B1000}"/>
              </a:ext>
            </a:extLst>
          </xdr:cNvPr>
          <xdr:cNvSpPr>
            <a:spLocks noChangeShapeType="1"/>
          </xdr:cNvSpPr>
        </xdr:nvSpPr>
        <xdr:spPr bwMode="auto">
          <a:xfrm>
            <a:off x="557" y="2843"/>
            <a:ext cx="0" cy="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4" name="Line 67">
            <a:extLst>
              <a:ext uri="{FF2B5EF4-FFF2-40B4-BE49-F238E27FC236}">
                <a16:creationId xmlns:a16="http://schemas.microsoft.com/office/drawing/2014/main" id="{00000000-0008-0000-0800-00007E1B1000}"/>
              </a:ext>
            </a:extLst>
          </xdr:cNvPr>
          <xdr:cNvSpPr>
            <a:spLocks noChangeShapeType="1"/>
          </xdr:cNvSpPr>
        </xdr:nvSpPr>
        <xdr:spPr bwMode="auto">
          <a:xfrm>
            <a:off x="472" y="2821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5" name="Line 68">
            <a:extLst>
              <a:ext uri="{FF2B5EF4-FFF2-40B4-BE49-F238E27FC236}">
                <a16:creationId xmlns:a16="http://schemas.microsoft.com/office/drawing/2014/main" id="{00000000-0008-0000-0800-00007F1B1000}"/>
              </a:ext>
            </a:extLst>
          </xdr:cNvPr>
          <xdr:cNvSpPr>
            <a:spLocks noChangeShapeType="1"/>
          </xdr:cNvSpPr>
        </xdr:nvSpPr>
        <xdr:spPr bwMode="auto">
          <a:xfrm>
            <a:off x="541" y="2822"/>
            <a:ext cx="0" cy="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616" name="Line 69">
            <a:extLst>
              <a:ext uri="{FF2B5EF4-FFF2-40B4-BE49-F238E27FC236}">
                <a16:creationId xmlns:a16="http://schemas.microsoft.com/office/drawing/2014/main" id="{00000000-0008-0000-0800-0000801B1000}"/>
              </a:ext>
            </a:extLst>
          </xdr:cNvPr>
          <xdr:cNvSpPr>
            <a:spLocks noChangeShapeType="1"/>
          </xdr:cNvSpPr>
        </xdr:nvSpPr>
        <xdr:spPr bwMode="auto">
          <a:xfrm>
            <a:off x="471" y="2825"/>
            <a:ext cx="7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 type="triangle" w="sm" len="lg"/>
            <a:tailEnd type="triangle" w="sm" len="lg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055617" name="Group 70">
            <a:extLst>
              <a:ext uri="{FF2B5EF4-FFF2-40B4-BE49-F238E27FC236}">
                <a16:creationId xmlns:a16="http://schemas.microsoft.com/office/drawing/2014/main" id="{00000000-0008-0000-0800-0000811B1000}"/>
              </a:ext>
            </a:extLst>
          </xdr:cNvPr>
          <xdr:cNvGrpSpPr>
            <a:grpSpLocks/>
          </xdr:cNvGrpSpPr>
        </xdr:nvGrpSpPr>
        <xdr:grpSpPr bwMode="auto">
          <a:xfrm>
            <a:off x="530" y="2836"/>
            <a:ext cx="10" cy="6"/>
            <a:chOff x="545" y="3239"/>
            <a:chExt cx="10" cy="6"/>
          </a:xfrm>
        </xdr:grpSpPr>
        <xdr:sp macro="" textlink="">
          <xdr:nvSpPr>
            <xdr:cNvPr id="1055636" name="Line 71">
              <a:extLst>
                <a:ext uri="{FF2B5EF4-FFF2-40B4-BE49-F238E27FC236}">
                  <a16:creationId xmlns:a16="http://schemas.microsoft.com/office/drawing/2014/main" id="{00000000-0008-0000-0800-000094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37" name="Line 72">
              <a:extLst>
                <a:ext uri="{FF2B5EF4-FFF2-40B4-BE49-F238E27FC236}">
                  <a16:creationId xmlns:a16="http://schemas.microsoft.com/office/drawing/2014/main" id="{00000000-0008-0000-0800-000095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18" name="Group 73">
            <a:extLst>
              <a:ext uri="{FF2B5EF4-FFF2-40B4-BE49-F238E27FC236}">
                <a16:creationId xmlns:a16="http://schemas.microsoft.com/office/drawing/2014/main" id="{00000000-0008-0000-0800-0000821B1000}"/>
              </a:ext>
            </a:extLst>
          </xdr:cNvPr>
          <xdr:cNvGrpSpPr>
            <a:grpSpLocks/>
          </xdr:cNvGrpSpPr>
        </xdr:nvGrpSpPr>
        <xdr:grpSpPr bwMode="auto">
          <a:xfrm>
            <a:off x="463" y="2868"/>
            <a:ext cx="7" cy="9"/>
            <a:chOff x="653" y="3197"/>
            <a:chExt cx="7" cy="9"/>
          </a:xfrm>
        </xdr:grpSpPr>
        <xdr:sp macro="" textlink="">
          <xdr:nvSpPr>
            <xdr:cNvPr id="1055634" name="Line 74">
              <a:extLst>
                <a:ext uri="{FF2B5EF4-FFF2-40B4-BE49-F238E27FC236}">
                  <a16:creationId xmlns:a16="http://schemas.microsoft.com/office/drawing/2014/main" id="{00000000-0008-0000-0800-000092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35" name="Line 75">
              <a:extLst>
                <a:ext uri="{FF2B5EF4-FFF2-40B4-BE49-F238E27FC236}">
                  <a16:creationId xmlns:a16="http://schemas.microsoft.com/office/drawing/2014/main" id="{00000000-0008-0000-0800-000093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19" name="Group 76">
            <a:extLst>
              <a:ext uri="{FF2B5EF4-FFF2-40B4-BE49-F238E27FC236}">
                <a16:creationId xmlns:a16="http://schemas.microsoft.com/office/drawing/2014/main" id="{00000000-0008-0000-0800-0000831B1000}"/>
              </a:ext>
            </a:extLst>
          </xdr:cNvPr>
          <xdr:cNvGrpSpPr>
            <a:grpSpLocks/>
          </xdr:cNvGrpSpPr>
        </xdr:nvGrpSpPr>
        <xdr:grpSpPr bwMode="auto">
          <a:xfrm>
            <a:off x="464" y="2846"/>
            <a:ext cx="7" cy="9"/>
            <a:chOff x="653" y="3197"/>
            <a:chExt cx="7" cy="9"/>
          </a:xfrm>
        </xdr:grpSpPr>
        <xdr:sp macro="" textlink="">
          <xdr:nvSpPr>
            <xdr:cNvPr id="1055632" name="Line 77">
              <a:extLst>
                <a:ext uri="{FF2B5EF4-FFF2-40B4-BE49-F238E27FC236}">
                  <a16:creationId xmlns:a16="http://schemas.microsoft.com/office/drawing/2014/main" id="{00000000-0008-0000-0800-000090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33" name="Line 78">
              <a:extLst>
                <a:ext uri="{FF2B5EF4-FFF2-40B4-BE49-F238E27FC236}">
                  <a16:creationId xmlns:a16="http://schemas.microsoft.com/office/drawing/2014/main" id="{00000000-0008-0000-0800-000091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20" name="Group 79">
            <a:extLst>
              <a:ext uri="{FF2B5EF4-FFF2-40B4-BE49-F238E27FC236}">
                <a16:creationId xmlns:a16="http://schemas.microsoft.com/office/drawing/2014/main" id="{00000000-0008-0000-0800-0000841B1000}"/>
              </a:ext>
            </a:extLst>
          </xdr:cNvPr>
          <xdr:cNvGrpSpPr>
            <a:grpSpLocks/>
          </xdr:cNvGrpSpPr>
        </xdr:nvGrpSpPr>
        <xdr:grpSpPr bwMode="auto">
          <a:xfrm>
            <a:off x="463" y="2892"/>
            <a:ext cx="7" cy="9"/>
            <a:chOff x="653" y="3197"/>
            <a:chExt cx="7" cy="9"/>
          </a:xfrm>
        </xdr:grpSpPr>
        <xdr:sp macro="" textlink="">
          <xdr:nvSpPr>
            <xdr:cNvPr id="1055630" name="Line 80">
              <a:extLst>
                <a:ext uri="{FF2B5EF4-FFF2-40B4-BE49-F238E27FC236}">
                  <a16:creationId xmlns:a16="http://schemas.microsoft.com/office/drawing/2014/main" id="{00000000-0008-0000-0800-00008E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5" y="3197"/>
              <a:ext cx="5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31" name="Line 81">
              <a:extLst>
                <a:ext uri="{FF2B5EF4-FFF2-40B4-BE49-F238E27FC236}">
                  <a16:creationId xmlns:a16="http://schemas.microsoft.com/office/drawing/2014/main" id="{00000000-0008-0000-0800-00008F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53" y="3197"/>
              <a:ext cx="7" cy="9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21" name="Group 82">
            <a:extLst>
              <a:ext uri="{FF2B5EF4-FFF2-40B4-BE49-F238E27FC236}">
                <a16:creationId xmlns:a16="http://schemas.microsoft.com/office/drawing/2014/main" id="{00000000-0008-0000-0800-0000851B1000}"/>
              </a:ext>
            </a:extLst>
          </xdr:cNvPr>
          <xdr:cNvGrpSpPr>
            <a:grpSpLocks/>
          </xdr:cNvGrpSpPr>
        </xdr:nvGrpSpPr>
        <xdr:grpSpPr bwMode="auto">
          <a:xfrm>
            <a:off x="511" y="2837"/>
            <a:ext cx="10" cy="6"/>
            <a:chOff x="545" y="3239"/>
            <a:chExt cx="10" cy="6"/>
          </a:xfrm>
        </xdr:grpSpPr>
        <xdr:sp macro="" textlink="">
          <xdr:nvSpPr>
            <xdr:cNvPr id="1055628" name="Line 83">
              <a:extLst>
                <a:ext uri="{FF2B5EF4-FFF2-40B4-BE49-F238E27FC236}">
                  <a16:creationId xmlns:a16="http://schemas.microsoft.com/office/drawing/2014/main" id="{00000000-0008-0000-0800-00008C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29" name="Line 84">
              <a:extLst>
                <a:ext uri="{FF2B5EF4-FFF2-40B4-BE49-F238E27FC236}">
                  <a16:creationId xmlns:a16="http://schemas.microsoft.com/office/drawing/2014/main" id="{00000000-0008-0000-0800-00008D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22" name="Group 85">
            <a:extLst>
              <a:ext uri="{FF2B5EF4-FFF2-40B4-BE49-F238E27FC236}">
                <a16:creationId xmlns:a16="http://schemas.microsoft.com/office/drawing/2014/main" id="{00000000-0008-0000-0800-0000861B1000}"/>
              </a:ext>
            </a:extLst>
          </xdr:cNvPr>
          <xdr:cNvGrpSpPr>
            <a:grpSpLocks/>
          </xdr:cNvGrpSpPr>
        </xdr:nvGrpSpPr>
        <xdr:grpSpPr bwMode="auto">
          <a:xfrm>
            <a:off x="474" y="2837"/>
            <a:ext cx="10" cy="6"/>
            <a:chOff x="545" y="3239"/>
            <a:chExt cx="10" cy="6"/>
          </a:xfrm>
        </xdr:grpSpPr>
        <xdr:sp macro="" textlink="">
          <xdr:nvSpPr>
            <xdr:cNvPr id="1055626" name="Line 86">
              <a:extLst>
                <a:ext uri="{FF2B5EF4-FFF2-40B4-BE49-F238E27FC236}">
                  <a16:creationId xmlns:a16="http://schemas.microsoft.com/office/drawing/2014/main" id="{00000000-0008-0000-0800-00008A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27" name="Line 87">
              <a:extLst>
                <a:ext uri="{FF2B5EF4-FFF2-40B4-BE49-F238E27FC236}">
                  <a16:creationId xmlns:a16="http://schemas.microsoft.com/office/drawing/2014/main" id="{00000000-0008-0000-0800-00008B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055623" name="Group 88">
            <a:extLst>
              <a:ext uri="{FF2B5EF4-FFF2-40B4-BE49-F238E27FC236}">
                <a16:creationId xmlns:a16="http://schemas.microsoft.com/office/drawing/2014/main" id="{00000000-0008-0000-0800-0000871B1000}"/>
              </a:ext>
            </a:extLst>
          </xdr:cNvPr>
          <xdr:cNvGrpSpPr>
            <a:grpSpLocks/>
          </xdr:cNvGrpSpPr>
        </xdr:nvGrpSpPr>
        <xdr:grpSpPr bwMode="auto">
          <a:xfrm>
            <a:off x="492" y="2836"/>
            <a:ext cx="10" cy="6"/>
            <a:chOff x="545" y="3239"/>
            <a:chExt cx="10" cy="6"/>
          </a:xfrm>
        </xdr:grpSpPr>
        <xdr:sp macro="" textlink="">
          <xdr:nvSpPr>
            <xdr:cNvPr id="1055624" name="Line 89">
              <a:extLst>
                <a:ext uri="{FF2B5EF4-FFF2-40B4-BE49-F238E27FC236}">
                  <a16:creationId xmlns:a16="http://schemas.microsoft.com/office/drawing/2014/main" id="{00000000-0008-0000-0800-0000881B1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545" y="3239"/>
              <a:ext cx="9" cy="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55625" name="Line 90">
              <a:extLst>
                <a:ext uri="{FF2B5EF4-FFF2-40B4-BE49-F238E27FC236}">
                  <a16:creationId xmlns:a16="http://schemas.microsoft.com/office/drawing/2014/main" id="{00000000-0008-0000-0800-0000891B1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46" y="3240"/>
              <a:ext cx="9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0</xdr:col>
      <xdr:colOff>292421</xdr:colOff>
      <xdr:row>140</xdr:row>
      <xdr:rowOff>244292</xdr:rowOff>
    </xdr:from>
    <xdr:to>
      <xdr:col>8</xdr:col>
      <xdr:colOff>426351</xdr:colOff>
      <xdr:row>159</xdr:row>
      <xdr:rowOff>55697</xdr:rowOff>
    </xdr:to>
    <xdr:grpSp>
      <xdr:nvGrpSpPr>
        <xdr:cNvPr id="1055527" name="Group 174">
          <a:extLst>
            <a:ext uri="{FF2B5EF4-FFF2-40B4-BE49-F238E27FC236}">
              <a16:creationId xmlns:a16="http://schemas.microsoft.com/office/drawing/2014/main" id="{00000000-0008-0000-0800-0000271B1000}"/>
            </a:ext>
          </a:extLst>
        </xdr:cNvPr>
        <xdr:cNvGrpSpPr>
          <a:grpSpLocks/>
        </xdr:cNvGrpSpPr>
      </xdr:nvGrpSpPr>
      <xdr:grpSpPr bwMode="auto">
        <a:xfrm>
          <a:off x="292421" y="36013842"/>
          <a:ext cx="6191830" cy="4516755"/>
          <a:chOff x="67" y="3604"/>
          <a:chExt cx="476" cy="354"/>
        </a:xfrm>
      </xdr:grpSpPr>
      <xdr:sp macro="" textlink="">
        <xdr:nvSpPr>
          <xdr:cNvPr id="1055545" name="Rectangle 175">
            <a:extLst>
              <a:ext uri="{FF2B5EF4-FFF2-40B4-BE49-F238E27FC236}">
                <a16:creationId xmlns:a16="http://schemas.microsoft.com/office/drawing/2014/main" id="{00000000-0008-0000-0800-0000391B1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09"/>
            <a:ext cx="336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546" name="Rectangle 176">
            <a:extLst>
              <a:ext uri="{FF2B5EF4-FFF2-40B4-BE49-F238E27FC236}">
                <a16:creationId xmlns:a16="http://schemas.microsoft.com/office/drawing/2014/main" id="{00000000-0008-0000-0800-00003A1B1000}"/>
              </a:ext>
            </a:extLst>
          </xdr:cNvPr>
          <xdr:cNvSpPr>
            <a:spLocks noChangeArrowheads="1"/>
          </xdr:cNvSpPr>
        </xdr:nvSpPr>
        <xdr:spPr bwMode="auto">
          <a:xfrm>
            <a:off x="147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547" name="Rectangle 177">
            <a:extLst>
              <a:ext uri="{FF2B5EF4-FFF2-40B4-BE49-F238E27FC236}">
                <a16:creationId xmlns:a16="http://schemas.microsoft.com/office/drawing/2014/main" id="{00000000-0008-0000-0800-00003B1B1000}"/>
              </a:ext>
            </a:extLst>
          </xdr:cNvPr>
          <xdr:cNvSpPr>
            <a:spLocks noChangeArrowheads="1"/>
          </xdr:cNvSpPr>
        </xdr:nvSpPr>
        <xdr:spPr bwMode="auto">
          <a:xfrm>
            <a:off x="302" y="3609"/>
            <a:ext cx="22" cy="348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548" name="Rectangle 178">
            <a:extLst>
              <a:ext uri="{FF2B5EF4-FFF2-40B4-BE49-F238E27FC236}">
                <a16:creationId xmlns:a16="http://schemas.microsoft.com/office/drawing/2014/main" id="{00000000-0008-0000-0800-00003C1B1000}"/>
              </a:ext>
            </a:extLst>
          </xdr:cNvPr>
          <xdr:cNvSpPr>
            <a:spLocks noChangeArrowheads="1"/>
          </xdr:cNvSpPr>
        </xdr:nvSpPr>
        <xdr:spPr bwMode="auto">
          <a:xfrm>
            <a:off x="67" y="3854"/>
            <a:ext cx="33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549" name="Rectangle 179">
            <a:extLst>
              <a:ext uri="{FF2B5EF4-FFF2-40B4-BE49-F238E27FC236}">
                <a16:creationId xmlns:a16="http://schemas.microsoft.com/office/drawing/2014/main" id="{00000000-0008-0000-0800-00003D1B1000}"/>
              </a:ext>
            </a:extLst>
          </xdr:cNvPr>
          <xdr:cNvSpPr>
            <a:spLocks noChangeArrowheads="1"/>
          </xdr:cNvSpPr>
        </xdr:nvSpPr>
        <xdr:spPr bwMode="auto">
          <a:xfrm>
            <a:off x="67" y="3688"/>
            <a:ext cx="33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550" name="Rectangle 180">
            <a:extLst>
              <a:ext uri="{FF2B5EF4-FFF2-40B4-BE49-F238E27FC236}">
                <a16:creationId xmlns:a16="http://schemas.microsoft.com/office/drawing/2014/main" id="{00000000-0008-0000-0800-00003E1B1000}"/>
              </a:ext>
            </a:extLst>
          </xdr:cNvPr>
          <xdr:cNvSpPr>
            <a:spLocks noChangeArrowheads="1"/>
          </xdr:cNvSpPr>
        </xdr:nvSpPr>
        <xdr:spPr bwMode="auto">
          <a:xfrm>
            <a:off x="207" y="3749"/>
            <a:ext cx="61" cy="62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55551" name="Line 181">
            <a:extLst>
              <a:ext uri="{FF2B5EF4-FFF2-40B4-BE49-F238E27FC236}">
                <a16:creationId xmlns:a16="http://schemas.microsoft.com/office/drawing/2014/main" id="{00000000-0008-0000-0800-00003F1B1000}"/>
              </a:ext>
            </a:extLst>
          </xdr:cNvPr>
          <xdr:cNvSpPr>
            <a:spLocks noChangeShapeType="1"/>
          </xdr:cNvSpPr>
        </xdr:nvSpPr>
        <xdr:spPr bwMode="auto">
          <a:xfrm>
            <a:off x="324" y="3875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2" name="Line 182">
            <a:extLst>
              <a:ext uri="{FF2B5EF4-FFF2-40B4-BE49-F238E27FC236}">
                <a16:creationId xmlns:a16="http://schemas.microsoft.com/office/drawing/2014/main" id="{00000000-0008-0000-0800-000040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4" y="3785"/>
            <a:ext cx="79" cy="7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3" name="Line 183">
            <a:extLst>
              <a:ext uri="{FF2B5EF4-FFF2-40B4-BE49-F238E27FC236}">
                <a16:creationId xmlns:a16="http://schemas.microsoft.com/office/drawing/2014/main" id="{00000000-0008-0000-0800-0000411B1000}"/>
              </a:ext>
            </a:extLst>
          </xdr:cNvPr>
          <xdr:cNvSpPr>
            <a:spLocks noChangeShapeType="1"/>
          </xdr:cNvSpPr>
        </xdr:nvSpPr>
        <xdr:spPr bwMode="auto">
          <a:xfrm>
            <a:off x="267" y="3811"/>
            <a:ext cx="36" cy="4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4" name="Line 184">
            <a:extLst>
              <a:ext uri="{FF2B5EF4-FFF2-40B4-BE49-F238E27FC236}">
                <a16:creationId xmlns:a16="http://schemas.microsoft.com/office/drawing/2014/main" id="{00000000-0008-0000-0800-000042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7" y="3877"/>
            <a:ext cx="56" cy="8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5" name="Line 185">
            <a:extLst>
              <a:ext uri="{FF2B5EF4-FFF2-40B4-BE49-F238E27FC236}">
                <a16:creationId xmlns:a16="http://schemas.microsoft.com/office/drawing/2014/main" id="{00000000-0008-0000-0800-000043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" y="3709"/>
            <a:ext cx="34" cy="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6" name="Line 186">
            <a:extLst>
              <a:ext uri="{FF2B5EF4-FFF2-40B4-BE49-F238E27FC236}">
                <a16:creationId xmlns:a16="http://schemas.microsoft.com/office/drawing/2014/main" id="{00000000-0008-0000-0800-0000441B1000}"/>
              </a:ext>
            </a:extLst>
          </xdr:cNvPr>
          <xdr:cNvSpPr>
            <a:spLocks noChangeShapeType="1"/>
          </xdr:cNvSpPr>
        </xdr:nvSpPr>
        <xdr:spPr bwMode="auto">
          <a:xfrm>
            <a:off x="324" y="3708"/>
            <a:ext cx="79" cy="6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7" name="Line 187">
            <a:extLst>
              <a:ext uri="{FF2B5EF4-FFF2-40B4-BE49-F238E27FC236}">
                <a16:creationId xmlns:a16="http://schemas.microsoft.com/office/drawing/2014/main" id="{00000000-0008-0000-0800-000045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3" y="3608"/>
            <a:ext cx="80" cy="8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8" name="Line 188">
            <a:extLst>
              <a:ext uri="{FF2B5EF4-FFF2-40B4-BE49-F238E27FC236}">
                <a16:creationId xmlns:a16="http://schemas.microsoft.com/office/drawing/2014/main" id="{00000000-0008-0000-0800-0000461B1000}"/>
              </a:ext>
            </a:extLst>
          </xdr:cNvPr>
          <xdr:cNvSpPr>
            <a:spLocks noChangeShapeType="1"/>
          </xdr:cNvSpPr>
        </xdr:nvSpPr>
        <xdr:spPr bwMode="auto">
          <a:xfrm>
            <a:off x="236" y="3609"/>
            <a:ext cx="67" cy="8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59" name="Line 189">
            <a:extLst>
              <a:ext uri="{FF2B5EF4-FFF2-40B4-BE49-F238E27FC236}">
                <a16:creationId xmlns:a16="http://schemas.microsoft.com/office/drawing/2014/main" id="{00000000-0008-0000-0800-0000471B1000}"/>
              </a:ext>
            </a:extLst>
          </xdr:cNvPr>
          <xdr:cNvSpPr>
            <a:spLocks noChangeShapeType="1"/>
          </xdr:cNvSpPr>
        </xdr:nvSpPr>
        <xdr:spPr bwMode="auto">
          <a:xfrm>
            <a:off x="541" y="3604"/>
            <a:ext cx="0" cy="35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0" name="Line 190">
            <a:extLst>
              <a:ext uri="{FF2B5EF4-FFF2-40B4-BE49-F238E27FC236}">
                <a16:creationId xmlns:a16="http://schemas.microsoft.com/office/drawing/2014/main" id="{00000000-0008-0000-0800-0000481B1000}"/>
              </a:ext>
            </a:extLst>
          </xdr:cNvPr>
          <xdr:cNvSpPr>
            <a:spLocks noChangeShapeType="1"/>
          </xdr:cNvSpPr>
        </xdr:nvSpPr>
        <xdr:spPr bwMode="auto">
          <a:xfrm>
            <a:off x="473" y="3958"/>
            <a:ext cx="7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1" name="Line 191">
            <a:extLst>
              <a:ext uri="{FF2B5EF4-FFF2-40B4-BE49-F238E27FC236}">
                <a16:creationId xmlns:a16="http://schemas.microsoft.com/office/drawing/2014/main" id="{00000000-0008-0000-0800-000049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4" y="3865"/>
            <a:ext cx="66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2" name="Line 192">
            <a:extLst>
              <a:ext uri="{FF2B5EF4-FFF2-40B4-BE49-F238E27FC236}">
                <a16:creationId xmlns:a16="http://schemas.microsoft.com/office/drawing/2014/main" id="{00000000-0008-0000-0800-00004A1B1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90"/>
            <a:ext cx="70" cy="7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3" name="Line 193">
            <a:extLst>
              <a:ext uri="{FF2B5EF4-FFF2-40B4-BE49-F238E27FC236}">
                <a16:creationId xmlns:a16="http://schemas.microsoft.com/office/drawing/2014/main" id="{00000000-0008-0000-0800-00004B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70" y="3699"/>
            <a:ext cx="70" cy="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4" name="Line 194">
            <a:extLst>
              <a:ext uri="{FF2B5EF4-FFF2-40B4-BE49-F238E27FC236}">
                <a16:creationId xmlns:a16="http://schemas.microsoft.com/office/drawing/2014/main" id="{00000000-0008-0000-0800-00004C1B1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5" name="Line 195">
            <a:extLst>
              <a:ext uri="{FF2B5EF4-FFF2-40B4-BE49-F238E27FC236}">
                <a16:creationId xmlns:a16="http://schemas.microsoft.com/office/drawing/2014/main" id="{00000000-0008-0000-0800-00004D1B1000}"/>
              </a:ext>
            </a:extLst>
          </xdr:cNvPr>
          <xdr:cNvSpPr>
            <a:spLocks noChangeShapeType="1"/>
          </xdr:cNvSpPr>
        </xdr:nvSpPr>
        <xdr:spPr bwMode="auto">
          <a:xfrm>
            <a:off x="473" y="3604"/>
            <a:ext cx="68" cy="9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6" name="Line 196">
            <a:extLst>
              <a:ext uri="{FF2B5EF4-FFF2-40B4-BE49-F238E27FC236}">
                <a16:creationId xmlns:a16="http://schemas.microsoft.com/office/drawing/2014/main" id="{00000000-0008-0000-0800-00004E1B1000}"/>
              </a:ext>
            </a:extLst>
          </xdr:cNvPr>
          <xdr:cNvSpPr>
            <a:spLocks noChangeShapeType="1"/>
          </xdr:cNvSpPr>
        </xdr:nvSpPr>
        <xdr:spPr bwMode="auto">
          <a:xfrm>
            <a:off x="471" y="3768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67" name="Rectangle 197">
            <a:extLst>
              <a:ext uri="{FF2B5EF4-FFF2-40B4-BE49-F238E27FC236}">
                <a16:creationId xmlns:a16="http://schemas.microsoft.com/office/drawing/2014/main" id="{00000000-0008-0000-0800-00004F1B1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680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55568" name="Rectangle 198">
            <a:extLst>
              <a:ext uri="{FF2B5EF4-FFF2-40B4-BE49-F238E27FC236}">
                <a16:creationId xmlns:a16="http://schemas.microsoft.com/office/drawing/2014/main" id="{00000000-0008-0000-0800-0000501B1000}"/>
              </a:ext>
            </a:extLst>
          </xdr:cNvPr>
          <xdr:cNvSpPr>
            <a:spLocks noChangeArrowheads="1"/>
          </xdr:cNvSpPr>
        </xdr:nvSpPr>
        <xdr:spPr bwMode="auto">
          <a:xfrm>
            <a:off x="294" y="3679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55569" name="Rectangle 199">
            <a:extLst>
              <a:ext uri="{FF2B5EF4-FFF2-40B4-BE49-F238E27FC236}">
                <a16:creationId xmlns:a16="http://schemas.microsoft.com/office/drawing/2014/main" id="{00000000-0008-0000-0800-0000511B1000}"/>
              </a:ext>
            </a:extLst>
          </xdr:cNvPr>
          <xdr:cNvSpPr>
            <a:spLocks noChangeArrowheads="1"/>
          </xdr:cNvSpPr>
        </xdr:nvSpPr>
        <xdr:spPr bwMode="auto">
          <a:xfrm>
            <a:off x="292" y="3845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55570" name="Rectangle 200">
            <a:extLst>
              <a:ext uri="{FF2B5EF4-FFF2-40B4-BE49-F238E27FC236}">
                <a16:creationId xmlns:a16="http://schemas.microsoft.com/office/drawing/2014/main" id="{00000000-0008-0000-0800-0000521B1000}"/>
              </a:ext>
            </a:extLst>
          </xdr:cNvPr>
          <xdr:cNvSpPr>
            <a:spLocks noChangeArrowheads="1"/>
          </xdr:cNvSpPr>
        </xdr:nvSpPr>
        <xdr:spPr bwMode="auto">
          <a:xfrm>
            <a:off x="139" y="3844"/>
            <a:ext cx="38" cy="38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85</xdr:row>
      <xdr:rowOff>76200</xdr:rowOff>
    </xdr:from>
    <xdr:to>
      <xdr:col>9</xdr:col>
      <xdr:colOff>9525</xdr:colOff>
      <xdr:row>91</xdr:row>
      <xdr:rowOff>0</xdr:rowOff>
    </xdr:to>
    <xdr:grpSp>
      <xdr:nvGrpSpPr>
        <xdr:cNvPr id="1055528" name="Group 201">
          <a:extLst>
            <a:ext uri="{FF2B5EF4-FFF2-40B4-BE49-F238E27FC236}">
              <a16:creationId xmlns:a16="http://schemas.microsoft.com/office/drawing/2014/main" id="{00000000-0008-0000-0800-0000281B1000}"/>
            </a:ext>
          </a:extLst>
        </xdr:cNvPr>
        <xdr:cNvGrpSpPr>
          <a:grpSpLocks/>
        </xdr:cNvGrpSpPr>
      </xdr:nvGrpSpPr>
      <xdr:grpSpPr bwMode="auto">
        <a:xfrm>
          <a:off x="755650" y="21082000"/>
          <a:ext cx="6003925" cy="1409700"/>
          <a:chOff x="68" y="2526"/>
          <a:chExt cx="446" cy="100"/>
        </a:xfrm>
      </xdr:grpSpPr>
      <xdr:sp macro="" textlink="">
        <xdr:nvSpPr>
          <xdr:cNvPr id="1055533" name="Line 202">
            <a:extLst>
              <a:ext uri="{FF2B5EF4-FFF2-40B4-BE49-F238E27FC236}">
                <a16:creationId xmlns:a16="http://schemas.microsoft.com/office/drawing/2014/main" id="{00000000-0008-0000-0800-00002D1B1000}"/>
              </a:ext>
            </a:extLst>
          </xdr:cNvPr>
          <xdr:cNvSpPr>
            <a:spLocks noChangeShapeType="1"/>
          </xdr:cNvSpPr>
        </xdr:nvSpPr>
        <xdr:spPr bwMode="auto">
          <a:xfrm>
            <a:off x="69" y="2564"/>
            <a:ext cx="445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34" name="Line 203">
            <a:extLst>
              <a:ext uri="{FF2B5EF4-FFF2-40B4-BE49-F238E27FC236}">
                <a16:creationId xmlns:a16="http://schemas.microsoft.com/office/drawing/2014/main" id="{00000000-0008-0000-0800-00002E1B1000}"/>
              </a:ext>
            </a:extLst>
          </xdr:cNvPr>
          <xdr:cNvSpPr>
            <a:spLocks noChangeShapeType="1"/>
          </xdr:cNvSpPr>
        </xdr:nvSpPr>
        <xdr:spPr bwMode="auto">
          <a:xfrm>
            <a:off x="69" y="2547"/>
            <a:ext cx="0" cy="1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35" name="Line 204">
            <a:extLst>
              <a:ext uri="{FF2B5EF4-FFF2-40B4-BE49-F238E27FC236}">
                <a16:creationId xmlns:a16="http://schemas.microsoft.com/office/drawing/2014/main" id="{00000000-0008-0000-0800-00002F1B1000}"/>
              </a:ext>
            </a:extLst>
          </xdr:cNvPr>
          <xdr:cNvSpPr>
            <a:spLocks noChangeShapeType="1"/>
          </xdr:cNvSpPr>
        </xdr:nvSpPr>
        <xdr:spPr bwMode="auto">
          <a:xfrm>
            <a:off x="513" y="256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36" name="Line 205">
            <a:extLst>
              <a:ext uri="{FF2B5EF4-FFF2-40B4-BE49-F238E27FC236}">
                <a16:creationId xmlns:a16="http://schemas.microsoft.com/office/drawing/2014/main" id="{00000000-0008-0000-0800-0000301B1000}"/>
              </a:ext>
            </a:extLst>
          </xdr:cNvPr>
          <xdr:cNvSpPr>
            <a:spLocks noChangeShapeType="1"/>
          </xdr:cNvSpPr>
        </xdr:nvSpPr>
        <xdr:spPr bwMode="auto">
          <a:xfrm>
            <a:off x="70" y="2546"/>
            <a:ext cx="442" cy="4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37" name="Line 206">
            <a:extLst>
              <a:ext uri="{FF2B5EF4-FFF2-40B4-BE49-F238E27FC236}">
                <a16:creationId xmlns:a16="http://schemas.microsoft.com/office/drawing/2014/main" id="{00000000-0008-0000-0800-0000311B1000}"/>
              </a:ext>
            </a:extLst>
          </xdr:cNvPr>
          <xdr:cNvSpPr>
            <a:spLocks noChangeShapeType="1"/>
          </xdr:cNvSpPr>
        </xdr:nvSpPr>
        <xdr:spPr bwMode="auto">
          <a:xfrm>
            <a:off x="139" y="2555"/>
            <a:ext cx="0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38" name="Line 207">
            <a:extLst>
              <a:ext uri="{FF2B5EF4-FFF2-40B4-BE49-F238E27FC236}">
                <a16:creationId xmlns:a16="http://schemas.microsoft.com/office/drawing/2014/main" id="{00000000-0008-0000-0800-0000321B1000}"/>
              </a:ext>
            </a:extLst>
          </xdr:cNvPr>
          <xdr:cNvSpPr>
            <a:spLocks noChangeShapeType="1"/>
          </xdr:cNvSpPr>
        </xdr:nvSpPr>
        <xdr:spPr bwMode="auto">
          <a:xfrm>
            <a:off x="158" y="2556"/>
            <a:ext cx="0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39" name="Line 208">
            <a:extLst>
              <a:ext uri="{FF2B5EF4-FFF2-40B4-BE49-F238E27FC236}">
                <a16:creationId xmlns:a16="http://schemas.microsoft.com/office/drawing/2014/main" id="{00000000-0008-0000-0800-0000331B1000}"/>
              </a:ext>
            </a:extLst>
          </xdr:cNvPr>
          <xdr:cNvSpPr>
            <a:spLocks noChangeShapeType="1"/>
          </xdr:cNvSpPr>
        </xdr:nvSpPr>
        <xdr:spPr bwMode="auto">
          <a:xfrm>
            <a:off x="391" y="2563"/>
            <a:ext cx="0" cy="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40" name="Line 209">
            <a:extLst>
              <a:ext uri="{FF2B5EF4-FFF2-40B4-BE49-F238E27FC236}">
                <a16:creationId xmlns:a16="http://schemas.microsoft.com/office/drawing/2014/main" id="{00000000-0008-0000-0800-0000341B1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4" y="2563"/>
            <a:ext cx="1" cy="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41" name="Line 210">
            <a:extLst>
              <a:ext uri="{FF2B5EF4-FFF2-40B4-BE49-F238E27FC236}">
                <a16:creationId xmlns:a16="http://schemas.microsoft.com/office/drawing/2014/main" id="{00000000-0008-0000-0800-0000351B1000}"/>
              </a:ext>
            </a:extLst>
          </xdr:cNvPr>
          <xdr:cNvSpPr>
            <a:spLocks noChangeShapeType="1"/>
          </xdr:cNvSpPr>
        </xdr:nvSpPr>
        <xdr:spPr bwMode="auto">
          <a:xfrm>
            <a:off x="288" y="2526"/>
            <a:ext cx="0" cy="7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42" name="Line 211">
            <a:extLst>
              <a:ext uri="{FF2B5EF4-FFF2-40B4-BE49-F238E27FC236}">
                <a16:creationId xmlns:a16="http://schemas.microsoft.com/office/drawing/2014/main" id="{00000000-0008-0000-0800-0000361B1000}"/>
              </a:ext>
            </a:extLst>
          </xdr:cNvPr>
          <xdr:cNvSpPr>
            <a:spLocks noChangeShapeType="1"/>
          </xdr:cNvSpPr>
        </xdr:nvSpPr>
        <xdr:spPr bwMode="auto">
          <a:xfrm>
            <a:off x="68" y="2626"/>
            <a:ext cx="4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43" name="Line 212">
            <a:extLst>
              <a:ext uri="{FF2B5EF4-FFF2-40B4-BE49-F238E27FC236}">
                <a16:creationId xmlns:a16="http://schemas.microsoft.com/office/drawing/2014/main" id="{00000000-0008-0000-0800-0000371B1000}"/>
              </a:ext>
            </a:extLst>
          </xdr:cNvPr>
          <xdr:cNvSpPr>
            <a:spLocks noChangeShapeType="1"/>
          </xdr:cNvSpPr>
        </xdr:nvSpPr>
        <xdr:spPr bwMode="auto">
          <a:xfrm>
            <a:off x="227" y="2609"/>
            <a:ext cx="28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5544" name="Line 213">
            <a:extLst>
              <a:ext uri="{FF2B5EF4-FFF2-40B4-BE49-F238E27FC236}">
                <a16:creationId xmlns:a16="http://schemas.microsoft.com/office/drawing/2014/main" id="{00000000-0008-0000-0800-0000381B1000}"/>
              </a:ext>
            </a:extLst>
          </xdr:cNvPr>
          <xdr:cNvSpPr>
            <a:spLocks noChangeShapeType="1"/>
          </xdr:cNvSpPr>
        </xdr:nvSpPr>
        <xdr:spPr bwMode="auto">
          <a:xfrm>
            <a:off x="227" y="2594"/>
            <a:ext cx="5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178</xdr:row>
          <xdr:rowOff>184150</xdr:rowOff>
        </xdr:from>
        <xdr:to>
          <xdr:col>11</xdr:col>
          <xdr:colOff>323850</xdr:colOff>
          <xdr:row>186</xdr:row>
          <xdr:rowOff>38100</xdr:rowOff>
        </xdr:to>
        <xdr:sp macro="" textlink="">
          <xdr:nvSpPr>
            <xdr:cNvPr id="381967" name="Object 15" hidden="1">
              <a:extLst>
                <a:ext uri="{63B3BB69-23CF-44E3-9099-C40C66FF867C}">
                  <a14:compatExt spid="_x0000_s381967"/>
                </a:ext>
                <a:ext uri="{FF2B5EF4-FFF2-40B4-BE49-F238E27FC236}">
                  <a16:creationId xmlns:a16="http://schemas.microsoft.com/office/drawing/2014/main" id="{00000000-0008-0000-0800-00000F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431800</xdr:colOff>
          <xdr:row>224</xdr:row>
          <xdr:rowOff>209550</xdr:rowOff>
        </xdr:from>
        <xdr:to>
          <xdr:col>11</xdr:col>
          <xdr:colOff>152400</xdr:colOff>
          <xdr:row>231</xdr:row>
          <xdr:rowOff>12700</xdr:rowOff>
        </xdr:to>
        <xdr:sp macro="" textlink="">
          <xdr:nvSpPr>
            <xdr:cNvPr id="381968" name="Object 16" hidden="1">
              <a:extLst>
                <a:ext uri="{63B3BB69-23CF-44E3-9099-C40C66FF867C}">
                  <a14:compatExt spid="_x0000_s381968"/>
                </a:ext>
                <a:ext uri="{FF2B5EF4-FFF2-40B4-BE49-F238E27FC236}">
                  <a16:creationId xmlns:a16="http://schemas.microsoft.com/office/drawing/2014/main" id="{00000000-0008-0000-0800-000010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278153</xdr:colOff>
      <xdr:row>122</xdr:row>
      <xdr:rowOff>39191</xdr:rowOff>
    </xdr:from>
    <xdr:to>
      <xdr:col>11</xdr:col>
      <xdr:colOff>20813</xdr:colOff>
      <xdr:row>128</xdr:row>
      <xdr:rowOff>230419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8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73" y="28637051"/>
          <a:ext cx="1845781" cy="18828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478486</xdr:colOff>
      <xdr:row>161</xdr:row>
      <xdr:rowOff>243200</xdr:rowOff>
    </xdr:from>
    <xdr:to>
      <xdr:col>19</xdr:col>
      <xdr:colOff>38714</xdr:colOff>
      <xdr:row>170</xdr:row>
      <xdr:rowOff>115058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63051" y="38508852"/>
          <a:ext cx="3544163" cy="2309831"/>
        </a:xfrm>
        <a:prstGeom prst="rect">
          <a:avLst/>
        </a:prstGeom>
      </xdr:spPr>
    </xdr:pic>
    <xdr:clientData/>
  </xdr:twoCellAnchor>
  <xdr:twoCellAnchor editAs="oneCell">
    <xdr:from>
      <xdr:col>3</xdr:col>
      <xdr:colOff>317938</xdr:colOff>
      <xdr:row>176</xdr:row>
      <xdr:rowOff>10905</xdr:rowOff>
    </xdr:from>
    <xdr:to>
      <xdr:col>5</xdr:col>
      <xdr:colOff>475510</xdr:colOff>
      <xdr:row>177</xdr:row>
      <xdr:rowOff>3050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3" name="Object 13">
              <a:extLst>
                <a:ext uri="{FF2B5EF4-FFF2-40B4-BE49-F238E27FC236}">
                  <a16:creationId xmlns:a16="http://schemas.microsoft.com/office/drawing/2014/main" id="{00000000-0008-0000-0800-0000B7000000}"/>
                </a:ext>
              </a:extLst>
            </xdr:cNvPr>
            <xdr:cNvSpPr txBox="1"/>
          </xdr:nvSpPr>
          <xdr:spPr>
            <a:xfrm>
              <a:off x="2559114" y="43467317"/>
              <a:ext cx="1760238" cy="28349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𝑄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0.5∗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83" name="Object 13">
              <a:extLst>
                <a:ext uri="{FF2B5EF4-FFF2-40B4-BE49-F238E27FC236}">
                  <a16:creationId xmlns:a16="http://schemas.microsoft.com/office/drawing/2014/main" id="{00000000-0008-0000-0A00-0000B7000000}"/>
                </a:ext>
              </a:extLst>
            </xdr:cNvPr>
            <xdr:cNvSpPr txBox="1"/>
          </xdr:nvSpPr>
          <xdr:spPr>
            <a:xfrm>
              <a:off x="2559114" y="43467317"/>
              <a:ext cx="1760238" cy="28349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𝑄≤〖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0.5∗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𝜑〗_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.𝑅_𝑏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.ℎ_0=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14</xdr:col>
      <xdr:colOff>638857</xdr:colOff>
      <xdr:row>176</xdr:row>
      <xdr:rowOff>85260</xdr:rowOff>
    </xdr:from>
    <xdr:to>
      <xdr:col>15</xdr:col>
      <xdr:colOff>593229</xdr:colOff>
      <xdr:row>177</xdr:row>
      <xdr:rowOff>95451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4" name="Object 12">
              <a:extLst>
                <a:ext uri="{FF2B5EF4-FFF2-40B4-BE49-F238E27FC236}">
                  <a16:creationId xmlns:a16="http://schemas.microsoft.com/office/drawing/2014/main" id="{00000000-0008-0000-0800-0000B8000000}"/>
                </a:ext>
              </a:extLst>
            </xdr:cNvPr>
            <xdr:cNvSpPr txBox="1"/>
          </xdr:nvSpPr>
          <xdr:spPr>
            <a:xfrm>
              <a:off x="11392582" y="42300060"/>
              <a:ext cx="840197" cy="278796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=0.3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84" name="Object 12">
              <a:extLst>
                <a:ext uri="{FF2B5EF4-FFF2-40B4-BE49-F238E27FC236}">
                  <a16:creationId xmlns:a16="http://schemas.microsoft.com/office/drawing/2014/main" id="{00000000-0008-0000-0500-0000B8000000}"/>
                </a:ext>
              </a:extLst>
            </xdr:cNvPr>
            <xdr:cNvSpPr txBox="1"/>
          </xdr:nvSpPr>
          <xdr:spPr>
            <a:xfrm>
              <a:off x="11392582" y="42300060"/>
              <a:ext cx="840197" cy="278796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𝜑_𝑏1=0.3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16</xdr:col>
      <xdr:colOff>74876</xdr:colOff>
      <xdr:row>202</xdr:row>
      <xdr:rowOff>237315</xdr:rowOff>
    </xdr:from>
    <xdr:to>
      <xdr:col>26</xdr:col>
      <xdr:colOff>230434</xdr:colOff>
      <xdr:row>245</xdr:row>
      <xdr:rowOff>17100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15963" y="45708837"/>
          <a:ext cx="7924646" cy="6537955"/>
        </a:xfrm>
        <a:prstGeom prst="rect">
          <a:avLst/>
        </a:prstGeom>
      </xdr:spPr>
    </xdr:pic>
    <xdr:clientData/>
  </xdr:twoCellAnchor>
  <xdr:twoCellAnchor editAs="oneCell">
    <xdr:from>
      <xdr:col>9</xdr:col>
      <xdr:colOff>272592</xdr:colOff>
      <xdr:row>249</xdr:row>
      <xdr:rowOff>126174</xdr:rowOff>
    </xdr:from>
    <xdr:to>
      <xdr:col>11</xdr:col>
      <xdr:colOff>245473</xdr:colOff>
      <xdr:row>251</xdr:row>
      <xdr:rowOff>92999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8" name="Object 13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 txBox="1"/>
          </xdr:nvSpPr>
          <xdr:spPr>
            <a:xfrm>
              <a:off x="7216317" y="56923749"/>
              <a:ext cx="1334956" cy="45641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𝑄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>
                <a:solidFill>
                  <a:srgbClr val="000000"/>
                </a:solidFill>
              </a:endParaRPr>
            </a:p>
            <a:p>
              <a:endParaRPr lang="en-US"/>
            </a:p>
          </xdr:txBody>
        </xdr:sp>
      </mc:Choice>
      <mc:Fallback xmlns="">
        <xdr:sp macro="" textlink="">
          <xdr:nvSpPr>
            <xdr:cNvPr id="188" name="Object 13">
              <a:extLst>
                <a:ext uri="{FF2B5EF4-FFF2-40B4-BE49-F238E27FC236}">
                  <a16:creationId xmlns:a16="http://schemas.microsoft.com/office/drawing/2014/main" id="{00000000-0008-0000-0500-0000BC000000}"/>
                </a:ext>
              </a:extLst>
            </xdr:cNvPr>
            <xdr:cNvSpPr txBox="1"/>
          </xdr:nvSpPr>
          <xdr:spPr>
            <a:xfrm>
              <a:off x="7216317" y="56923749"/>
              <a:ext cx="1334956" cy="45641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𝑄≤𝜑_𝑏1.𝑅_𝑏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.ℎ_0</a:t>
              </a:r>
              <a:endParaRPr lang="en-US">
                <a:solidFill>
                  <a:srgbClr val="000000"/>
                </a:solidFill>
              </a:endParaRPr>
            </a:p>
            <a:p>
              <a:endParaRPr lang="en-US"/>
            </a:p>
          </xdr:txBody>
        </xdr:sp>
      </mc:Fallback>
    </mc:AlternateContent>
    <xdr:clientData/>
  </xdr:twoCellAnchor>
  <xdr:twoCellAnchor editAs="oneCell">
    <xdr:from>
      <xdr:col>12</xdr:col>
      <xdr:colOff>220463</xdr:colOff>
      <xdr:row>244</xdr:row>
      <xdr:rowOff>196964</xdr:rowOff>
    </xdr:from>
    <xdr:to>
      <xdr:col>12</xdr:col>
      <xdr:colOff>1085985</xdr:colOff>
      <xdr:row>245</xdr:row>
      <xdr:rowOff>211610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9" name="Object 12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 txBox="1"/>
          </xdr:nvSpPr>
          <xdr:spPr>
            <a:xfrm>
              <a:off x="9221588" y="56223014"/>
              <a:ext cx="857902" cy="290871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=0.3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89" name="Object 12">
              <a:extLst>
                <a:ext uri="{FF2B5EF4-FFF2-40B4-BE49-F238E27FC236}">
                  <a16:creationId xmlns:a16="http://schemas.microsoft.com/office/drawing/2014/main" id="{00000000-0008-0000-0500-0000BD000000}"/>
                </a:ext>
              </a:extLst>
            </xdr:cNvPr>
            <xdr:cNvSpPr txBox="1"/>
          </xdr:nvSpPr>
          <xdr:spPr>
            <a:xfrm>
              <a:off x="9221588" y="56223014"/>
              <a:ext cx="857902" cy="290871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𝜑_𝑏1=0.3</a:t>
              </a:r>
              <a:endParaRPr lang="en-US"/>
            </a:p>
          </xdr:txBody>
        </xdr:sp>
      </mc:Fallback>
    </mc:AlternateContent>
    <xdr:clientData/>
  </xdr:twoCellAnchor>
  <xdr:oneCellAnchor>
    <xdr:from>
      <xdr:col>4</xdr:col>
      <xdr:colOff>524029</xdr:colOff>
      <xdr:row>249</xdr:row>
      <xdr:rowOff>216610</xdr:rowOff>
    </xdr:from>
    <xdr:ext cx="1528088" cy="2575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2" name="Object 13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 txBox="1"/>
          </xdr:nvSpPr>
          <xdr:spPr>
            <a:xfrm>
              <a:off x="3505768" y="60348349"/>
              <a:ext cx="1528088" cy="257591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𝑄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92" name="Object 13">
              <a:extLst>
                <a:ext uri="{FF2B5EF4-FFF2-40B4-BE49-F238E27FC236}">
                  <a16:creationId xmlns:a16="http://schemas.microsoft.com/office/drawing/2014/main" id="{EC785BC4-6669-4EF2-B259-1AF559CBA657}"/>
                </a:ext>
              </a:extLst>
            </xdr:cNvPr>
            <xdr:cNvSpPr txBox="1"/>
          </xdr:nvSpPr>
          <xdr:spPr>
            <a:xfrm>
              <a:off x="3505768" y="60348349"/>
              <a:ext cx="1528088" cy="257591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𝑄≤𝜑_𝑏1.𝑅_𝑏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.ℎ_0=</a:t>
              </a:r>
              <a:endParaRPr lang="en-US"/>
            </a:p>
          </xdr:txBody>
        </xdr:sp>
      </mc:Fallback>
    </mc:AlternateContent>
    <xdr:clientData/>
  </xdr:oneCellAnchor>
  <xdr:twoCellAnchor editAs="oneCell">
    <xdr:from>
      <xdr:col>1</xdr:col>
      <xdr:colOff>654740</xdr:colOff>
      <xdr:row>71</xdr:row>
      <xdr:rowOff>14494</xdr:rowOff>
    </xdr:from>
    <xdr:to>
      <xdr:col>3</xdr:col>
      <xdr:colOff>28663</xdr:colOff>
      <xdr:row>72</xdr:row>
      <xdr:rowOff>152658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Object 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 txBox="1"/>
          </xdr:nvSpPr>
          <xdr:spPr>
            <a:xfrm>
              <a:off x="1400175" y="15171668"/>
              <a:ext cx="1003333" cy="41412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den>
                    </m:f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±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</m:nary>
                      </m:num>
                      <m:den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4" name="Object 1">
              <a:extLst>
                <a:ext uri="{63B3BB69-23CF-44E3-9099-C40C66FF867C}">
                  <a14:compatExt xmlns:a14="http://schemas.microsoft.com/office/drawing/2010/main" spid="_x0000_s381953"/>
                </a:ex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400175" y="15171668"/>
              <a:ext cx="1003333" cy="41412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𝑃=𝐺/𝐹±(∑▒𝑀)/𝑊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1</xdr:col>
      <xdr:colOff>460099</xdr:colOff>
      <xdr:row>165</xdr:row>
      <xdr:rowOff>31120</xdr:rowOff>
    </xdr:from>
    <xdr:to>
      <xdr:col>2</xdr:col>
      <xdr:colOff>590831</xdr:colOff>
      <xdr:row>166</xdr:row>
      <xdr:rowOff>210906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Object 7">
              <a:extLst>
                <a:ext uri="{63B3BB69-23CF-44E3-9099-C40C66FF867C}">
                  <a14:compatExt spid="_x0000_s381959"/>
                </a:ex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 txBox="1"/>
          </xdr:nvSpPr>
          <xdr:spPr>
            <a:xfrm>
              <a:off x="1200328" y="37586834"/>
              <a:ext cx="933825" cy="455739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sSubSup>
                          <m:sSubSup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9" name="Object 7">
              <a:extLst>
                <a:ext uri="{63B3BB69-23CF-44E3-9099-C40C66FF867C}">
                  <a14:compatExt xmlns:a14="http://schemas.microsoft.com/office/drawing/2010/main" spid="_x0000_s381959"/>
                </a:ex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200328" y="37586834"/>
              <a:ext cx="933825" cy="455739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𝐴=𝑀/(𝑅_𝑛 𝑏.ℎ_0^2 )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1</xdr:col>
      <xdr:colOff>447557</xdr:colOff>
      <xdr:row>169</xdr:row>
      <xdr:rowOff>45081</xdr:rowOff>
    </xdr:from>
    <xdr:to>
      <xdr:col>2</xdr:col>
      <xdr:colOff>555429</xdr:colOff>
      <xdr:row>170</xdr:row>
      <xdr:rowOff>210816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Object 10">
              <a:extLst>
                <a:ext uri="{63B3BB69-23CF-44E3-9099-C40C66FF867C}">
                  <a14:compatExt spid="_x0000_s381962"/>
                </a:ex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 txBox="1"/>
          </xdr:nvSpPr>
          <xdr:spPr>
            <a:xfrm>
              <a:off x="1187786" y="38602281"/>
              <a:ext cx="931920" cy="43406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sSubSup>
                          <m:sSubSup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1" name="Object 10">
              <a:extLst>
                <a:ext uri="{63B3BB69-23CF-44E3-9099-C40C66FF867C}">
                  <a14:compatExt xmlns:a14="http://schemas.microsoft.com/office/drawing/2010/main" spid="_x0000_s381962"/>
                </a:ex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1187786" y="38602281"/>
              <a:ext cx="931920" cy="43406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𝐴=𝑀/(𝑅_𝑛 𝑏.ℎ_0^2 )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9</xdr:col>
      <xdr:colOff>689113</xdr:colOff>
      <xdr:row>132</xdr:row>
      <xdr:rowOff>149087</xdr:rowOff>
    </xdr:from>
    <xdr:to>
      <xdr:col>11</xdr:col>
      <xdr:colOff>202939</xdr:colOff>
      <xdr:row>134</xdr:row>
      <xdr:rowOff>56231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Object 39">
              <a:extLst>
                <a:ext uri="{63B3BB69-23CF-44E3-9099-C40C66FF867C}">
                  <a14:compatExt spid="_x0000_s381991"/>
                </a:ex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:cNvPr>
            <xdr:cNvSpPr txBox="1"/>
          </xdr:nvSpPr>
          <xdr:spPr>
            <a:xfrm>
              <a:off x="7679635" y="32451261"/>
              <a:ext cx="933824" cy="447644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sSubSup>
                          <m:sSubSup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e>
                          <m:sub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4" name="Object 39">
              <a:extLst>
                <a:ext uri="{63B3BB69-23CF-44E3-9099-C40C66FF867C}">
                  <a14:compatExt xmlns:a14="http://schemas.microsoft.com/office/drawing/2010/main" spid="_x0000_s381991"/>
                </a:ex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 txBox="1"/>
          </xdr:nvSpPr>
          <xdr:spPr>
            <a:xfrm>
              <a:off x="7679635" y="32451261"/>
              <a:ext cx="933824" cy="447644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𝐴=𝑀/(𝑅_𝑛 𝑏.ℎ_0^2 )</a:t>
              </a:r>
              <a:endParaRPr lang="en-US"/>
            </a:p>
          </xdr:txBody>
        </xdr:sp>
      </mc:Fallback>
    </mc:AlternateContent>
    <xdr:clientData/>
  </xdr:twoCellAnchor>
  <xdr:twoCellAnchor>
    <xdr:from>
      <xdr:col>1</xdr:col>
      <xdr:colOff>476087</xdr:colOff>
      <xdr:row>59</xdr:row>
      <xdr:rowOff>172470</xdr:rowOff>
    </xdr:from>
    <xdr:to>
      <xdr:col>5</xdr:col>
      <xdr:colOff>152401</xdr:colOff>
      <xdr:row>61</xdr:row>
      <xdr:rowOff>112643</xdr:rowOff>
    </xdr:to>
    <xdr:pic>
      <xdr:nvPicPr>
        <xdr:cNvPr id="198" name="Picture 4221974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8209" y="12510244"/>
          <a:ext cx="2797201" cy="4437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569843</xdr:colOff>
      <xdr:row>59</xdr:row>
      <xdr:rowOff>172942</xdr:rowOff>
    </xdr:from>
    <xdr:to>
      <xdr:col>11</xdr:col>
      <xdr:colOff>398558</xdr:colOff>
      <xdr:row>61</xdr:row>
      <xdr:rowOff>110324</xdr:rowOff>
    </xdr:to>
    <xdr:pic>
      <xdr:nvPicPr>
        <xdr:cNvPr id="200" name="Picture 4221973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3868" y="15489142"/>
          <a:ext cx="2705265" cy="4898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190500</xdr:colOff>
      <xdr:row>65</xdr:row>
      <xdr:rowOff>38100</xdr:rowOff>
    </xdr:from>
    <xdr:to>
      <xdr:col>14</xdr:col>
      <xdr:colOff>704105</xdr:colOff>
      <xdr:row>66</xdr:row>
      <xdr:rowOff>50165</xdr:rowOff>
    </xdr:to>
    <xdr:sp macro="" textlink="">
      <xdr:nvSpPr>
        <xdr:cNvPr id="381998" name="AutoShape 46">
          <a:extLst>
            <a:ext uri="{FF2B5EF4-FFF2-40B4-BE49-F238E27FC236}">
              <a16:creationId xmlns:a16="http://schemas.microsoft.com/office/drawing/2014/main" id="{00000000-0008-0000-0800-00002ED40500}"/>
            </a:ext>
          </a:extLst>
        </xdr:cNvPr>
        <xdr:cNvSpPr>
          <a:spLocks noChangeAspect="1" noChangeArrowheads="1"/>
        </xdr:cNvSpPr>
      </xdr:nvSpPr>
      <xdr:spPr bwMode="auto">
        <a:xfrm>
          <a:off x="9364980" y="13868400"/>
          <a:ext cx="279654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195948</xdr:colOff>
      <xdr:row>79</xdr:row>
      <xdr:rowOff>130632</xdr:rowOff>
    </xdr:from>
    <xdr:to>
      <xdr:col>5</xdr:col>
      <xdr:colOff>256908</xdr:colOff>
      <xdr:row>79</xdr:row>
      <xdr:rowOff>130632</xdr:rowOff>
    </xdr:to>
    <xdr:sp macro="" textlink="">
      <xdr:nvSpPr>
        <xdr:cNvPr id="182" name="Line 234">
          <a:extLst>
            <a:ext uri="{FF2B5EF4-FFF2-40B4-BE49-F238E27FC236}">
              <a16:creationId xmlns:a16="http://schemas.microsoft.com/office/drawing/2014/main" id="{00000000-0008-0000-0800-0000B6000000}"/>
            </a:ext>
          </a:extLst>
        </xdr:cNvPr>
        <xdr:cNvSpPr>
          <a:spLocks noChangeShapeType="1"/>
        </xdr:cNvSpPr>
      </xdr:nvSpPr>
      <xdr:spPr bwMode="auto">
        <a:xfrm>
          <a:off x="4049491" y="18255346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195949</xdr:colOff>
      <xdr:row>80</xdr:row>
      <xdr:rowOff>108863</xdr:rowOff>
    </xdr:from>
    <xdr:to>
      <xdr:col>5</xdr:col>
      <xdr:colOff>256909</xdr:colOff>
      <xdr:row>80</xdr:row>
      <xdr:rowOff>108863</xdr:rowOff>
    </xdr:to>
    <xdr:sp macro="" textlink="">
      <xdr:nvSpPr>
        <xdr:cNvPr id="185" name="Line 23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SpPr>
          <a:spLocks noChangeShapeType="1"/>
        </xdr:cNvSpPr>
      </xdr:nvSpPr>
      <xdr:spPr bwMode="auto">
        <a:xfrm>
          <a:off x="4049492" y="17634863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82</xdr:row>
      <xdr:rowOff>0</xdr:rowOff>
    </xdr:from>
    <xdr:to>
      <xdr:col>6</xdr:col>
      <xdr:colOff>60960</xdr:colOff>
      <xdr:row>82</xdr:row>
      <xdr:rowOff>0</xdr:rowOff>
    </xdr:to>
    <xdr:sp macro="" textlink="">
      <xdr:nvSpPr>
        <xdr:cNvPr id="186" name="Line 234">
          <a:extLst>
            <a:ext uri="{FF2B5EF4-FFF2-40B4-BE49-F238E27FC236}">
              <a16:creationId xmlns:a16="http://schemas.microsoft.com/office/drawing/2014/main" id="{00000000-0008-0000-0800-0000BA000000}"/>
            </a:ext>
          </a:extLst>
        </xdr:cNvPr>
        <xdr:cNvSpPr>
          <a:spLocks noChangeShapeType="1"/>
        </xdr:cNvSpPr>
      </xdr:nvSpPr>
      <xdr:spPr bwMode="auto">
        <a:xfrm>
          <a:off x="4702629" y="18026743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152404</xdr:colOff>
      <xdr:row>80</xdr:row>
      <xdr:rowOff>130631</xdr:rowOff>
    </xdr:from>
    <xdr:to>
      <xdr:col>7</xdr:col>
      <xdr:colOff>213364</xdr:colOff>
      <xdr:row>80</xdr:row>
      <xdr:rowOff>130631</xdr:rowOff>
    </xdr:to>
    <xdr:sp macro="" textlink="">
      <xdr:nvSpPr>
        <xdr:cNvPr id="187" name="Line 234">
          <a:extLst>
            <a:ext uri="{FF2B5EF4-FFF2-40B4-BE49-F238E27FC236}">
              <a16:creationId xmlns:a16="http://schemas.microsoft.com/office/drawing/2014/main" id="{00000000-0008-0000-0800-0000BB000000}"/>
            </a:ext>
          </a:extLst>
        </xdr:cNvPr>
        <xdr:cNvSpPr>
          <a:spLocks noChangeShapeType="1"/>
        </xdr:cNvSpPr>
      </xdr:nvSpPr>
      <xdr:spPr bwMode="auto">
        <a:xfrm>
          <a:off x="5595261" y="17656631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152400</xdr:colOff>
      <xdr:row>79</xdr:row>
      <xdr:rowOff>130626</xdr:rowOff>
    </xdr:from>
    <xdr:to>
      <xdr:col>7</xdr:col>
      <xdr:colOff>213360</xdr:colOff>
      <xdr:row>79</xdr:row>
      <xdr:rowOff>130626</xdr:rowOff>
    </xdr:to>
    <xdr:sp macro="" textlink="">
      <xdr:nvSpPr>
        <xdr:cNvPr id="190" name="Line 234">
          <a:extLst>
            <a:ext uri="{FF2B5EF4-FFF2-40B4-BE49-F238E27FC236}">
              <a16:creationId xmlns:a16="http://schemas.microsoft.com/office/drawing/2014/main" id="{00000000-0008-0000-0800-0000BE000000}"/>
            </a:ext>
          </a:extLst>
        </xdr:cNvPr>
        <xdr:cNvSpPr>
          <a:spLocks noChangeShapeType="1"/>
        </xdr:cNvSpPr>
      </xdr:nvSpPr>
      <xdr:spPr bwMode="auto">
        <a:xfrm>
          <a:off x="5595257" y="17406255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97970</xdr:colOff>
      <xdr:row>79</xdr:row>
      <xdr:rowOff>141511</xdr:rowOff>
    </xdr:from>
    <xdr:to>
      <xdr:col>9</xdr:col>
      <xdr:colOff>158930</xdr:colOff>
      <xdr:row>79</xdr:row>
      <xdr:rowOff>141511</xdr:rowOff>
    </xdr:to>
    <xdr:sp macro="" textlink="">
      <xdr:nvSpPr>
        <xdr:cNvPr id="191" name="Line 234">
          <a:extLst>
            <a:ext uri="{FF2B5EF4-FFF2-40B4-BE49-F238E27FC236}">
              <a16:creationId xmlns:a16="http://schemas.microsoft.com/office/drawing/2014/main" id="{00000000-0008-0000-0800-0000BF000000}"/>
            </a:ext>
          </a:extLst>
        </xdr:cNvPr>
        <xdr:cNvSpPr>
          <a:spLocks noChangeShapeType="1"/>
        </xdr:cNvSpPr>
      </xdr:nvSpPr>
      <xdr:spPr bwMode="auto">
        <a:xfrm>
          <a:off x="7032170" y="17417140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97967</xdr:colOff>
      <xdr:row>80</xdr:row>
      <xdr:rowOff>119742</xdr:rowOff>
    </xdr:from>
    <xdr:to>
      <xdr:col>9</xdr:col>
      <xdr:colOff>158927</xdr:colOff>
      <xdr:row>80</xdr:row>
      <xdr:rowOff>119742</xdr:rowOff>
    </xdr:to>
    <xdr:sp macro="" textlink="">
      <xdr:nvSpPr>
        <xdr:cNvPr id="193" name="Line 234">
          <a:extLst>
            <a:ext uri="{FF2B5EF4-FFF2-40B4-BE49-F238E27FC236}">
              <a16:creationId xmlns:a16="http://schemas.microsoft.com/office/drawing/2014/main" id="{00000000-0008-0000-0800-0000C1000000}"/>
            </a:ext>
          </a:extLst>
        </xdr:cNvPr>
        <xdr:cNvSpPr>
          <a:spLocks noChangeShapeType="1"/>
        </xdr:cNvSpPr>
      </xdr:nvSpPr>
      <xdr:spPr bwMode="auto">
        <a:xfrm>
          <a:off x="7032167" y="17645742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314325</xdr:colOff>
      <xdr:row>139</xdr:row>
      <xdr:rowOff>1905</xdr:rowOff>
    </xdr:from>
    <xdr:to>
      <xdr:col>4</xdr:col>
      <xdr:colOff>577850</xdr:colOff>
      <xdr:row>139</xdr:row>
      <xdr:rowOff>266465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4" name="Object 13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 txBox="1"/>
          </xdr:nvSpPr>
          <xdr:spPr>
            <a:xfrm>
              <a:off x="1743075" y="33120330"/>
              <a:ext cx="1771650" cy="264560"/>
            </a:xfrm>
            <a:prstGeom prst="rect">
              <a:avLst/>
            </a:prstGeom>
          </xdr:spPr>
          <xdr:txBody>
            <a:bodyPr vertOverflow="clip" horzOverflow="clip" wrap="squar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𝑄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0.5∗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194" name="Object 13">
              <a:extLst>
                <a:ext uri="{FF2B5EF4-FFF2-40B4-BE49-F238E27FC236}">
                  <a16:creationId xmlns:a16="http://schemas.microsoft.com/office/drawing/2014/main" id="{00000000-0008-0000-0C00-0000C2000000}"/>
                </a:ext>
              </a:extLst>
            </xdr:cNvPr>
            <xdr:cNvSpPr txBox="1"/>
          </xdr:nvSpPr>
          <xdr:spPr>
            <a:xfrm>
              <a:off x="1743075" y="33120330"/>
              <a:ext cx="1771650" cy="264560"/>
            </a:xfrm>
            <a:prstGeom prst="rect">
              <a:avLst/>
            </a:prstGeom>
          </xdr:spPr>
          <xdr:txBody>
            <a:bodyPr vertOverflow="clip" horzOverflow="clip" wrap="squar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𝑄≤〖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0.5∗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𝜑〗_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.𝑅_𝑏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.ℎ_0=</a:t>
              </a:r>
              <a:endParaRPr lang="en-US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 editAs="oneCell">
    <xdr:from>
      <xdr:col>4</xdr:col>
      <xdr:colOff>0</xdr:colOff>
      <xdr:row>243</xdr:row>
      <xdr:rowOff>266700</xdr:rowOff>
    </xdr:from>
    <xdr:to>
      <xdr:col>6</xdr:col>
      <xdr:colOff>63592</xdr:colOff>
      <xdr:row>244</xdr:row>
      <xdr:rowOff>254400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5" name="Object 1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 txBox="1"/>
          </xdr:nvSpPr>
          <xdr:spPr>
            <a:xfrm>
              <a:off x="3009900" y="56016525"/>
              <a:ext cx="1771107" cy="266465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𝑄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0.5∗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.</m:t>
                    </m:r>
                    <m:sSub>
                      <m:sSub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US"/>
            </a:p>
          </xdr:txBody>
        </xdr:sp>
      </mc:Choice>
      <mc:Fallback xmlns="">
        <xdr:sp macro="" textlink="">
          <xdr:nvSpPr>
            <xdr:cNvPr id="195" name="Object 13">
              <a:extLst>
                <a:ext uri="{FF2B5EF4-FFF2-40B4-BE49-F238E27FC236}">
                  <a16:creationId xmlns:a16="http://schemas.microsoft.com/office/drawing/2014/main" id="{74129A12-CD1F-4A49-8A3E-0480F03E5981}"/>
                </a:ext>
              </a:extLst>
            </xdr:cNvPr>
            <xdr:cNvSpPr txBox="1"/>
          </xdr:nvSpPr>
          <xdr:spPr>
            <a:xfrm>
              <a:off x="3009900" y="56016525"/>
              <a:ext cx="1771107" cy="266465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𝑄≤〖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0.5∗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𝜑〗_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.𝑅_𝑏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.ℎ_0=</a:t>
              </a:r>
              <a:endParaRPr lang="en-US"/>
            </a:p>
          </xdr:txBody>
        </xdr:sp>
      </mc:Fallback>
    </mc:AlternateContent>
    <xdr:clientData/>
  </xdr:twoCellAnchor>
  <xdr:twoCellAnchor editAs="oneCell">
    <xdr:from>
      <xdr:col>1</xdr:col>
      <xdr:colOff>171450</xdr:colOff>
      <xdr:row>189</xdr:row>
      <xdr:rowOff>19050</xdr:rowOff>
    </xdr:from>
    <xdr:to>
      <xdr:col>1</xdr:col>
      <xdr:colOff>721409</xdr:colOff>
      <xdr:row>190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Object 6">
              <a:extLst>
                <a:ext uri="{63B3BB69-23CF-44E3-9099-C40C66FF867C}">
                  <a14:compatExt spid="_x0000_s381958"/>
                </a:ex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923925" y="46377225"/>
              <a:ext cx="549959" cy="257175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𝑙</m:t>
                      </m:r>
                    </m:e>
                    <m:sub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ℎ</m:t>
                  </m:r>
                </m:oMath>
              </a14:m>
              <a:r>
                <a:rPr lang="en-US"/>
                <a:t> =</a:t>
              </a:r>
            </a:p>
          </xdr:txBody>
        </xdr:sp>
      </mc:Choice>
      <mc:Fallback xmlns="">
        <xdr:sp macro="" textlink="">
          <xdr:nvSpPr>
            <xdr:cNvPr id="5" name="Object 6">
              <a:extLst>
                <a:ext uri="{63B3BB69-23CF-44E3-9099-C40C66FF867C}">
                  <a14:compatExt xmlns:a14="http://schemas.microsoft.com/office/drawing/2010/main" spid="_x0000_s381958"/>
                </a:ext>
                <a:ext uri="{FF2B5EF4-FFF2-40B4-BE49-F238E27FC236}">
                  <a16:creationId xmlns:a16="http://schemas.microsoft.com/office/drawing/2014/main" id="{9AB77074-97B5-46F3-AB2C-B6C0EB9BCBA2}"/>
                </a:ext>
              </a:extLst>
            </xdr:cNvPr>
            <xdr:cNvSpPr txBox="1"/>
          </xdr:nvSpPr>
          <xdr:spPr>
            <a:xfrm>
              <a:off x="923925" y="46377225"/>
              <a:ext cx="549959" cy="257175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𝑙_𝑜/ℎ</a:t>
              </a:r>
              <a:r>
                <a:rPr lang="en-US"/>
                <a:t> =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5</xdr:row>
      <xdr:rowOff>222388</xdr:rowOff>
    </xdr:from>
    <xdr:to>
      <xdr:col>8</xdr:col>
      <xdr:colOff>228602</xdr:colOff>
      <xdr:row>38</xdr:row>
      <xdr:rowOff>1763</xdr:rowOff>
    </xdr:to>
    <xdr:grpSp>
      <xdr:nvGrpSpPr>
        <xdr:cNvPr id="381991" name="Group 39">
          <a:extLst>
            <a:ext uri="{FF2B5EF4-FFF2-40B4-BE49-F238E27FC236}">
              <a16:creationId xmlns:a16="http://schemas.microsoft.com/office/drawing/2014/main" id="{00000000-0008-0000-0800-000027D40500}"/>
            </a:ext>
          </a:extLst>
        </xdr:cNvPr>
        <xdr:cNvGrpSpPr>
          <a:grpSpLocks noChangeAspect="1"/>
        </xdr:cNvGrpSpPr>
      </xdr:nvGrpSpPr>
      <xdr:grpSpPr bwMode="auto">
        <a:xfrm>
          <a:off x="0" y="1327288"/>
          <a:ext cx="6286502" cy="7907375"/>
          <a:chOff x="688" y="189"/>
          <a:chExt cx="406" cy="494"/>
        </a:xfrm>
      </xdr:grpSpPr>
      <xdr:grpSp>
        <xdr:nvGrpSpPr>
          <xdr:cNvPr id="382192" name="Group 240">
            <a:extLst>
              <a:ext uri="{FF2B5EF4-FFF2-40B4-BE49-F238E27FC236}">
                <a16:creationId xmlns:a16="http://schemas.microsoft.com/office/drawing/2014/main" id="{00000000-0008-0000-0800-0000F0D40500}"/>
              </a:ext>
            </a:extLst>
          </xdr:cNvPr>
          <xdr:cNvGrpSpPr>
            <a:grpSpLocks/>
          </xdr:cNvGrpSpPr>
        </xdr:nvGrpSpPr>
        <xdr:grpSpPr bwMode="auto">
          <a:xfrm>
            <a:off x="688" y="189"/>
            <a:ext cx="406" cy="494"/>
            <a:chOff x="688" y="189"/>
            <a:chExt cx="406" cy="494"/>
          </a:xfrm>
        </xdr:grpSpPr>
        <xdr:sp macro="" textlink="">
          <xdr:nvSpPr>
            <xdr:cNvPr id="381992" name="Line 40">
              <a:extLst>
                <a:ext uri="{FF2B5EF4-FFF2-40B4-BE49-F238E27FC236}">
                  <a16:creationId xmlns:a16="http://schemas.microsoft.com/office/drawing/2014/main" id="{00000000-0008-0000-0800-000028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302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1993" name="Line 41">
              <a:extLst>
                <a:ext uri="{FF2B5EF4-FFF2-40B4-BE49-F238E27FC236}">
                  <a16:creationId xmlns:a16="http://schemas.microsoft.com/office/drawing/2014/main" id="{00000000-0008-0000-0800-000029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252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1994" name="Line 42">
              <a:extLst>
                <a:ext uri="{FF2B5EF4-FFF2-40B4-BE49-F238E27FC236}">
                  <a16:creationId xmlns:a16="http://schemas.microsoft.com/office/drawing/2014/main" id="{00000000-0008-0000-0800-00002A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05" y="258"/>
              <a:ext cx="0" cy="3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1995" name="Freeform 43">
              <a:extLst>
                <a:ext uri="{FF2B5EF4-FFF2-40B4-BE49-F238E27FC236}">
                  <a16:creationId xmlns:a16="http://schemas.microsoft.com/office/drawing/2014/main" id="{00000000-0008-0000-0800-00002BD40500}"/>
                </a:ext>
              </a:extLst>
            </xdr:cNvPr>
            <xdr:cNvSpPr>
              <a:spLocks/>
            </xdr:cNvSpPr>
          </xdr:nvSpPr>
          <xdr:spPr bwMode="auto">
            <a:xfrm>
              <a:off x="704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997" name="Freeform 45">
              <a:extLst>
                <a:ext uri="{FF2B5EF4-FFF2-40B4-BE49-F238E27FC236}">
                  <a16:creationId xmlns:a16="http://schemas.microsoft.com/office/drawing/2014/main" id="{00000000-0008-0000-0800-00002DD40500}"/>
                </a:ext>
              </a:extLst>
            </xdr:cNvPr>
            <xdr:cNvSpPr>
              <a:spLocks/>
            </xdr:cNvSpPr>
          </xdr:nvSpPr>
          <xdr:spPr bwMode="auto">
            <a:xfrm>
              <a:off x="704" y="252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999" name="Line 47">
              <a:extLst>
                <a:ext uri="{FF2B5EF4-FFF2-40B4-BE49-F238E27FC236}">
                  <a16:creationId xmlns:a16="http://schemas.microsoft.com/office/drawing/2014/main" id="{00000000-0008-0000-0800-00002F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252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00" name="Line 48">
              <a:extLst>
                <a:ext uri="{FF2B5EF4-FFF2-40B4-BE49-F238E27FC236}">
                  <a16:creationId xmlns:a16="http://schemas.microsoft.com/office/drawing/2014/main" id="{00000000-0008-0000-0800-000030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214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01" name="Line 49">
              <a:extLst>
                <a:ext uri="{FF2B5EF4-FFF2-40B4-BE49-F238E27FC236}">
                  <a16:creationId xmlns:a16="http://schemas.microsoft.com/office/drawing/2014/main" id="{00000000-0008-0000-0800-000031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05" y="220"/>
              <a:ext cx="0" cy="2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02" name="Freeform 50">
              <a:extLst>
                <a:ext uri="{FF2B5EF4-FFF2-40B4-BE49-F238E27FC236}">
                  <a16:creationId xmlns:a16="http://schemas.microsoft.com/office/drawing/2014/main" id="{00000000-0008-0000-0800-000032D40500}"/>
                </a:ext>
              </a:extLst>
            </xdr:cNvPr>
            <xdr:cNvSpPr>
              <a:spLocks/>
            </xdr:cNvSpPr>
          </xdr:nvSpPr>
          <xdr:spPr bwMode="auto">
            <a:xfrm>
              <a:off x="704" y="24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04" name="Freeform 52">
              <a:extLst>
                <a:ext uri="{FF2B5EF4-FFF2-40B4-BE49-F238E27FC236}">
                  <a16:creationId xmlns:a16="http://schemas.microsoft.com/office/drawing/2014/main" id="{00000000-0008-0000-0800-000034D40500}"/>
                </a:ext>
              </a:extLst>
            </xdr:cNvPr>
            <xdr:cNvSpPr>
              <a:spLocks/>
            </xdr:cNvSpPr>
          </xdr:nvSpPr>
          <xdr:spPr bwMode="auto">
            <a:xfrm>
              <a:off x="704" y="214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06" name="Line 54">
              <a:extLst>
                <a:ext uri="{FF2B5EF4-FFF2-40B4-BE49-F238E27FC236}">
                  <a16:creationId xmlns:a16="http://schemas.microsoft.com/office/drawing/2014/main" id="{00000000-0008-0000-0800-000036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88" y="302"/>
              <a:ext cx="2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07" name="Line 55">
              <a:extLst>
                <a:ext uri="{FF2B5EF4-FFF2-40B4-BE49-F238E27FC236}">
                  <a16:creationId xmlns:a16="http://schemas.microsoft.com/office/drawing/2014/main" id="{00000000-0008-0000-0800-000037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88" y="214"/>
              <a:ext cx="2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08" name="Line 56">
              <a:extLst>
                <a:ext uri="{FF2B5EF4-FFF2-40B4-BE49-F238E27FC236}">
                  <a16:creationId xmlns:a16="http://schemas.microsoft.com/office/drawing/2014/main" id="{00000000-0008-0000-0800-000038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690" y="220"/>
              <a:ext cx="0" cy="7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09" name="Freeform 57">
              <a:extLst>
                <a:ext uri="{FF2B5EF4-FFF2-40B4-BE49-F238E27FC236}">
                  <a16:creationId xmlns:a16="http://schemas.microsoft.com/office/drawing/2014/main" id="{00000000-0008-0000-0800-000039D40500}"/>
                </a:ext>
              </a:extLst>
            </xdr:cNvPr>
            <xdr:cNvSpPr>
              <a:spLocks/>
            </xdr:cNvSpPr>
          </xdr:nvSpPr>
          <xdr:spPr bwMode="auto">
            <a:xfrm>
              <a:off x="689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10" name="Freeform 58">
              <a:extLst>
                <a:ext uri="{FF2B5EF4-FFF2-40B4-BE49-F238E27FC236}">
                  <a16:creationId xmlns:a16="http://schemas.microsoft.com/office/drawing/2014/main" id="{00000000-0008-0000-0800-00003AD40500}"/>
                </a:ext>
              </a:extLst>
            </xdr:cNvPr>
            <xdr:cNvSpPr>
              <a:spLocks/>
            </xdr:cNvSpPr>
          </xdr:nvSpPr>
          <xdr:spPr bwMode="auto">
            <a:xfrm>
              <a:off x="689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11" name="Freeform 59">
              <a:extLst>
                <a:ext uri="{FF2B5EF4-FFF2-40B4-BE49-F238E27FC236}">
                  <a16:creationId xmlns:a16="http://schemas.microsoft.com/office/drawing/2014/main" id="{00000000-0008-0000-0800-00003BD40500}"/>
                </a:ext>
              </a:extLst>
            </xdr:cNvPr>
            <xdr:cNvSpPr>
              <a:spLocks/>
            </xdr:cNvSpPr>
          </xdr:nvSpPr>
          <xdr:spPr bwMode="auto">
            <a:xfrm>
              <a:off x="689" y="214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12" name="Freeform 60">
              <a:extLst>
                <a:ext uri="{FF2B5EF4-FFF2-40B4-BE49-F238E27FC236}">
                  <a16:creationId xmlns:a16="http://schemas.microsoft.com/office/drawing/2014/main" id="{00000000-0008-0000-0800-00003CD40500}"/>
                </a:ext>
              </a:extLst>
            </xdr:cNvPr>
            <xdr:cNvSpPr>
              <a:spLocks/>
            </xdr:cNvSpPr>
          </xdr:nvSpPr>
          <xdr:spPr bwMode="auto">
            <a:xfrm>
              <a:off x="689" y="214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13" name="Line 61">
              <a:extLst>
                <a:ext uri="{FF2B5EF4-FFF2-40B4-BE49-F238E27FC236}">
                  <a16:creationId xmlns:a16="http://schemas.microsoft.com/office/drawing/2014/main" id="{00000000-0008-0000-0800-00003D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02"/>
              <a:ext cx="1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14" name="Line 62">
              <a:extLst>
                <a:ext uri="{FF2B5EF4-FFF2-40B4-BE49-F238E27FC236}">
                  <a16:creationId xmlns:a16="http://schemas.microsoft.com/office/drawing/2014/main" id="{00000000-0008-0000-0800-00003E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289"/>
              <a:ext cx="1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15" name="Line 63">
              <a:extLst>
                <a:ext uri="{FF2B5EF4-FFF2-40B4-BE49-F238E27FC236}">
                  <a16:creationId xmlns:a16="http://schemas.microsoft.com/office/drawing/2014/main" id="{00000000-0008-0000-0800-00003F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6" y="308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16" name="Line 64">
              <a:extLst>
                <a:ext uri="{FF2B5EF4-FFF2-40B4-BE49-F238E27FC236}">
                  <a16:creationId xmlns:a16="http://schemas.microsoft.com/office/drawing/2014/main" id="{00000000-0008-0000-0800-000040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6" y="277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17" name="Line 65">
              <a:extLst>
                <a:ext uri="{FF2B5EF4-FFF2-40B4-BE49-F238E27FC236}">
                  <a16:creationId xmlns:a16="http://schemas.microsoft.com/office/drawing/2014/main" id="{00000000-0008-0000-0800-000041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6" y="289"/>
              <a:ext cx="0" cy="13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18" name="Freeform 66">
              <a:extLst>
                <a:ext uri="{FF2B5EF4-FFF2-40B4-BE49-F238E27FC236}">
                  <a16:creationId xmlns:a16="http://schemas.microsoft.com/office/drawing/2014/main" id="{00000000-0008-0000-0800-000042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302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19" name="Freeform 67">
              <a:extLst>
                <a:ext uri="{FF2B5EF4-FFF2-40B4-BE49-F238E27FC236}">
                  <a16:creationId xmlns:a16="http://schemas.microsoft.com/office/drawing/2014/main" id="{00000000-0008-0000-0800-000043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302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20" name="Freeform 68">
              <a:extLst>
                <a:ext uri="{FF2B5EF4-FFF2-40B4-BE49-F238E27FC236}">
                  <a16:creationId xmlns:a16="http://schemas.microsoft.com/office/drawing/2014/main" id="{00000000-0008-0000-0800-000044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283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21" name="Freeform 69">
              <a:extLst>
                <a:ext uri="{FF2B5EF4-FFF2-40B4-BE49-F238E27FC236}">
                  <a16:creationId xmlns:a16="http://schemas.microsoft.com/office/drawing/2014/main" id="{00000000-0008-0000-0800-000045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283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22" name="Line 70">
              <a:extLst>
                <a:ext uri="{FF2B5EF4-FFF2-40B4-BE49-F238E27FC236}">
                  <a16:creationId xmlns:a16="http://schemas.microsoft.com/office/drawing/2014/main" id="{00000000-0008-0000-0800-000046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02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23" name="Line 71">
              <a:extLst>
                <a:ext uri="{FF2B5EF4-FFF2-40B4-BE49-F238E27FC236}">
                  <a16:creationId xmlns:a16="http://schemas.microsoft.com/office/drawing/2014/main" id="{00000000-0008-0000-0800-000047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274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24" name="Line 72">
              <a:extLst>
                <a:ext uri="{FF2B5EF4-FFF2-40B4-BE49-F238E27FC236}">
                  <a16:creationId xmlns:a16="http://schemas.microsoft.com/office/drawing/2014/main" id="{00000000-0008-0000-0800-000048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279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25" name="Freeform 73">
              <a:extLst>
                <a:ext uri="{FF2B5EF4-FFF2-40B4-BE49-F238E27FC236}">
                  <a16:creationId xmlns:a16="http://schemas.microsoft.com/office/drawing/2014/main" id="{00000000-0008-0000-0800-000049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26" name="Freeform 74">
              <a:extLst>
                <a:ext uri="{FF2B5EF4-FFF2-40B4-BE49-F238E27FC236}">
                  <a16:creationId xmlns:a16="http://schemas.microsoft.com/office/drawing/2014/main" id="{00000000-0008-0000-0800-00004A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27" name="Freeform 75">
              <a:extLst>
                <a:ext uri="{FF2B5EF4-FFF2-40B4-BE49-F238E27FC236}">
                  <a16:creationId xmlns:a16="http://schemas.microsoft.com/office/drawing/2014/main" id="{00000000-0008-0000-0800-00004B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274"/>
              <a:ext cx="2" cy="5"/>
            </a:xfrm>
            <a:custGeom>
              <a:avLst/>
              <a:gdLst>
                <a:gd name="T0" fmla="*/ 0 w 2"/>
                <a:gd name="T1" fmla="*/ 5 h 5"/>
                <a:gd name="T2" fmla="*/ 2 w 2"/>
                <a:gd name="T3" fmla="*/ 5 h 5"/>
                <a:gd name="T4" fmla="*/ 1 w 2"/>
                <a:gd name="T5" fmla="*/ 0 h 5"/>
                <a:gd name="T6" fmla="*/ 0 w 2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5"/>
                  </a:moveTo>
                  <a:lnTo>
                    <a:pt x="2" y="5"/>
                  </a:lnTo>
                  <a:lnTo>
                    <a:pt x="1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28" name="Freeform 76">
              <a:extLst>
                <a:ext uri="{FF2B5EF4-FFF2-40B4-BE49-F238E27FC236}">
                  <a16:creationId xmlns:a16="http://schemas.microsoft.com/office/drawing/2014/main" id="{00000000-0008-0000-0800-00004C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274"/>
              <a:ext cx="2" cy="5"/>
            </a:xfrm>
            <a:custGeom>
              <a:avLst/>
              <a:gdLst>
                <a:gd name="T0" fmla="*/ 0 w 2"/>
                <a:gd name="T1" fmla="*/ 5 h 5"/>
                <a:gd name="T2" fmla="*/ 2 w 2"/>
                <a:gd name="T3" fmla="*/ 5 h 5"/>
                <a:gd name="T4" fmla="*/ 1 w 2"/>
                <a:gd name="T5" fmla="*/ 0 h 5"/>
                <a:gd name="T6" fmla="*/ 0 w 2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5"/>
                  </a:moveTo>
                  <a:lnTo>
                    <a:pt x="2" y="5"/>
                  </a:lnTo>
                  <a:lnTo>
                    <a:pt x="1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29" name="Line 77">
              <a:extLst>
                <a:ext uri="{FF2B5EF4-FFF2-40B4-BE49-F238E27FC236}">
                  <a16:creationId xmlns:a16="http://schemas.microsoft.com/office/drawing/2014/main" id="{00000000-0008-0000-0800-00004D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309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30" name="Line 78">
              <a:extLst>
                <a:ext uri="{FF2B5EF4-FFF2-40B4-BE49-F238E27FC236}">
                  <a16:creationId xmlns:a16="http://schemas.microsoft.com/office/drawing/2014/main" id="{00000000-0008-0000-0800-00004E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309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31" name="Line 79">
              <a:extLst>
                <a:ext uri="{FF2B5EF4-FFF2-40B4-BE49-F238E27FC236}">
                  <a16:creationId xmlns:a16="http://schemas.microsoft.com/office/drawing/2014/main" id="{00000000-0008-0000-0800-00004F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318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32" name="Freeform 80">
              <a:extLst>
                <a:ext uri="{FF2B5EF4-FFF2-40B4-BE49-F238E27FC236}">
                  <a16:creationId xmlns:a16="http://schemas.microsoft.com/office/drawing/2014/main" id="{00000000-0008-0000-0800-000050D40500}"/>
                </a:ext>
              </a:extLst>
            </xdr:cNvPr>
            <xdr:cNvSpPr>
              <a:spLocks/>
            </xdr:cNvSpPr>
          </xdr:nvSpPr>
          <xdr:spPr bwMode="auto">
            <a:xfrm>
              <a:off x="721" y="317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33" name="Freeform 81">
              <a:extLst>
                <a:ext uri="{FF2B5EF4-FFF2-40B4-BE49-F238E27FC236}">
                  <a16:creationId xmlns:a16="http://schemas.microsoft.com/office/drawing/2014/main" id="{00000000-0008-0000-0800-000051D40500}"/>
                </a:ext>
              </a:extLst>
            </xdr:cNvPr>
            <xdr:cNvSpPr>
              <a:spLocks/>
            </xdr:cNvSpPr>
          </xdr:nvSpPr>
          <xdr:spPr bwMode="auto">
            <a:xfrm>
              <a:off x="721" y="317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34" name="Freeform 82">
              <a:extLst>
                <a:ext uri="{FF2B5EF4-FFF2-40B4-BE49-F238E27FC236}">
                  <a16:creationId xmlns:a16="http://schemas.microsoft.com/office/drawing/2014/main" id="{00000000-0008-0000-0800-000052D40500}"/>
                </a:ext>
              </a:extLst>
            </xdr:cNvPr>
            <xdr:cNvSpPr>
              <a:spLocks/>
            </xdr:cNvSpPr>
          </xdr:nvSpPr>
          <xdr:spPr bwMode="auto">
            <a:xfrm>
              <a:off x="1040" y="317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35" name="Freeform 83">
              <a:extLst>
                <a:ext uri="{FF2B5EF4-FFF2-40B4-BE49-F238E27FC236}">
                  <a16:creationId xmlns:a16="http://schemas.microsoft.com/office/drawing/2014/main" id="{00000000-0008-0000-0800-000053D40500}"/>
                </a:ext>
              </a:extLst>
            </xdr:cNvPr>
            <xdr:cNvSpPr>
              <a:spLocks/>
            </xdr:cNvSpPr>
          </xdr:nvSpPr>
          <xdr:spPr bwMode="auto">
            <a:xfrm>
              <a:off x="1040" y="317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36" name="Line 84">
              <a:extLst>
                <a:ext uri="{FF2B5EF4-FFF2-40B4-BE49-F238E27FC236}">
                  <a16:creationId xmlns:a16="http://schemas.microsoft.com/office/drawing/2014/main" id="{00000000-0008-0000-0800-000054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21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37" name="Line 85">
              <a:extLst>
                <a:ext uri="{FF2B5EF4-FFF2-40B4-BE49-F238E27FC236}">
                  <a16:creationId xmlns:a16="http://schemas.microsoft.com/office/drawing/2014/main" id="{00000000-0008-0000-0800-000055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00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38" name="Line 86">
              <a:extLst>
                <a:ext uri="{FF2B5EF4-FFF2-40B4-BE49-F238E27FC236}">
                  <a16:creationId xmlns:a16="http://schemas.microsoft.com/office/drawing/2014/main" id="{00000000-0008-0000-0800-000056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191"/>
              <a:ext cx="6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39" name="Freeform 87">
              <a:extLst>
                <a:ext uri="{FF2B5EF4-FFF2-40B4-BE49-F238E27FC236}">
                  <a16:creationId xmlns:a16="http://schemas.microsoft.com/office/drawing/2014/main" id="{00000000-0008-0000-0800-000057D40500}"/>
                </a:ext>
              </a:extLst>
            </xdr:cNvPr>
            <xdr:cNvSpPr>
              <a:spLocks/>
            </xdr:cNvSpPr>
          </xdr:nvSpPr>
          <xdr:spPr bwMode="auto">
            <a:xfrm>
              <a:off x="721" y="19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40" name="Freeform 88">
              <a:extLst>
                <a:ext uri="{FF2B5EF4-FFF2-40B4-BE49-F238E27FC236}">
                  <a16:creationId xmlns:a16="http://schemas.microsoft.com/office/drawing/2014/main" id="{00000000-0008-0000-0800-000058D40500}"/>
                </a:ext>
              </a:extLst>
            </xdr:cNvPr>
            <xdr:cNvSpPr>
              <a:spLocks/>
            </xdr:cNvSpPr>
          </xdr:nvSpPr>
          <xdr:spPr bwMode="auto">
            <a:xfrm>
              <a:off x="721" y="19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41" name="Freeform 89">
              <a:extLst>
                <a:ext uri="{FF2B5EF4-FFF2-40B4-BE49-F238E27FC236}">
                  <a16:creationId xmlns:a16="http://schemas.microsoft.com/office/drawing/2014/main" id="{00000000-0008-0000-0800-000059D40500}"/>
                </a:ext>
              </a:extLst>
            </xdr:cNvPr>
            <xdr:cNvSpPr>
              <a:spLocks/>
            </xdr:cNvSpPr>
          </xdr:nvSpPr>
          <xdr:spPr bwMode="auto">
            <a:xfrm>
              <a:off x="794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42" name="Freeform 90">
              <a:extLst>
                <a:ext uri="{FF2B5EF4-FFF2-40B4-BE49-F238E27FC236}">
                  <a16:creationId xmlns:a16="http://schemas.microsoft.com/office/drawing/2014/main" id="{00000000-0008-0000-0800-00005AD40500}"/>
                </a:ext>
              </a:extLst>
            </xdr:cNvPr>
            <xdr:cNvSpPr>
              <a:spLocks/>
            </xdr:cNvSpPr>
          </xdr:nvSpPr>
          <xdr:spPr bwMode="auto">
            <a:xfrm>
              <a:off x="794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43" name="Line 91">
              <a:extLst>
                <a:ext uri="{FF2B5EF4-FFF2-40B4-BE49-F238E27FC236}">
                  <a16:creationId xmlns:a16="http://schemas.microsoft.com/office/drawing/2014/main" id="{00000000-0008-0000-0800-00005B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00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44" name="Line 92">
              <a:extLst>
                <a:ext uri="{FF2B5EF4-FFF2-40B4-BE49-F238E27FC236}">
                  <a16:creationId xmlns:a16="http://schemas.microsoft.com/office/drawing/2014/main" id="{00000000-0008-0000-0800-00005C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66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45" name="Line 93">
              <a:extLst>
                <a:ext uri="{FF2B5EF4-FFF2-40B4-BE49-F238E27FC236}">
                  <a16:creationId xmlns:a16="http://schemas.microsoft.com/office/drawing/2014/main" id="{00000000-0008-0000-0800-00005D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06" y="191"/>
              <a:ext cx="15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46" name="Freeform 94">
              <a:extLst>
                <a:ext uri="{FF2B5EF4-FFF2-40B4-BE49-F238E27FC236}">
                  <a16:creationId xmlns:a16="http://schemas.microsoft.com/office/drawing/2014/main" id="{00000000-0008-0000-0800-00005ED40500}"/>
                </a:ext>
              </a:extLst>
            </xdr:cNvPr>
            <xdr:cNvSpPr>
              <a:spLocks/>
            </xdr:cNvSpPr>
          </xdr:nvSpPr>
          <xdr:spPr bwMode="auto">
            <a:xfrm>
              <a:off x="800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47" name="Freeform 95">
              <a:extLst>
                <a:ext uri="{FF2B5EF4-FFF2-40B4-BE49-F238E27FC236}">
                  <a16:creationId xmlns:a16="http://schemas.microsoft.com/office/drawing/2014/main" id="{00000000-0008-0000-0800-00005FD40500}"/>
                </a:ext>
              </a:extLst>
            </xdr:cNvPr>
            <xdr:cNvSpPr>
              <a:spLocks/>
            </xdr:cNvSpPr>
          </xdr:nvSpPr>
          <xdr:spPr bwMode="auto">
            <a:xfrm>
              <a:off x="800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48" name="Freeform 96">
              <a:extLst>
                <a:ext uri="{FF2B5EF4-FFF2-40B4-BE49-F238E27FC236}">
                  <a16:creationId xmlns:a16="http://schemas.microsoft.com/office/drawing/2014/main" id="{00000000-0008-0000-0800-000060D40500}"/>
                </a:ext>
              </a:extLst>
            </xdr:cNvPr>
            <xdr:cNvSpPr>
              <a:spLocks/>
            </xdr:cNvSpPr>
          </xdr:nvSpPr>
          <xdr:spPr bwMode="auto">
            <a:xfrm>
              <a:off x="960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49" name="Freeform 97">
              <a:extLst>
                <a:ext uri="{FF2B5EF4-FFF2-40B4-BE49-F238E27FC236}">
                  <a16:creationId xmlns:a16="http://schemas.microsoft.com/office/drawing/2014/main" id="{00000000-0008-0000-0800-000061D40500}"/>
                </a:ext>
              </a:extLst>
            </xdr:cNvPr>
            <xdr:cNvSpPr>
              <a:spLocks/>
            </xdr:cNvSpPr>
          </xdr:nvSpPr>
          <xdr:spPr bwMode="auto">
            <a:xfrm>
              <a:off x="960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50" name="Line 98">
              <a:extLst>
                <a:ext uri="{FF2B5EF4-FFF2-40B4-BE49-F238E27FC236}">
                  <a16:creationId xmlns:a16="http://schemas.microsoft.com/office/drawing/2014/main" id="{00000000-0008-0000-0800-000062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66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51" name="Line 99">
              <a:extLst>
                <a:ext uri="{FF2B5EF4-FFF2-40B4-BE49-F238E27FC236}">
                  <a16:creationId xmlns:a16="http://schemas.microsoft.com/office/drawing/2014/main" id="{00000000-0008-0000-0800-000063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45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52" name="Line 100">
              <a:extLst>
                <a:ext uri="{FF2B5EF4-FFF2-40B4-BE49-F238E27FC236}">
                  <a16:creationId xmlns:a16="http://schemas.microsoft.com/office/drawing/2014/main" id="{00000000-0008-0000-0800-000064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72" y="191"/>
              <a:ext cx="6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53" name="Freeform 101">
              <a:extLst>
                <a:ext uri="{FF2B5EF4-FFF2-40B4-BE49-F238E27FC236}">
                  <a16:creationId xmlns:a16="http://schemas.microsoft.com/office/drawing/2014/main" id="{00000000-0008-0000-0800-000065D40500}"/>
                </a:ext>
              </a:extLst>
            </xdr:cNvPr>
            <xdr:cNvSpPr>
              <a:spLocks/>
            </xdr:cNvSpPr>
          </xdr:nvSpPr>
          <xdr:spPr bwMode="auto">
            <a:xfrm>
              <a:off x="966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54" name="Freeform 102">
              <a:extLst>
                <a:ext uri="{FF2B5EF4-FFF2-40B4-BE49-F238E27FC236}">
                  <a16:creationId xmlns:a16="http://schemas.microsoft.com/office/drawing/2014/main" id="{00000000-0008-0000-0800-000066D40500}"/>
                </a:ext>
              </a:extLst>
            </xdr:cNvPr>
            <xdr:cNvSpPr>
              <a:spLocks/>
            </xdr:cNvSpPr>
          </xdr:nvSpPr>
          <xdr:spPr bwMode="auto">
            <a:xfrm>
              <a:off x="966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55" name="Freeform 103">
              <a:extLst>
                <a:ext uri="{FF2B5EF4-FFF2-40B4-BE49-F238E27FC236}">
                  <a16:creationId xmlns:a16="http://schemas.microsoft.com/office/drawing/2014/main" id="{00000000-0008-0000-0800-000067D40500}"/>
                </a:ext>
              </a:extLst>
            </xdr:cNvPr>
            <xdr:cNvSpPr>
              <a:spLocks/>
            </xdr:cNvSpPr>
          </xdr:nvSpPr>
          <xdr:spPr bwMode="auto">
            <a:xfrm>
              <a:off x="1040" y="19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56" name="Freeform 104">
              <a:extLst>
                <a:ext uri="{FF2B5EF4-FFF2-40B4-BE49-F238E27FC236}">
                  <a16:creationId xmlns:a16="http://schemas.microsoft.com/office/drawing/2014/main" id="{00000000-0008-0000-0800-000068D40500}"/>
                </a:ext>
              </a:extLst>
            </xdr:cNvPr>
            <xdr:cNvSpPr>
              <a:spLocks/>
            </xdr:cNvSpPr>
          </xdr:nvSpPr>
          <xdr:spPr bwMode="auto">
            <a:xfrm>
              <a:off x="1040" y="19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57" name="Line 105">
              <a:extLst>
                <a:ext uri="{FF2B5EF4-FFF2-40B4-BE49-F238E27FC236}">
                  <a16:creationId xmlns:a16="http://schemas.microsoft.com/office/drawing/2014/main" id="{00000000-0008-0000-0800-000069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83" y="214"/>
              <a:ext cx="0" cy="8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58" name="Freeform 106">
              <a:extLst>
                <a:ext uri="{FF2B5EF4-FFF2-40B4-BE49-F238E27FC236}">
                  <a16:creationId xmlns:a16="http://schemas.microsoft.com/office/drawing/2014/main" id="{00000000-0008-0000-0800-00006AD40500}"/>
                </a:ext>
              </a:extLst>
            </xdr:cNvPr>
            <xdr:cNvSpPr>
              <a:spLocks/>
            </xdr:cNvSpPr>
          </xdr:nvSpPr>
          <xdr:spPr bwMode="auto">
            <a:xfrm>
              <a:off x="877" y="208"/>
              <a:ext cx="17" cy="11"/>
            </a:xfrm>
            <a:custGeom>
              <a:avLst/>
              <a:gdLst>
                <a:gd name="T0" fmla="*/ 0 w 17"/>
                <a:gd name="T1" fmla="*/ 11 h 11"/>
                <a:gd name="T2" fmla="*/ 13 w 17"/>
                <a:gd name="T3" fmla="*/ 0 h 11"/>
                <a:gd name="T4" fmla="*/ 17 w 17"/>
                <a:gd name="T5" fmla="*/ 4 h 11"/>
                <a:gd name="T6" fmla="*/ 9 w 17"/>
                <a:gd name="T7" fmla="*/ 3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7" h="11">
                  <a:moveTo>
                    <a:pt x="0" y="11"/>
                  </a:moveTo>
                  <a:lnTo>
                    <a:pt x="13" y="0"/>
                  </a:lnTo>
                  <a:lnTo>
                    <a:pt x="17" y="4"/>
                  </a:lnTo>
                  <a:lnTo>
                    <a:pt x="9" y="3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59" name="Freeform 107">
              <a:extLst>
                <a:ext uri="{FF2B5EF4-FFF2-40B4-BE49-F238E27FC236}">
                  <a16:creationId xmlns:a16="http://schemas.microsoft.com/office/drawing/2014/main" id="{00000000-0008-0000-0800-00006BD40500}"/>
                </a:ext>
              </a:extLst>
            </xdr:cNvPr>
            <xdr:cNvSpPr>
              <a:spLocks/>
            </xdr:cNvSpPr>
          </xdr:nvSpPr>
          <xdr:spPr bwMode="auto">
            <a:xfrm>
              <a:off x="872" y="208"/>
              <a:ext cx="17" cy="11"/>
            </a:xfrm>
            <a:custGeom>
              <a:avLst/>
              <a:gdLst>
                <a:gd name="T0" fmla="*/ 17 w 17"/>
                <a:gd name="T1" fmla="*/ 11 h 11"/>
                <a:gd name="T2" fmla="*/ 4 w 17"/>
                <a:gd name="T3" fmla="*/ 0 h 11"/>
                <a:gd name="T4" fmla="*/ 0 w 17"/>
                <a:gd name="T5" fmla="*/ 4 h 11"/>
                <a:gd name="T6" fmla="*/ 8 w 17"/>
                <a:gd name="T7" fmla="*/ 3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7" h="11">
                  <a:moveTo>
                    <a:pt x="17" y="11"/>
                  </a:moveTo>
                  <a:lnTo>
                    <a:pt x="4" y="0"/>
                  </a:lnTo>
                  <a:lnTo>
                    <a:pt x="0" y="4"/>
                  </a:lnTo>
                  <a:lnTo>
                    <a:pt x="8" y="3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0" name="Freeform 108">
              <a:extLst>
                <a:ext uri="{FF2B5EF4-FFF2-40B4-BE49-F238E27FC236}">
                  <a16:creationId xmlns:a16="http://schemas.microsoft.com/office/drawing/2014/main" id="{00000000-0008-0000-0800-00006CD40500}"/>
                </a:ext>
              </a:extLst>
            </xdr:cNvPr>
            <xdr:cNvSpPr>
              <a:spLocks/>
            </xdr:cNvSpPr>
          </xdr:nvSpPr>
          <xdr:spPr bwMode="auto">
            <a:xfrm>
              <a:off x="872" y="208"/>
              <a:ext cx="8" cy="4"/>
            </a:xfrm>
            <a:custGeom>
              <a:avLst/>
              <a:gdLst>
                <a:gd name="T0" fmla="*/ 4 w 8"/>
                <a:gd name="T1" fmla="*/ 0 h 4"/>
                <a:gd name="T2" fmla="*/ 0 w 8"/>
                <a:gd name="T3" fmla="*/ 4 h 4"/>
                <a:gd name="T4" fmla="*/ 8 w 8"/>
                <a:gd name="T5" fmla="*/ 3 h 4"/>
                <a:gd name="T6" fmla="*/ 4 w 8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8" h="4">
                  <a:moveTo>
                    <a:pt x="4" y="0"/>
                  </a:moveTo>
                  <a:lnTo>
                    <a:pt x="0" y="4"/>
                  </a:lnTo>
                  <a:lnTo>
                    <a:pt x="8" y="3"/>
                  </a:lnTo>
                  <a:lnTo>
                    <a:pt x="4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1" name="Freeform 109">
              <a:extLst>
                <a:ext uri="{FF2B5EF4-FFF2-40B4-BE49-F238E27FC236}">
                  <a16:creationId xmlns:a16="http://schemas.microsoft.com/office/drawing/2014/main" id="{00000000-0008-0000-0800-00006DD40500}"/>
                </a:ext>
              </a:extLst>
            </xdr:cNvPr>
            <xdr:cNvSpPr>
              <a:spLocks/>
            </xdr:cNvSpPr>
          </xdr:nvSpPr>
          <xdr:spPr bwMode="auto">
            <a:xfrm>
              <a:off x="791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2" name="Freeform 110">
              <a:extLst>
                <a:ext uri="{FF2B5EF4-FFF2-40B4-BE49-F238E27FC236}">
                  <a16:creationId xmlns:a16="http://schemas.microsoft.com/office/drawing/2014/main" id="{00000000-0008-0000-0800-00006ED40500}"/>
                </a:ext>
              </a:extLst>
            </xdr:cNvPr>
            <xdr:cNvSpPr>
              <a:spLocks/>
            </xdr:cNvSpPr>
          </xdr:nvSpPr>
          <xdr:spPr bwMode="auto">
            <a:xfrm>
              <a:off x="806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3" name="Freeform 111">
              <a:extLst>
                <a:ext uri="{FF2B5EF4-FFF2-40B4-BE49-F238E27FC236}">
                  <a16:creationId xmlns:a16="http://schemas.microsoft.com/office/drawing/2014/main" id="{00000000-0008-0000-0800-00006FD40500}"/>
                </a:ext>
              </a:extLst>
            </xdr:cNvPr>
            <xdr:cNvSpPr>
              <a:spLocks/>
            </xdr:cNvSpPr>
          </xdr:nvSpPr>
          <xdr:spPr bwMode="auto">
            <a:xfrm>
              <a:off x="957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4" name="Freeform 112">
              <a:extLst>
                <a:ext uri="{FF2B5EF4-FFF2-40B4-BE49-F238E27FC236}">
                  <a16:creationId xmlns:a16="http://schemas.microsoft.com/office/drawing/2014/main" id="{00000000-0008-0000-0800-000070D40500}"/>
                </a:ext>
              </a:extLst>
            </xdr:cNvPr>
            <xdr:cNvSpPr>
              <a:spLocks/>
            </xdr:cNvSpPr>
          </xdr:nvSpPr>
          <xdr:spPr bwMode="auto">
            <a:xfrm>
              <a:off x="972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5" name="Freeform 113">
              <a:extLst>
                <a:ext uri="{FF2B5EF4-FFF2-40B4-BE49-F238E27FC236}">
                  <a16:creationId xmlns:a16="http://schemas.microsoft.com/office/drawing/2014/main" id="{00000000-0008-0000-0800-000071D40500}"/>
                </a:ext>
              </a:extLst>
            </xdr:cNvPr>
            <xdr:cNvSpPr>
              <a:spLocks/>
            </xdr:cNvSpPr>
          </xdr:nvSpPr>
          <xdr:spPr bwMode="auto">
            <a:xfrm>
              <a:off x="721" y="214"/>
              <a:ext cx="324" cy="88"/>
            </a:xfrm>
            <a:custGeom>
              <a:avLst/>
              <a:gdLst>
                <a:gd name="T0" fmla="*/ 0 w 324"/>
                <a:gd name="T1" fmla="*/ 88 h 88"/>
                <a:gd name="T2" fmla="*/ 0 w 324"/>
                <a:gd name="T3" fmla="*/ 60 h 88"/>
                <a:gd name="T4" fmla="*/ 67 w 324"/>
                <a:gd name="T5" fmla="*/ 60 h 88"/>
                <a:gd name="T6" fmla="*/ 67 w 324"/>
                <a:gd name="T7" fmla="*/ 0 h 88"/>
                <a:gd name="T8" fmla="*/ 90 w 324"/>
                <a:gd name="T9" fmla="*/ 0 h 88"/>
                <a:gd name="T10" fmla="*/ 90 w 324"/>
                <a:gd name="T11" fmla="*/ 60 h 88"/>
                <a:gd name="T12" fmla="*/ 234 w 324"/>
                <a:gd name="T13" fmla="*/ 60 h 88"/>
                <a:gd name="T14" fmla="*/ 234 w 324"/>
                <a:gd name="T15" fmla="*/ 0 h 88"/>
                <a:gd name="T16" fmla="*/ 257 w 324"/>
                <a:gd name="T17" fmla="*/ 0 h 88"/>
                <a:gd name="T18" fmla="*/ 257 w 324"/>
                <a:gd name="T19" fmla="*/ 60 h 88"/>
                <a:gd name="T20" fmla="*/ 324 w 324"/>
                <a:gd name="T21" fmla="*/ 60 h 88"/>
                <a:gd name="T22" fmla="*/ 324 w 324"/>
                <a:gd name="T23" fmla="*/ 88 h 88"/>
                <a:gd name="T24" fmla="*/ 0 w 324"/>
                <a:gd name="T25" fmla="*/ 88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324" h="88">
                  <a:moveTo>
                    <a:pt x="0" y="88"/>
                  </a:moveTo>
                  <a:lnTo>
                    <a:pt x="0" y="60"/>
                  </a:lnTo>
                  <a:lnTo>
                    <a:pt x="67" y="60"/>
                  </a:lnTo>
                  <a:lnTo>
                    <a:pt x="67" y="0"/>
                  </a:lnTo>
                  <a:lnTo>
                    <a:pt x="90" y="0"/>
                  </a:lnTo>
                  <a:lnTo>
                    <a:pt x="90" y="60"/>
                  </a:lnTo>
                  <a:lnTo>
                    <a:pt x="234" y="60"/>
                  </a:lnTo>
                  <a:lnTo>
                    <a:pt x="234" y="0"/>
                  </a:lnTo>
                  <a:lnTo>
                    <a:pt x="257" y="0"/>
                  </a:lnTo>
                  <a:lnTo>
                    <a:pt x="257" y="60"/>
                  </a:lnTo>
                  <a:lnTo>
                    <a:pt x="324" y="60"/>
                  </a:lnTo>
                  <a:lnTo>
                    <a:pt x="324" y="88"/>
                  </a:lnTo>
                  <a:lnTo>
                    <a:pt x="0" y="88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6" name="Freeform 114">
              <a:extLst>
                <a:ext uri="{FF2B5EF4-FFF2-40B4-BE49-F238E27FC236}">
                  <a16:creationId xmlns:a16="http://schemas.microsoft.com/office/drawing/2014/main" id="{00000000-0008-0000-0800-000072D40500}"/>
                </a:ext>
              </a:extLst>
            </xdr:cNvPr>
            <xdr:cNvSpPr>
              <a:spLocks/>
            </xdr:cNvSpPr>
          </xdr:nvSpPr>
          <xdr:spPr bwMode="auto">
            <a:xfrm>
              <a:off x="721" y="274"/>
              <a:ext cx="324" cy="28"/>
            </a:xfrm>
            <a:custGeom>
              <a:avLst/>
              <a:gdLst>
                <a:gd name="T0" fmla="*/ 0 w 324"/>
                <a:gd name="T1" fmla="*/ 28 h 28"/>
                <a:gd name="T2" fmla="*/ 0 w 324"/>
                <a:gd name="T3" fmla="*/ 15 h 28"/>
                <a:gd name="T4" fmla="*/ 69 w 324"/>
                <a:gd name="T5" fmla="*/ 15 h 28"/>
                <a:gd name="T6" fmla="*/ 69 w 324"/>
                <a:gd name="T7" fmla="*/ 0 h 28"/>
                <a:gd name="T8" fmla="*/ 88 w 324"/>
                <a:gd name="T9" fmla="*/ 0 h 28"/>
                <a:gd name="T10" fmla="*/ 88 w 324"/>
                <a:gd name="T11" fmla="*/ 15 h 28"/>
                <a:gd name="T12" fmla="*/ 236 w 324"/>
                <a:gd name="T13" fmla="*/ 15 h 28"/>
                <a:gd name="T14" fmla="*/ 236 w 324"/>
                <a:gd name="T15" fmla="*/ 0 h 28"/>
                <a:gd name="T16" fmla="*/ 255 w 324"/>
                <a:gd name="T17" fmla="*/ 0 h 28"/>
                <a:gd name="T18" fmla="*/ 255 w 324"/>
                <a:gd name="T19" fmla="*/ 15 h 28"/>
                <a:gd name="T20" fmla="*/ 324 w 324"/>
                <a:gd name="T21" fmla="*/ 15 h 28"/>
                <a:gd name="T22" fmla="*/ 324 w 324"/>
                <a:gd name="T23" fmla="*/ 28 h 28"/>
                <a:gd name="T24" fmla="*/ 0 w 324"/>
                <a:gd name="T25" fmla="*/ 28 h 2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324" h="28">
                  <a:moveTo>
                    <a:pt x="0" y="28"/>
                  </a:moveTo>
                  <a:lnTo>
                    <a:pt x="0" y="15"/>
                  </a:lnTo>
                  <a:lnTo>
                    <a:pt x="69" y="15"/>
                  </a:lnTo>
                  <a:lnTo>
                    <a:pt x="69" y="0"/>
                  </a:lnTo>
                  <a:lnTo>
                    <a:pt x="88" y="0"/>
                  </a:lnTo>
                  <a:lnTo>
                    <a:pt x="88" y="15"/>
                  </a:lnTo>
                  <a:lnTo>
                    <a:pt x="236" y="15"/>
                  </a:lnTo>
                  <a:lnTo>
                    <a:pt x="236" y="0"/>
                  </a:lnTo>
                  <a:lnTo>
                    <a:pt x="255" y="0"/>
                  </a:lnTo>
                  <a:lnTo>
                    <a:pt x="255" y="15"/>
                  </a:lnTo>
                  <a:lnTo>
                    <a:pt x="324" y="15"/>
                  </a:lnTo>
                  <a:lnTo>
                    <a:pt x="324" y="28"/>
                  </a:lnTo>
                  <a:lnTo>
                    <a:pt x="0" y="28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67" name="Line 115">
              <a:extLst>
                <a:ext uri="{FF2B5EF4-FFF2-40B4-BE49-F238E27FC236}">
                  <a16:creationId xmlns:a16="http://schemas.microsoft.com/office/drawing/2014/main" id="{00000000-0008-0000-0800-000073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3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68" name="Line 116">
              <a:extLst>
                <a:ext uri="{FF2B5EF4-FFF2-40B4-BE49-F238E27FC236}">
                  <a16:creationId xmlns:a16="http://schemas.microsoft.com/office/drawing/2014/main" id="{00000000-0008-0000-0800-000074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7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69" name="Line 117">
              <a:extLst>
                <a:ext uri="{FF2B5EF4-FFF2-40B4-BE49-F238E27FC236}">
                  <a16:creationId xmlns:a16="http://schemas.microsoft.com/office/drawing/2014/main" id="{00000000-0008-0000-0800-000075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47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0" name="Line 118">
              <a:extLst>
                <a:ext uri="{FF2B5EF4-FFF2-40B4-BE49-F238E27FC236}">
                  <a16:creationId xmlns:a16="http://schemas.microsoft.com/office/drawing/2014/main" id="{00000000-0008-0000-0800-000076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85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1" name="Rectangle 119">
              <a:extLst>
                <a:ext uri="{FF2B5EF4-FFF2-40B4-BE49-F238E27FC236}">
                  <a16:creationId xmlns:a16="http://schemas.microsoft.com/office/drawing/2014/main" id="{00000000-0008-0000-0800-000077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0" y="289"/>
              <a:ext cx="46" cy="1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72" name="Line 120">
              <a:extLst>
                <a:ext uri="{FF2B5EF4-FFF2-40B4-BE49-F238E27FC236}">
                  <a16:creationId xmlns:a16="http://schemas.microsoft.com/office/drawing/2014/main" id="{00000000-0008-0000-0800-000078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252"/>
              <a:ext cx="1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3" name="Line 121">
              <a:extLst>
                <a:ext uri="{FF2B5EF4-FFF2-40B4-BE49-F238E27FC236}">
                  <a16:creationId xmlns:a16="http://schemas.microsoft.com/office/drawing/2014/main" id="{00000000-0008-0000-0800-000079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3" y="252"/>
              <a:ext cx="85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4" name="Line 122">
              <a:extLst>
                <a:ext uri="{FF2B5EF4-FFF2-40B4-BE49-F238E27FC236}">
                  <a16:creationId xmlns:a16="http://schemas.microsoft.com/office/drawing/2014/main" id="{00000000-0008-0000-0800-00007A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78" y="252"/>
              <a:ext cx="9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5" name="Line 123">
              <a:extLst>
                <a:ext uri="{FF2B5EF4-FFF2-40B4-BE49-F238E27FC236}">
                  <a16:creationId xmlns:a16="http://schemas.microsoft.com/office/drawing/2014/main" id="{00000000-0008-0000-0800-00007B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6" name="Line 124">
              <a:extLst>
                <a:ext uri="{FF2B5EF4-FFF2-40B4-BE49-F238E27FC236}">
                  <a16:creationId xmlns:a16="http://schemas.microsoft.com/office/drawing/2014/main" id="{00000000-0008-0000-0800-00007C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7" name="Line 125">
              <a:extLst>
                <a:ext uri="{FF2B5EF4-FFF2-40B4-BE49-F238E27FC236}">
                  <a16:creationId xmlns:a16="http://schemas.microsoft.com/office/drawing/2014/main" id="{00000000-0008-0000-0800-00007D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79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78" name="Freeform 126">
              <a:extLst>
                <a:ext uri="{FF2B5EF4-FFF2-40B4-BE49-F238E27FC236}">
                  <a16:creationId xmlns:a16="http://schemas.microsoft.com/office/drawing/2014/main" id="{00000000-0008-0000-0800-00007ED405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79" name="Freeform 127">
              <a:extLst>
                <a:ext uri="{FF2B5EF4-FFF2-40B4-BE49-F238E27FC236}">
                  <a16:creationId xmlns:a16="http://schemas.microsoft.com/office/drawing/2014/main" id="{00000000-0008-0000-0800-00007FD40500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80" name="Freeform 128">
              <a:extLst>
                <a:ext uri="{FF2B5EF4-FFF2-40B4-BE49-F238E27FC236}">
                  <a16:creationId xmlns:a16="http://schemas.microsoft.com/office/drawing/2014/main" id="{00000000-0008-0000-0800-000080D405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81" name="Freeform 129">
              <a:extLst>
                <a:ext uri="{FF2B5EF4-FFF2-40B4-BE49-F238E27FC236}">
                  <a16:creationId xmlns:a16="http://schemas.microsoft.com/office/drawing/2014/main" id="{00000000-0008-0000-0800-000081D4050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82" name="Line 130">
              <a:extLst>
                <a:ext uri="{FF2B5EF4-FFF2-40B4-BE49-F238E27FC236}">
                  <a16:creationId xmlns:a16="http://schemas.microsoft.com/office/drawing/2014/main" id="{00000000-0008-0000-0800-000082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83" name="Line 131">
              <a:extLst>
                <a:ext uri="{FF2B5EF4-FFF2-40B4-BE49-F238E27FC236}">
                  <a16:creationId xmlns:a16="http://schemas.microsoft.com/office/drawing/2014/main" id="{00000000-0008-0000-0800-000083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84" name="Line 132">
              <a:extLst>
                <a:ext uri="{FF2B5EF4-FFF2-40B4-BE49-F238E27FC236}">
                  <a16:creationId xmlns:a16="http://schemas.microsoft.com/office/drawing/2014/main" id="{00000000-0008-0000-0800-000084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588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85" name="Freeform 133">
              <a:extLst>
                <a:ext uri="{FF2B5EF4-FFF2-40B4-BE49-F238E27FC236}">
                  <a16:creationId xmlns:a16="http://schemas.microsoft.com/office/drawing/2014/main" id="{00000000-0008-0000-0800-000085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86" name="Freeform 134">
              <a:extLst>
                <a:ext uri="{FF2B5EF4-FFF2-40B4-BE49-F238E27FC236}">
                  <a16:creationId xmlns:a16="http://schemas.microsoft.com/office/drawing/2014/main" id="{00000000-0008-0000-0800-000086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87" name="Freeform 135">
              <a:extLst>
                <a:ext uri="{FF2B5EF4-FFF2-40B4-BE49-F238E27FC236}">
                  <a16:creationId xmlns:a16="http://schemas.microsoft.com/office/drawing/2014/main" id="{00000000-0008-0000-0800-000087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088" name="Freeform 136">
              <a:extLst>
                <a:ext uri="{FF2B5EF4-FFF2-40B4-BE49-F238E27FC236}">
                  <a16:creationId xmlns:a16="http://schemas.microsoft.com/office/drawing/2014/main" id="{00000000-0008-0000-0800-000088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089" name="Line 137">
              <a:extLst>
                <a:ext uri="{FF2B5EF4-FFF2-40B4-BE49-F238E27FC236}">
                  <a16:creationId xmlns:a16="http://schemas.microsoft.com/office/drawing/2014/main" id="{00000000-0008-0000-0800-000089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90" name="Line 138">
              <a:extLst>
                <a:ext uri="{FF2B5EF4-FFF2-40B4-BE49-F238E27FC236}">
                  <a16:creationId xmlns:a16="http://schemas.microsoft.com/office/drawing/2014/main" id="{00000000-0008-0000-0800-00008A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96" name="Line 144">
              <a:extLst>
                <a:ext uri="{FF2B5EF4-FFF2-40B4-BE49-F238E27FC236}">
                  <a16:creationId xmlns:a16="http://schemas.microsoft.com/office/drawing/2014/main" id="{00000000-0008-0000-0800-000090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97" name="Line 145">
              <a:extLst>
                <a:ext uri="{FF2B5EF4-FFF2-40B4-BE49-F238E27FC236}">
                  <a16:creationId xmlns:a16="http://schemas.microsoft.com/office/drawing/2014/main" id="{00000000-0008-0000-0800-000091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98" name="Line 146">
              <a:extLst>
                <a:ext uri="{FF2B5EF4-FFF2-40B4-BE49-F238E27FC236}">
                  <a16:creationId xmlns:a16="http://schemas.microsoft.com/office/drawing/2014/main" id="{00000000-0008-0000-0800-000092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422"/>
              <a:ext cx="0" cy="13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099" name="Freeform 147">
              <a:extLst>
                <a:ext uri="{FF2B5EF4-FFF2-40B4-BE49-F238E27FC236}">
                  <a16:creationId xmlns:a16="http://schemas.microsoft.com/office/drawing/2014/main" id="{00000000-0008-0000-0800-000093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00" name="Freeform 148">
              <a:extLst>
                <a:ext uri="{FF2B5EF4-FFF2-40B4-BE49-F238E27FC236}">
                  <a16:creationId xmlns:a16="http://schemas.microsoft.com/office/drawing/2014/main" id="{00000000-0008-0000-0800-000094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01" name="Freeform 149">
              <a:extLst>
                <a:ext uri="{FF2B5EF4-FFF2-40B4-BE49-F238E27FC236}">
                  <a16:creationId xmlns:a16="http://schemas.microsoft.com/office/drawing/2014/main" id="{00000000-0008-0000-0800-000095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02" name="Freeform 150">
              <a:extLst>
                <a:ext uri="{FF2B5EF4-FFF2-40B4-BE49-F238E27FC236}">
                  <a16:creationId xmlns:a16="http://schemas.microsoft.com/office/drawing/2014/main" id="{00000000-0008-0000-0800-000096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03" name="Line 151">
              <a:extLst>
                <a:ext uri="{FF2B5EF4-FFF2-40B4-BE49-F238E27FC236}">
                  <a16:creationId xmlns:a16="http://schemas.microsoft.com/office/drawing/2014/main" id="{00000000-0008-0000-0800-000097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04" name="Line 152">
              <a:extLst>
                <a:ext uri="{FF2B5EF4-FFF2-40B4-BE49-F238E27FC236}">
                  <a16:creationId xmlns:a16="http://schemas.microsoft.com/office/drawing/2014/main" id="{00000000-0008-0000-0800-000098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10" name="Line 158">
              <a:extLst>
                <a:ext uri="{FF2B5EF4-FFF2-40B4-BE49-F238E27FC236}">
                  <a16:creationId xmlns:a16="http://schemas.microsoft.com/office/drawing/2014/main" id="{00000000-0008-0000-0800-00009E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11" name="Line 159">
              <a:extLst>
                <a:ext uri="{FF2B5EF4-FFF2-40B4-BE49-F238E27FC236}">
                  <a16:creationId xmlns:a16="http://schemas.microsoft.com/office/drawing/2014/main" id="{00000000-0008-0000-0800-00009F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12" name="Line 160">
              <a:extLst>
                <a:ext uri="{FF2B5EF4-FFF2-40B4-BE49-F238E27FC236}">
                  <a16:creationId xmlns:a16="http://schemas.microsoft.com/office/drawing/2014/main" id="{00000000-0008-0000-0800-0000A0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344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13" name="Freeform 161">
              <a:extLst>
                <a:ext uri="{FF2B5EF4-FFF2-40B4-BE49-F238E27FC236}">
                  <a16:creationId xmlns:a16="http://schemas.microsoft.com/office/drawing/2014/main" id="{00000000-0008-0000-0800-0000A1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391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15" name="Freeform 163">
              <a:extLst>
                <a:ext uri="{FF2B5EF4-FFF2-40B4-BE49-F238E27FC236}">
                  <a16:creationId xmlns:a16="http://schemas.microsoft.com/office/drawing/2014/main" id="{00000000-0008-0000-0800-0000A3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16" name="Freeform 164">
              <a:extLst>
                <a:ext uri="{FF2B5EF4-FFF2-40B4-BE49-F238E27FC236}">
                  <a16:creationId xmlns:a16="http://schemas.microsoft.com/office/drawing/2014/main" id="{00000000-0008-0000-0800-0000A4D40500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17" name="Line 165">
              <a:extLst>
                <a:ext uri="{FF2B5EF4-FFF2-40B4-BE49-F238E27FC236}">
                  <a16:creationId xmlns:a16="http://schemas.microsoft.com/office/drawing/2014/main" id="{00000000-0008-0000-0800-0000A5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18" name="Line 166">
              <a:extLst>
                <a:ext uri="{FF2B5EF4-FFF2-40B4-BE49-F238E27FC236}">
                  <a16:creationId xmlns:a16="http://schemas.microsoft.com/office/drawing/2014/main" id="{00000000-0008-0000-0800-0000A6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19" name="Line 167">
              <a:extLst>
                <a:ext uri="{FF2B5EF4-FFF2-40B4-BE49-F238E27FC236}">
                  <a16:creationId xmlns:a16="http://schemas.microsoft.com/office/drawing/2014/main" id="{00000000-0008-0000-0800-0000A7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344"/>
              <a:ext cx="0" cy="29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20" name="Freeform 168">
              <a:extLst>
                <a:ext uri="{FF2B5EF4-FFF2-40B4-BE49-F238E27FC236}">
                  <a16:creationId xmlns:a16="http://schemas.microsoft.com/office/drawing/2014/main" id="{00000000-0008-0000-0800-0000A8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21" name="Freeform 169">
              <a:extLst>
                <a:ext uri="{FF2B5EF4-FFF2-40B4-BE49-F238E27FC236}">
                  <a16:creationId xmlns:a16="http://schemas.microsoft.com/office/drawing/2014/main" id="{00000000-0008-0000-0800-0000A9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22" name="Freeform 170">
              <a:extLst>
                <a:ext uri="{FF2B5EF4-FFF2-40B4-BE49-F238E27FC236}">
                  <a16:creationId xmlns:a16="http://schemas.microsoft.com/office/drawing/2014/main" id="{00000000-0008-0000-0800-0000AA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23" name="Freeform 171">
              <a:extLst>
                <a:ext uri="{FF2B5EF4-FFF2-40B4-BE49-F238E27FC236}">
                  <a16:creationId xmlns:a16="http://schemas.microsoft.com/office/drawing/2014/main" id="{00000000-0008-0000-0800-0000ABD40500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24" name="Line 172">
              <a:extLst>
                <a:ext uri="{FF2B5EF4-FFF2-40B4-BE49-F238E27FC236}">
                  <a16:creationId xmlns:a16="http://schemas.microsoft.com/office/drawing/2014/main" id="{00000000-0008-0000-0800-0000AC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56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25" name="Line 173">
              <a:extLst>
                <a:ext uri="{FF2B5EF4-FFF2-40B4-BE49-F238E27FC236}">
                  <a16:creationId xmlns:a16="http://schemas.microsoft.com/office/drawing/2014/main" id="{00000000-0008-0000-0800-0000AD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10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26" name="Line 174">
              <a:extLst>
                <a:ext uri="{FF2B5EF4-FFF2-40B4-BE49-F238E27FC236}">
                  <a16:creationId xmlns:a16="http://schemas.microsoft.com/office/drawing/2014/main" id="{00000000-0008-0000-0800-0000AE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62" y="443"/>
              <a:ext cx="4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27" name="Freeform 175">
              <a:extLst>
                <a:ext uri="{FF2B5EF4-FFF2-40B4-BE49-F238E27FC236}">
                  <a16:creationId xmlns:a16="http://schemas.microsoft.com/office/drawing/2014/main" id="{00000000-0008-0000-0800-0000AFD405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28" name="Freeform 176">
              <a:extLst>
                <a:ext uri="{FF2B5EF4-FFF2-40B4-BE49-F238E27FC236}">
                  <a16:creationId xmlns:a16="http://schemas.microsoft.com/office/drawing/2014/main" id="{00000000-0008-0000-0800-0000B0D40500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29" name="Freeform 177">
              <a:extLst>
                <a:ext uri="{FF2B5EF4-FFF2-40B4-BE49-F238E27FC236}">
                  <a16:creationId xmlns:a16="http://schemas.microsoft.com/office/drawing/2014/main" id="{00000000-0008-0000-0800-0000B1D405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30" name="Freeform 178">
              <a:extLst>
                <a:ext uri="{FF2B5EF4-FFF2-40B4-BE49-F238E27FC236}">
                  <a16:creationId xmlns:a16="http://schemas.microsoft.com/office/drawing/2014/main" id="{00000000-0008-0000-0800-0000B2D40500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31" name="Line 179">
              <a:extLst>
                <a:ext uri="{FF2B5EF4-FFF2-40B4-BE49-F238E27FC236}">
                  <a16:creationId xmlns:a16="http://schemas.microsoft.com/office/drawing/2014/main" id="{00000000-0008-0000-0800-0000B3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516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32" name="Line 180">
              <a:extLst>
                <a:ext uri="{FF2B5EF4-FFF2-40B4-BE49-F238E27FC236}">
                  <a16:creationId xmlns:a16="http://schemas.microsoft.com/office/drawing/2014/main" id="{00000000-0008-0000-0800-0000B4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463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33" name="Line 181">
              <a:extLst>
                <a:ext uri="{FF2B5EF4-FFF2-40B4-BE49-F238E27FC236}">
                  <a16:creationId xmlns:a16="http://schemas.microsoft.com/office/drawing/2014/main" id="{00000000-0008-0000-0800-0000B5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40" y="469"/>
              <a:ext cx="0" cy="4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34" name="Freeform 182">
              <a:extLst>
                <a:ext uri="{FF2B5EF4-FFF2-40B4-BE49-F238E27FC236}">
                  <a16:creationId xmlns:a16="http://schemas.microsoft.com/office/drawing/2014/main" id="{00000000-0008-0000-0800-0000B6D405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35" name="Freeform 183">
              <a:extLst>
                <a:ext uri="{FF2B5EF4-FFF2-40B4-BE49-F238E27FC236}">
                  <a16:creationId xmlns:a16="http://schemas.microsoft.com/office/drawing/2014/main" id="{00000000-0008-0000-0800-0000B7D40500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36" name="Freeform 184">
              <a:extLst>
                <a:ext uri="{FF2B5EF4-FFF2-40B4-BE49-F238E27FC236}">
                  <a16:creationId xmlns:a16="http://schemas.microsoft.com/office/drawing/2014/main" id="{00000000-0008-0000-0800-0000B8D405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37" name="Freeform 185">
              <a:extLst>
                <a:ext uri="{FF2B5EF4-FFF2-40B4-BE49-F238E27FC236}">
                  <a16:creationId xmlns:a16="http://schemas.microsoft.com/office/drawing/2014/main" id="{00000000-0008-0000-0800-0000B9D40500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38" name="Line 186">
              <a:extLst>
                <a:ext uri="{FF2B5EF4-FFF2-40B4-BE49-F238E27FC236}">
                  <a16:creationId xmlns:a16="http://schemas.microsoft.com/office/drawing/2014/main" id="{00000000-0008-0000-0800-0000BA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8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39" name="Line 187">
              <a:extLst>
                <a:ext uri="{FF2B5EF4-FFF2-40B4-BE49-F238E27FC236}">
                  <a16:creationId xmlns:a16="http://schemas.microsoft.com/office/drawing/2014/main" id="{00000000-0008-0000-0800-0000BB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11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40" name="Line 188">
              <a:extLst>
                <a:ext uri="{FF2B5EF4-FFF2-40B4-BE49-F238E27FC236}">
                  <a16:creationId xmlns:a16="http://schemas.microsoft.com/office/drawing/2014/main" id="{00000000-0008-0000-0800-0000BC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4" y="377"/>
              <a:ext cx="1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41" name="Freeform 189">
              <a:extLst>
                <a:ext uri="{FF2B5EF4-FFF2-40B4-BE49-F238E27FC236}">
                  <a16:creationId xmlns:a16="http://schemas.microsoft.com/office/drawing/2014/main" id="{00000000-0008-0000-0800-0000BDD405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42" name="Freeform 190">
              <a:extLst>
                <a:ext uri="{FF2B5EF4-FFF2-40B4-BE49-F238E27FC236}">
                  <a16:creationId xmlns:a16="http://schemas.microsoft.com/office/drawing/2014/main" id="{00000000-0008-0000-0800-0000BED4050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43" name="Freeform 191">
              <a:extLst>
                <a:ext uri="{FF2B5EF4-FFF2-40B4-BE49-F238E27FC236}">
                  <a16:creationId xmlns:a16="http://schemas.microsoft.com/office/drawing/2014/main" id="{00000000-0008-0000-0800-0000BFD405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44" name="Freeform 192">
              <a:extLst>
                <a:ext uri="{FF2B5EF4-FFF2-40B4-BE49-F238E27FC236}">
                  <a16:creationId xmlns:a16="http://schemas.microsoft.com/office/drawing/2014/main" id="{00000000-0008-0000-0800-0000C0D40500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45" name="Line 193">
              <a:extLst>
                <a:ext uri="{FF2B5EF4-FFF2-40B4-BE49-F238E27FC236}">
                  <a16:creationId xmlns:a16="http://schemas.microsoft.com/office/drawing/2014/main" id="{00000000-0008-0000-0800-0000C1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395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46" name="Line 194">
              <a:extLst>
                <a:ext uri="{FF2B5EF4-FFF2-40B4-BE49-F238E27FC236}">
                  <a16:creationId xmlns:a16="http://schemas.microsoft.com/office/drawing/2014/main" id="{00000000-0008-0000-0800-0000C2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418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47" name="Line 195">
              <a:extLst>
                <a:ext uri="{FF2B5EF4-FFF2-40B4-BE49-F238E27FC236}">
                  <a16:creationId xmlns:a16="http://schemas.microsoft.com/office/drawing/2014/main" id="{00000000-0008-0000-0800-0000C3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70" y="401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48" name="Freeform 196">
              <a:extLst>
                <a:ext uri="{FF2B5EF4-FFF2-40B4-BE49-F238E27FC236}">
                  <a16:creationId xmlns:a16="http://schemas.microsoft.com/office/drawing/2014/main" id="{00000000-0008-0000-0800-0000C4D405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49" name="Freeform 197">
              <a:extLst>
                <a:ext uri="{FF2B5EF4-FFF2-40B4-BE49-F238E27FC236}">
                  <a16:creationId xmlns:a16="http://schemas.microsoft.com/office/drawing/2014/main" id="{00000000-0008-0000-0800-0000C5D40500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50" name="Freeform 198">
              <a:extLst>
                <a:ext uri="{FF2B5EF4-FFF2-40B4-BE49-F238E27FC236}">
                  <a16:creationId xmlns:a16="http://schemas.microsoft.com/office/drawing/2014/main" id="{00000000-0008-0000-0800-0000C6D405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51" name="Freeform 199">
              <a:extLst>
                <a:ext uri="{FF2B5EF4-FFF2-40B4-BE49-F238E27FC236}">
                  <a16:creationId xmlns:a16="http://schemas.microsoft.com/office/drawing/2014/main" id="{00000000-0008-0000-0800-0000C7D40500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52" name="Line 200">
              <a:extLst>
                <a:ext uri="{FF2B5EF4-FFF2-40B4-BE49-F238E27FC236}">
                  <a16:creationId xmlns:a16="http://schemas.microsoft.com/office/drawing/2014/main" id="{00000000-0008-0000-0800-0000C8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1" y="538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53" name="Line 201">
              <a:extLst>
                <a:ext uri="{FF2B5EF4-FFF2-40B4-BE49-F238E27FC236}">
                  <a16:creationId xmlns:a16="http://schemas.microsoft.com/office/drawing/2014/main" id="{00000000-0008-0000-0800-0000C9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90" y="538"/>
              <a:ext cx="0" cy="1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54" name="Line 202">
              <a:extLst>
                <a:ext uri="{FF2B5EF4-FFF2-40B4-BE49-F238E27FC236}">
                  <a16:creationId xmlns:a16="http://schemas.microsoft.com/office/drawing/2014/main" id="{00000000-0008-0000-0800-0000CA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9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55" name="Line 203">
              <a:extLst>
                <a:ext uri="{FF2B5EF4-FFF2-40B4-BE49-F238E27FC236}">
                  <a16:creationId xmlns:a16="http://schemas.microsoft.com/office/drawing/2014/main" id="{00000000-0008-0000-0800-0000CB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6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56" name="Line 204">
              <a:extLst>
                <a:ext uri="{FF2B5EF4-FFF2-40B4-BE49-F238E27FC236}">
                  <a16:creationId xmlns:a16="http://schemas.microsoft.com/office/drawing/2014/main" id="{00000000-0008-0000-0800-0000CC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1" y="540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57" name="Freeform 205">
              <a:extLst>
                <a:ext uri="{FF2B5EF4-FFF2-40B4-BE49-F238E27FC236}">
                  <a16:creationId xmlns:a16="http://schemas.microsoft.com/office/drawing/2014/main" id="{00000000-0008-0000-0800-0000CDD405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58" name="Freeform 206">
              <a:extLst>
                <a:ext uri="{FF2B5EF4-FFF2-40B4-BE49-F238E27FC236}">
                  <a16:creationId xmlns:a16="http://schemas.microsoft.com/office/drawing/2014/main" id="{00000000-0008-0000-0800-0000CED40500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59" name="Freeform 207">
              <a:extLst>
                <a:ext uri="{FF2B5EF4-FFF2-40B4-BE49-F238E27FC236}">
                  <a16:creationId xmlns:a16="http://schemas.microsoft.com/office/drawing/2014/main" id="{00000000-0008-0000-0800-0000CFD405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60" name="Freeform 208">
              <a:extLst>
                <a:ext uri="{FF2B5EF4-FFF2-40B4-BE49-F238E27FC236}">
                  <a16:creationId xmlns:a16="http://schemas.microsoft.com/office/drawing/2014/main" id="{00000000-0008-0000-0800-0000D0D40500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61" name="Line 209">
              <a:extLst>
                <a:ext uri="{FF2B5EF4-FFF2-40B4-BE49-F238E27FC236}">
                  <a16:creationId xmlns:a16="http://schemas.microsoft.com/office/drawing/2014/main" id="{00000000-0008-0000-0800-0000D1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63"/>
              <a:ext cx="1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62" name="Line 210">
              <a:extLst>
                <a:ext uri="{FF2B5EF4-FFF2-40B4-BE49-F238E27FC236}">
                  <a16:creationId xmlns:a16="http://schemas.microsoft.com/office/drawing/2014/main" id="{00000000-0008-0000-0800-0000D2D405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54"/>
              <a:ext cx="2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63" name="Line 211">
              <a:extLst>
                <a:ext uri="{FF2B5EF4-FFF2-40B4-BE49-F238E27FC236}">
                  <a16:creationId xmlns:a16="http://schemas.microsoft.com/office/drawing/2014/main" id="{00000000-0008-0000-0800-0000D3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8" y="569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64" name="Line 212">
              <a:extLst>
                <a:ext uri="{FF2B5EF4-FFF2-40B4-BE49-F238E27FC236}">
                  <a16:creationId xmlns:a16="http://schemas.microsoft.com/office/drawing/2014/main" id="{00000000-0008-0000-0800-0000D4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42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65" name="Line 213">
              <a:extLst>
                <a:ext uri="{FF2B5EF4-FFF2-40B4-BE49-F238E27FC236}">
                  <a16:creationId xmlns:a16="http://schemas.microsoft.com/office/drawing/2014/main" id="{00000000-0008-0000-0800-0000D5D405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54"/>
              <a:ext cx="0" cy="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66" name="Freeform 214">
              <a:extLst>
                <a:ext uri="{FF2B5EF4-FFF2-40B4-BE49-F238E27FC236}">
                  <a16:creationId xmlns:a16="http://schemas.microsoft.com/office/drawing/2014/main" id="{00000000-0008-0000-0800-0000D6D405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67" name="Freeform 215">
              <a:extLst>
                <a:ext uri="{FF2B5EF4-FFF2-40B4-BE49-F238E27FC236}">
                  <a16:creationId xmlns:a16="http://schemas.microsoft.com/office/drawing/2014/main" id="{00000000-0008-0000-0800-0000D7D40500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68" name="Freeform 216">
              <a:extLst>
                <a:ext uri="{FF2B5EF4-FFF2-40B4-BE49-F238E27FC236}">
                  <a16:creationId xmlns:a16="http://schemas.microsoft.com/office/drawing/2014/main" id="{00000000-0008-0000-0800-0000D8D405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69" name="Freeform 217">
              <a:extLst>
                <a:ext uri="{FF2B5EF4-FFF2-40B4-BE49-F238E27FC236}">
                  <a16:creationId xmlns:a16="http://schemas.microsoft.com/office/drawing/2014/main" id="{00000000-0008-0000-0800-0000D9D40500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0" name="Rectangle 218">
              <a:extLst>
                <a:ext uri="{FF2B5EF4-FFF2-40B4-BE49-F238E27FC236}">
                  <a16:creationId xmlns:a16="http://schemas.microsoft.com/office/drawing/2014/main" id="{00000000-0008-0000-0800-0000DA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21" y="338"/>
              <a:ext cx="324" cy="30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1" name="Rectangle 219">
              <a:extLst>
                <a:ext uri="{FF2B5EF4-FFF2-40B4-BE49-F238E27FC236}">
                  <a16:creationId xmlns:a16="http://schemas.microsoft.com/office/drawing/2014/main" id="{00000000-0008-0000-0800-0000DB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6" y="463"/>
              <a:ext cx="54" cy="5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2" name="Freeform 220">
              <a:extLst>
                <a:ext uri="{FF2B5EF4-FFF2-40B4-BE49-F238E27FC236}">
                  <a16:creationId xmlns:a16="http://schemas.microsoft.com/office/drawing/2014/main" id="{00000000-0008-0000-0800-0000DCD40500}"/>
                </a:ext>
              </a:extLst>
            </xdr:cNvPr>
            <xdr:cNvSpPr>
              <a:spLocks/>
            </xdr:cNvSpPr>
          </xdr:nvSpPr>
          <xdr:spPr bwMode="auto">
            <a:xfrm>
              <a:off x="721" y="583"/>
              <a:ext cx="69" cy="58"/>
            </a:xfrm>
            <a:custGeom>
              <a:avLst/>
              <a:gdLst>
                <a:gd name="T0" fmla="*/ 69 w 69"/>
                <a:gd name="T1" fmla="*/ 58 h 58"/>
                <a:gd name="T2" fmla="*/ 69 w 69"/>
                <a:gd name="T3" fmla="*/ 9 h 58"/>
                <a:gd name="T4" fmla="*/ 60 w 69"/>
                <a:gd name="T5" fmla="*/ 0 h 58"/>
                <a:gd name="T6" fmla="*/ 0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69" y="58"/>
                  </a:move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3" name="Freeform 221">
              <a:extLst>
                <a:ext uri="{FF2B5EF4-FFF2-40B4-BE49-F238E27FC236}">
                  <a16:creationId xmlns:a16="http://schemas.microsoft.com/office/drawing/2014/main" id="{00000000-0008-0000-0800-0000DDD40500}"/>
                </a:ext>
              </a:extLst>
            </xdr:cNvPr>
            <xdr:cNvSpPr>
              <a:spLocks/>
            </xdr:cNvSpPr>
          </xdr:nvSpPr>
          <xdr:spPr bwMode="auto">
            <a:xfrm>
              <a:off x="721" y="416"/>
              <a:ext cx="69" cy="147"/>
            </a:xfrm>
            <a:custGeom>
              <a:avLst/>
              <a:gdLst>
                <a:gd name="T0" fmla="*/ 0 w 69"/>
                <a:gd name="T1" fmla="*/ 147 h 147"/>
                <a:gd name="T2" fmla="*/ 60 w 69"/>
                <a:gd name="T3" fmla="*/ 147 h 147"/>
                <a:gd name="T4" fmla="*/ 69 w 69"/>
                <a:gd name="T5" fmla="*/ 138 h 147"/>
                <a:gd name="T6" fmla="*/ 69 w 69"/>
                <a:gd name="T7" fmla="*/ 9 h 147"/>
                <a:gd name="T8" fmla="*/ 60 w 69"/>
                <a:gd name="T9" fmla="*/ 0 h 147"/>
                <a:gd name="T10" fmla="*/ 0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0" y="147"/>
                  </a:moveTo>
                  <a:lnTo>
                    <a:pt x="60" y="147"/>
                  </a:lnTo>
                  <a:lnTo>
                    <a:pt x="69" y="138"/>
                  </a:ln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4" name="Freeform 222">
              <a:extLst>
                <a:ext uri="{FF2B5EF4-FFF2-40B4-BE49-F238E27FC236}">
                  <a16:creationId xmlns:a16="http://schemas.microsoft.com/office/drawing/2014/main" id="{00000000-0008-0000-0800-0000DED40500}"/>
                </a:ext>
              </a:extLst>
            </xdr:cNvPr>
            <xdr:cNvSpPr>
              <a:spLocks/>
            </xdr:cNvSpPr>
          </xdr:nvSpPr>
          <xdr:spPr bwMode="auto">
            <a:xfrm>
              <a:off x="721" y="338"/>
              <a:ext cx="69" cy="59"/>
            </a:xfrm>
            <a:custGeom>
              <a:avLst/>
              <a:gdLst>
                <a:gd name="T0" fmla="*/ 69 w 69"/>
                <a:gd name="T1" fmla="*/ 0 h 59"/>
                <a:gd name="T2" fmla="*/ 69 w 69"/>
                <a:gd name="T3" fmla="*/ 49 h 59"/>
                <a:gd name="T4" fmla="*/ 60 w 69"/>
                <a:gd name="T5" fmla="*/ 59 h 59"/>
                <a:gd name="T6" fmla="*/ 0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69" y="0"/>
                  </a:moveTo>
                  <a:lnTo>
                    <a:pt x="69" y="49"/>
                  </a:lnTo>
                  <a:lnTo>
                    <a:pt x="60" y="59"/>
                  </a:lnTo>
                  <a:lnTo>
                    <a:pt x="0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5" name="Freeform 223">
              <a:extLst>
                <a:ext uri="{FF2B5EF4-FFF2-40B4-BE49-F238E27FC236}">
                  <a16:creationId xmlns:a16="http://schemas.microsoft.com/office/drawing/2014/main" id="{00000000-0008-0000-0800-0000DFD40500}"/>
                </a:ext>
              </a:extLst>
            </xdr:cNvPr>
            <xdr:cNvSpPr>
              <a:spLocks/>
            </xdr:cNvSpPr>
          </xdr:nvSpPr>
          <xdr:spPr bwMode="auto">
            <a:xfrm>
              <a:off x="976" y="338"/>
              <a:ext cx="69" cy="59"/>
            </a:xfrm>
            <a:custGeom>
              <a:avLst/>
              <a:gdLst>
                <a:gd name="T0" fmla="*/ 0 w 69"/>
                <a:gd name="T1" fmla="*/ 0 h 59"/>
                <a:gd name="T2" fmla="*/ 0 w 69"/>
                <a:gd name="T3" fmla="*/ 49 h 59"/>
                <a:gd name="T4" fmla="*/ 9 w 69"/>
                <a:gd name="T5" fmla="*/ 59 h 59"/>
                <a:gd name="T6" fmla="*/ 69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0" y="0"/>
                  </a:moveTo>
                  <a:lnTo>
                    <a:pt x="0" y="49"/>
                  </a:lnTo>
                  <a:lnTo>
                    <a:pt x="9" y="59"/>
                  </a:lnTo>
                  <a:lnTo>
                    <a:pt x="69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6" name="Freeform 224">
              <a:extLst>
                <a:ext uri="{FF2B5EF4-FFF2-40B4-BE49-F238E27FC236}">
                  <a16:creationId xmlns:a16="http://schemas.microsoft.com/office/drawing/2014/main" id="{00000000-0008-0000-0800-0000E0D40500}"/>
                </a:ext>
              </a:extLst>
            </xdr:cNvPr>
            <xdr:cNvSpPr>
              <a:spLocks/>
            </xdr:cNvSpPr>
          </xdr:nvSpPr>
          <xdr:spPr bwMode="auto">
            <a:xfrm>
              <a:off x="976" y="583"/>
              <a:ext cx="69" cy="58"/>
            </a:xfrm>
            <a:custGeom>
              <a:avLst/>
              <a:gdLst>
                <a:gd name="T0" fmla="*/ 0 w 69"/>
                <a:gd name="T1" fmla="*/ 58 h 58"/>
                <a:gd name="T2" fmla="*/ 0 w 69"/>
                <a:gd name="T3" fmla="*/ 9 h 58"/>
                <a:gd name="T4" fmla="*/ 9 w 69"/>
                <a:gd name="T5" fmla="*/ 0 h 58"/>
                <a:gd name="T6" fmla="*/ 69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0" y="58"/>
                  </a:move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7" name="Freeform 225">
              <a:extLst>
                <a:ext uri="{FF2B5EF4-FFF2-40B4-BE49-F238E27FC236}">
                  <a16:creationId xmlns:a16="http://schemas.microsoft.com/office/drawing/2014/main" id="{00000000-0008-0000-0800-0000E1D40500}"/>
                </a:ext>
              </a:extLst>
            </xdr:cNvPr>
            <xdr:cNvSpPr>
              <a:spLocks/>
            </xdr:cNvSpPr>
          </xdr:nvSpPr>
          <xdr:spPr bwMode="auto">
            <a:xfrm>
              <a:off x="976" y="416"/>
              <a:ext cx="69" cy="147"/>
            </a:xfrm>
            <a:custGeom>
              <a:avLst/>
              <a:gdLst>
                <a:gd name="T0" fmla="*/ 69 w 69"/>
                <a:gd name="T1" fmla="*/ 147 h 147"/>
                <a:gd name="T2" fmla="*/ 9 w 69"/>
                <a:gd name="T3" fmla="*/ 147 h 147"/>
                <a:gd name="T4" fmla="*/ 0 w 69"/>
                <a:gd name="T5" fmla="*/ 138 h 147"/>
                <a:gd name="T6" fmla="*/ 0 w 69"/>
                <a:gd name="T7" fmla="*/ 9 h 147"/>
                <a:gd name="T8" fmla="*/ 9 w 69"/>
                <a:gd name="T9" fmla="*/ 0 h 147"/>
                <a:gd name="T10" fmla="*/ 69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69" y="147"/>
                  </a:moveTo>
                  <a:lnTo>
                    <a:pt x="9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8" name="Freeform 226">
              <a:extLst>
                <a:ext uri="{FF2B5EF4-FFF2-40B4-BE49-F238E27FC236}">
                  <a16:creationId xmlns:a16="http://schemas.microsoft.com/office/drawing/2014/main" id="{00000000-0008-0000-0800-0000E2D40500}"/>
                </a:ext>
              </a:extLst>
            </xdr:cNvPr>
            <xdr:cNvSpPr>
              <a:spLocks/>
            </xdr:cNvSpPr>
          </xdr:nvSpPr>
          <xdr:spPr bwMode="auto">
            <a:xfrm>
              <a:off x="809" y="338"/>
              <a:ext cx="148" cy="59"/>
            </a:xfrm>
            <a:custGeom>
              <a:avLst/>
              <a:gdLst>
                <a:gd name="T0" fmla="*/ 0 w 148"/>
                <a:gd name="T1" fmla="*/ 0 h 59"/>
                <a:gd name="T2" fmla="*/ 0 w 148"/>
                <a:gd name="T3" fmla="*/ 49 h 59"/>
                <a:gd name="T4" fmla="*/ 10 w 148"/>
                <a:gd name="T5" fmla="*/ 59 h 59"/>
                <a:gd name="T6" fmla="*/ 138 w 148"/>
                <a:gd name="T7" fmla="*/ 59 h 59"/>
                <a:gd name="T8" fmla="*/ 148 w 148"/>
                <a:gd name="T9" fmla="*/ 49 h 59"/>
                <a:gd name="T10" fmla="*/ 148 w 148"/>
                <a:gd name="T11" fmla="*/ 0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9">
                  <a:moveTo>
                    <a:pt x="0" y="0"/>
                  </a:moveTo>
                  <a:lnTo>
                    <a:pt x="0" y="49"/>
                  </a:lnTo>
                  <a:lnTo>
                    <a:pt x="10" y="59"/>
                  </a:lnTo>
                  <a:lnTo>
                    <a:pt x="138" y="59"/>
                  </a:lnTo>
                  <a:lnTo>
                    <a:pt x="148" y="49"/>
                  </a:lnTo>
                  <a:lnTo>
                    <a:pt x="148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79" name="Freeform 227">
              <a:extLst>
                <a:ext uri="{FF2B5EF4-FFF2-40B4-BE49-F238E27FC236}">
                  <a16:creationId xmlns:a16="http://schemas.microsoft.com/office/drawing/2014/main" id="{00000000-0008-0000-0800-0000E3D40500}"/>
                </a:ext>
              </a:extLst>
            </xdr:cNvPr>
            <xdr:cNvSpPr>
              <a:spLocks/>
            </xdr:cNvSpPr>
          </xdr:nvSpPr>
          <xdr:spPr bwMode="auto">
            <a:xfrm>
              <a:off x="809" y="583"/>
              <a:ext cx="148" cy="58"/>
            </a:xfrm>
            <a:custGeom>
              <a:avLst/>
              <a:gdLst>
                <a:gd name="T0" fmla="*/ 0 w 148"/>
                <a:gd name="T1" fmla="*/ 58 h 58"/>
                <a:gd name="T2" fmla="*/ 0 w 148"/>
                <a:gd name="T3" fmla="*/ 9 h 58"/>
                <a:gd name="T4" fmla="*/ 10 w 148"/>
                <a:gd name="T5" fmla="*/ 0 h 58"/>
                <a:gd name="T6" fmla="*/ 138 w 148"/>
                <a:gd name="T7" fmla="*/ 0 h 58"/>
                <a:gd name="T8" fmla="*/ 148 w 148"/>
                <a:gd name="T9" fmla="*/ 9 h 58"/>
                <a:gd name="T10" fmla="*/ 148 w 148"/>
                <a:gd name="T11" fmla="*/ 58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8">
                  <a:moveTo>
                    <a:pt x="0" y="58"/>
                  </a:moveTo>
                  <a:lnTo>
                    <a:pt x="0" y="9"/>
                  </a:lnTo>
                  <a:lnTo>
                    <a:pt x="10" y="0"/>
                  </a:lnTo>
                  <a:lnTo>
                    <a:pt x="138" y="0"/>
                  </a:lnTo>
                  <a:lnTo>
                    <a:pt x="148" y="9"/>
                  </a:lnTo>
                  <a:lnTo>
                    <a:pt x="148" y="58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80" name="Freeform 228">
              <a:extLst>
                <a:ext uri="{FF2B5EF4-FFF2-40B4-BE49-F238E27FC236}">
                  <a16:creationId xmlns:a16="http://schemas.microsoft.com/office/drawing/2014/main" id="{00000000-0008-0000-0800-0000E4D40500}"/>
                </a:ext>
              </a:extLst>
            </xdr:cNvPr>
            <xdr:cNvSpPr>
              <a:spLocks/>
            </xdr:cNvSpPr>
          </xdr:nvSpPr>
          <xdr:spPr bwMode="auto">
            <a:xfrm>
              <a:off x="809" y="416"/>
              <a:ext cx="148" cy="147"/>
            </a:xfrm>
            <a:custGeom>
              <a:avLst/>
              <a:gdLst>
                <a:gd name="T0" fmla="*/ 10 w 148"/>
                <a:gd name="T1" fmla="*/ 0 h 147"/>
                <a:gd name="T2" fmla="*/ 138 w 148"/>
                <a:gd name="T3" fmla="*/ 0 h 147"/>
                <a:gd name="T4" fmla="*/ 148 w 148"/>
                <a:gd name="T5" fmla="*/ 9 h 147"/>
                <a:gd name="T6" fmla="*/ 148 w 148"/>
                <a:gd name="T7" fmla="*/ 138 h 147"/>
                <a:gd name="T8" fmla="*/ 138 w 148"/>
                <a:gd name="T9" fmla="*/ 147 h 147"/>
                <a:gd name="T10" fmla="*/ 10 w 148"/>
                <a:gd name="T11" fmla="*/ 147 h 147"/>
                <a:gd name="T12" fmla="*/ 0 w 148"/>
                <a:gd name="T13" fmla="*/ 138 h 147"/>
                <a:gd name="T14" fmla="*/ 0 w 148"/>
                <a:gd name="T15" fmla="*/ 9 h 147"/>
                <a:gd name="T16" fmla="*/ 10 w 148"/>
                <a:gd name="T17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8" h="147">
                  <a:moveTo>
                    <a:pt x="10" y="0"/>
                  </a:moveTo>
                  <a:lnTo>
                    <a:pt x="138" y="0"/>
                  </a:lnTo>
                  <a:lnTo>
                    <a:pt x="148" y="9"/>
                  </a:lnTo>
                  <a:lnTo>
                    <a:pt x="148" y="138"/>
                  </a:lnTo>
                  <a:lnTo>
                    <a:pt x="138" y="147"/>
                  </a:lnTo>
                  <a:lnTo>
                    <a:pt x="10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1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81" name="Rectangle 229">
              <a:extLst>
                <a:ext uri="{FF2B5EF4-FFF2-40B4-BE49-F238E27FC236}">
                  <a16:creationId xmlns:a16="http://schemas.microsoft.com/office/drawing/2014/main" id="{00000000-0008-0000-0800-0000E5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82" name="Rectangle 230">
              <a:extLst>
                <a:ext uri="{FF2B5EF4-FFF2-40B4-BE49-F238E27FC236}">
                  <a16:creationId xmlns:a16="http://schemas.microsoft.com/office/drawing/2014/main" id="{00000000-0008-0000-0800-0000E6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83" name="Rectangle 231">
              <a:extLst>
                <a:ext uri="{FF2B5EF4-FFF2-40B4-BE49-F238E27FC236}">
                  <a16:creationId xmlns:a16="http://schemas.microsoft.com/office/drawing/2014/main" id="{00000000-0008-0000-0800-0000E7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84" name="Rectangle 232">
              <a:extLst>
                <a:ext uri="{FF2B5EF4-FFF2-40B4-BE49-F238E27FC236}">
                  <a16:creationId xmlns:a16="http://schemas.microsoft.com/office/drawing/2014/main" id="{00000000-0008-0000-0800-0000E8D405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85" name="Line 233">
              <a:extLst>
                <a:ext uri="{FF2B5EF4-FFF2-40B4-BE49-F238E27FC236}">
                  <a16:creationId xmlns:a16="http://schemas.microsoft.com/office/drawing/2014/main" id="{00000000-0008-0000-0800-0000E9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86" name="Line 234">
              <a:extLst>
                <a:ext uri="{FF2B5EF4-FFF2-40B4-BE49-F238E27FC236}">
                  <a16:creationId xmlns:a16="http://schemas.microsoft.com/office/drawing/2014/main" id="{00000000-0008-0000-0800-0000EA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0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87" name="Line 235">
              <a:extLst>
                <a:ext uri="{FF2B5EF4-FFF2-40B4-BE49-F238E27FC236}">
                  <a16:creationId xmlns:a16="http://schemas.microsoft.com/office/drawing/2014/main" id="{00000000-0008-0000-0800-0000EBD405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61"/>
              <a:ext cx="5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2188" name="Freeform 236">
              <a:extLst>
                <a:ext uri="{FF2B5EF4-FFF2-40B4-BE49-F238E27FC236}">
                  <a16:creationId xmlns:a16="http://schemas.microsoft.com/office/drawing/2014/main" id="{00000000-0008-0000-0800-0000ECD405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89" name="Freeform 237">
              <a:extLst>
                <a:ext uri="{FF2B5EF4-FFF2-40B4-BE49-F238E27FC236}">
                  <a16:creationId xmlns:a16="http://schemas.microsoft.com/office/drawing/2014/main" id="{00000000-0008-0000-0800-0000EDD40500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82190" name="Freeform 238">
              <a:extLst>
                <a:ext uri="{FF2B5EF4-FFF2-40B4-BE49-F238E27FC236}">
                  <a16:creationId xmlns:a16="http://schemas.microsoft.com/office/drawing/2014/main" id="{00000000-0008-0000-0800-0000EED405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2191" name="Freeform 239">
              <a:extLst>
                <a:ext uri="{FF2B5EF4-FFF2-40B4-BE49-F238E27FC236}">
                  <a16:creationId xmlns:a16="http://schemas.microsoft.com/office/drawing/2014/main" id="{00000000-0008-0000-0800-0000EFD40500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382193" name="Line 241">
            <a:extLst>
              <a:ext uri="{FF2B5EF4-FFF2-40B4-BE49-F238E27FC236}">
                <a16:creationId xmlns:a16="http://schemas.microsoft.com/office/drawing/2014/main" id="{00000000-0008-0000-0800-0000F1D40500}"/>
              </a:ext>
            </a:extLst>
          </xdr:cNvPr>
          <xdr:cNvSpPr>
            <a:spLocks noChangeShapeType="1"/>
          </xdr:cNvSpPr>
        </xdr:nvSpPr>
        <xdr:spPr bwMode="auto">
          <a:xfrm>
            <a:off x="790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194" name="Line 242">
            <a:extLst>
              <a:ext uri="{FF2B5EF4-FFF2-40B4-BE49-F238E27FC236}">
                <a16:creationId xmlns:a16="http://schemas.microsoft.com/office/drawing/2014/main" id="{00000000-0008-0000-0800-0000F2D40500}"/>
              </a:ext>
            </a:extLst>
          </xdr:cNvPr>
          <xdr:cNvSpPr>
            <a:spLocks noChangeShapeType="1"/>
          </xdr:cNvSpPr>
        </xdr:nvSpPr>
        <xdr:spPr bwMode="auto">
          <a:xfrm>
            <a:off x="809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00" name="Line 248">
            <a:extLst>
              <a:ext uri="{FF2B5EF4-FFF2-40B4-BE49-F238E27FC236}">
                <a16:creationId xmlns:a16="http://schemas.microsoft.com/office/drawing/2014/main" id="{00000000-0008-0000-0800-0000F8D40500}"/>
              </a:ext>
            </a:extLst>
          </xdr:cNvPr>
          <xdr:cNvSpPr>
            <a:spLocks noChangeShapeType="1"/>
          </xdr:cNvSpPr>
        </xdr:nvSpPr>
        <xdr:spPr bwMode="auto">
          <a:xfrm>
            <a:off x="809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01" name="Line 249">
            <a:extLst>
              <a:ext uri="{FF2B5EF4-FFF2-40B4-BE49-F238E27FC236}">
                <a16:creationId xmlns:a16="http://schemas.microsoft.com/office/drawing/2014/main" id="{00000000-0008-0000-0800-0000F9D40500}"/>
              </a:ext>
            </a:extLst>
          </xdr:cNvPr>
          <xdr:cNvSpPr>
            <a:spLocks noChangeShapeType="1"/>
          </xdr:cNvSpPr>
        </xdr:nvSpPr>
        <xdr:spPr bwMode="auto">
          <a:xfrm>
            <a:off x="957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02" name="Line 250">
            <a:extLst>
              <a:ext uri="{FF2B5EF4-FFF2-40B4-BE49-F238E27FC236}">
                <a16:creationId xmlns:a16="http://schemas.microsoft.com/office/drawing/2014/main" id="{00000000-0008-0000-0800-0000FAD40500}"/>
              </a:ext>
            </a:extLst>
          </xdr:cNvPr>
          <xdr:cNvSpPr>
            <a:spLocks noChangeShapeType="1"/>
          </xdr:cNvSpPr>
        </xdr:nvSpPr>
        <xdr:spPr bwMode="auto">
          <a:xfrm>
            <a:off x="815" y="661"/>
            <a:ext cx="136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03" name="Freeform 251">
            <a:extLst>
              <a:ext uri="{FF2B5EF4-FFF2-40B4-BE49-F238E27FC236}">
                <a16:creationId xmlns:a16="http://schemas.microsoft.com/office/drawing/2014/main" id="{00000000-0008-0000-0800-0000FBD40500}"/>
              </a:ext>
            </a:extLst>
          </xdr:cNvPr>
          <xdr:cNvSpPr>
            <a:spLocks/>
          </xdr:cNvSpPr>
        </xdr:nvSpPr>
        <xdr:spPr bwMode="auto">
          <a:xfrm>
            <a:off x="809" y="660"/>
            <a:ext cx="6" cy="2"/>
          </a:xfrm>
          <a:custGeom>
            <a:avLst/>
            <a:gdLst>
              <a:gd name="T0" fmla="*/ 6 w 6"/>
              <a:gd name="T1" fmla="*/ 0 h 2"/>
              <a:gd name="T2" fmla="*/ 6 w 6"/>
              <a:gd name="T3" fmla="*/ 2 h 2"/>
              <a:gd name="T4" fmla="*/ 0 w 6"/>
              <a:gd name="T5" fmla="*/ 1 h 2"/>
              <a:gd name="T6" fmla="*/ 6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6" y="0"/>
                </a:moveTo>
                <a:lnTo>
                  <a:pt x="6" y="2"/>
                </a:lnTo>
                <a:lnTo>
                  <a:pt x="0" y="1"/>
                </a:lnTo>
                <a:lnTo>
                  <a:pt x="6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205" name="Freeform 253">
            <a:extLst>
              <a:ext uri="{FF2B5EF4-FFF2-40B4-BE49-F238E27FC236}">
                <a16:creationId xmlns:a16="http://schemas.microsoft.com/office/drawing/2014/main" id="{00000000-0008-0000-0800-0000FDD40500}"/>
              </a:ext>
            </a:extLst>
          </xdr:cNvPr>
          <xdr:cNvSpPr>
            <a:spLocks/>
          </xdr:cNvSpPr>
        </xdr:nvSpPr>
        <xdr:spPr bwMode="auto">
          <a:xfrm>
            <a:off x="951" y="660"/>
            <a:ext cx="6" cy="2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206" name="Freeform 254">
            <a:extLst>
              <a:ext uri="{FF2B5EF4-FFF2-40B4-BE49-F238E27FC236}">
                <a16:creationId xmlns:a16="http://schemas.microsoft.com/office/drawing/2014/main" id="{00000000-0008-0000-0800-0000FED40500}"/>
              </a:ext>
            </a:extLst>
          </xdr:cNvPr>
          <xdr:cNvSpPr>
            <a:spLocks/>
          </xdr:cNvSpPr>
        </xdr:nvSpPr>
        <xdr:spPr bwMode="auto">
          <a:xfrm>
            <a:off x="951" y="660"/>
            <a:ext cx="6" cy="2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2207" name="Line 255">
            <a:extLst>
              <a:ext uri="{FF2B5EF4-FFF2-40B4-BE49-F238E27FC236}">
                <a16:creationId xmlns:a16="http://schemas.microsoft.com/office/drawing/2014/main" id="{00000000-0008-0000-0800-0000FFD40500}"/>
              </a:ext>
            </a:extLst>
          </xdr:cNvPr>
          <xdr:cNvSpPr>
            <a:spLocks noChangeShapeType="1"/>
          </xdr:cNvSpPr>
        </xdr:nvSpPr>
        <xdr:spPr bwMode="auto">
          <a:xfrm>
            <a:off x="957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08" name="Line 256">
            <a:extLst>
              <a:ext uri="{FF2B5EF4-FFF2-40B4-BE49-F238E27FC236}">
                <a16:creationId xmlns:a16="http://schemas.microsoft.com/office/drawing/2014/main" id="{00000000-0008-0000-0800-000000D50500}"/>
              </a:ext>
            </a:extLst>
          </xdr:cNvPr>
          <xdr:cNvSpPr>
            <a:spLocks noChangeShapeType="1"/>
          </xdr:cNvSpPr>
        </xdr:nvSpPr>
        <xdr:spPr bwMode="auto">
          <a:xfrm>
            <a:off x="976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14" name="Line 262">
            <a:extLst>
              <a:ext uri="{FF2B5EF4-FFF2-40B4-BE49-F238E27FC236}">
                <a16:creationId xmlns:a16="http://schemas.microsoft.com/office/drawing/2014/main" id="{00000000-0008-0000-0800-000006D50500}"/>
              </a:ext>
            </a:extLst>
          </xdr:cNvPr>
          <xdr:cNvSpPr>
            <a:spLocks noChangeShapeType="1"/>
          </xdr:cNvSpPr>
        </xdr:nvSpPr>
        <xdr:spPr bwMode="auto">
          <a:xfrm>
            <a:off x="976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15" name="Line 263">
            <a:extLst>
              <a:ext uri="{FF2B5EF4-FFF2-40B4-BE49-F238E27FC236}">
                <a16:creationId xmlns:a16="http://schemas.microsoft.com/office/drawing/2014/main" id="{00000000-0008-0000-0800-000007D50500}"/>
              </a:ext>
            </a:extLst>
          </xdr:cNvPr>
          <xdr:cNvSpPr>
            <a:spLocks noChangeShapeType="1"/>
          </xdr:cNvSpPr>
        </xdr:nvSpPr>
        <xdr:spPr bwMode="auto">
          <a:xfrm>
            <a:off x="1045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16" name="Line 264">
            <a:extLst>
              <a:ext uri="{FF2B5EF4-FFF2-40B4-BE49-F238E27FC236}">
                <a16:creationId xmlns:a16="http://schemas.microsoft.com/office/drawing/2014/main" id="{00000000-0008-0000-0800-000008D50500}"/>
              </a:ext>
            </a:extLst>
          </xdr:cNvPr>
          <xdr:cNvSpPr>
            <a:spLocks noChangeShapeType="1"/>
          </xdr:cNvSpPr>
        </xdr:nvSpPr>
        <xdr:spPr bwMode="auto">
          <a:xfrm>
            <a:off x="981" y="661"/>
            <a:ext cx="59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217" name="Freeform 265">
            <a:extLst>
              <a:ext uri="{FF2B5EF4-FFF2-40B4-BE49-F238E27FC236}">
                <a16:creationId xmlns:a16="http://schemas.microsoft.com/office/drawing/2014/main" id="{00000000-0008-0000-0800-000009D50500}"/>
              </a:ext>
            </a:extLst>
          </xdr:cNvPr>
          <xdr:cNvSpPr>
            <a:spLocks/>
          </xdr:cNvSpPr>
        </xdr:nvSpPr>
        <xdr:spPr bwMode="auto">
          <a:xfrm>
            <a:off x="976" y="660"/>
            <a:ext cx="5" cy="2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218" name="Freeform 266">
            <a:extLst>
              <a:ext uri="{FF2B5EF4-FFF2-40B4-BE49-F238E27FC236}">
                <a16:creationId xmlns:a16="http://schemas.microsoft.com/office/drawing/2014/main" id="{00000000-0008-0000-0800-00000AD50500}"/>
              </a:ext>
            </a:extLst>
          </xdr:cNvPr>
          <xdr:cNvSpPr>
            <a:spLocks/>
          </xdr:cNvSpPr>
        </xdr:nvSpPr>
        <xdr:spPr bwMode="auto">
          <a:xfrm>
            <a:off x="976" y="660"/>
            <a:ext cx="5" cy="2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2219" name="Freeform 267">
            <a:extLst>
              <a:ext uri="{FF2B5EF4-FFF2-40B4-BE49-F238E27FC236}">
                <a16:creationId xmlns:a16="http://schemas.microsoft.com/office/drawing/2014/main" id="{00000000-0008-0000-0800-00000BD50500}"/>
              </a:ext>
            </a:extLst>
          </xdr:cNvPr>
          <xdr:cNvSpPr>
            <a:spLocks/>
          </xdr:cNvSpPr>
        </xdr:nvSpPr>
        <xdr:spPr bwMode="auto">
          <a:xfrm>
            <a:off x="1040" y="660"/>
            <a:ext cx="5" cy="2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220" name="Freeform 268">
            <a:extLst>
              <a:ext uri="{FF2B5EF4-FFF2-40B4-BE49-F238E27FC236}">
                <a16:creationId xmlns:a16="http://schemas.microsoft.com/office/drawing/2014/main" id="{00000000-0008-0000-0800-00000CD50500}"/>
              </a:ext>
            </a:extLst>
          </xdr:cNvPr>
          <xdr:cNvSpPr>
            <a:spLocks/>
          </xdr:cNvSpPr>
        </xdr:nvSpPr>
        <xdr:spPr bwMode="auto">
          <a:xfrm>
            <a:off x="1040" y="660"/>
            <a:ext cx="5" cy="2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597432</xdr:colOff>
      <xdr:row>9</xdr:row>
      <xdr:rowOff>219297</xdr:rowOff>
    </xdr:from>
    <xdr:to>
      <xdr:col>6</xdr:col>
      <xdr:colOff>714395</xdr:colOff>
      <xdr:row>10</xdr:row>
      <xdr:rowOff>60447</xdr:rowOff>
    </xdr:to>
    <xdr:sp macro="" textlink="">
      <xdr:nvSpPr>
        <xdr:cNvPr id="6" name="Line 8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ShapeType="1"/>
        </xdr:cNvSpPr>
      </xdr:nvSpPr>
      <xdr:spPr bwMode="auto">
        <a:xfrm flipH="1">
          <a:off x="5318519" y="2364493"/>
          <a:ext cx="116963" cy="8962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610428</xdr:colOff>
      <xdr:row>9</xdr:row>
      <xdr:rowOff>234235</xdr:rowOff>
    </xdr:from>
    <xdr:to>
      <xdr:col>6</xdr:col>
      <xdr:colOff>767953</xdr:colOff>
      <xdr:row>10</xdr:row>
      <xdr:rowOff>53578</xdr:rowOff>
    </xdr:to>
    <xdr:sp macro="" textlink="">
      <xdr:nvSpPr>
        <xdr:cNvPr id="7" name="Line 90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ShapeType="1"/>
        </xdr:cNvSpPr>
      </xdr:nvSpPr>
      <xdr:spPr bwMode="auto">
        <a:xfrm>
          <a:off x="5349116" y="2383313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631031</xdr:colOff>
      <xdr:row>9</xdr:row>
      <xdr:rowOff>238124</xdr:rowOff>
    </xdr:from>
    <xdr:to>
      <xdr:col>6</xdr:col>
      <xdr:colOff>747994</xdr:colOff>
      <xdr:row>10</xdr:row>
      <xdr:rowOff>79274</xdr:rowOff>
    </xdr:to>
    <xdr:sp macro="" textlink="">
      <xdr:nvSpPr>
        <xdr:cNvPr id="8" name="Line 89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ShapeType="1"/>
        </xdr:cNvSpPr>
      </xdr:nvSpPr>
      <xdr:spPr bwMode="auto">
        <a:xfrm flipH="1">
          <a:off x="5369719" y="2387202"/>
          <a:ext cx="116963" cy="9118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589359</xdr:colOff>
      <xdr:row>10</xdr:row>
      <xdr:rowOff>5953</xdr:rowOff>
    </xdr:from>
    <xdr:to>
      <xdr:col>6</xdr:col>
      <xdr:colOff>746884</xdr:colOff>
      <xdr:row>10</xdr:row>
      <xdr:rowOff>75327</xdr:rowOff>
    </xdr:to>
    <xdr:sp macro="" textlink="">
      <xdr:nvSpPr>
        <xdr:cNvPr id="10" name="Line 90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ShapeType="1"/>
        </xdr:cNvSpPr>
      </xdr:nvSpPr>
      <xdr:spPr bwMode="auto">
        <a:xfrm>
          <a:off x="5328047" y="2405062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338941</xdr:colOff>
      <xdr:row>9</xdr:row>
      <xdr:rowOff>230606</xdr:rowOff>
    </xdr:from>
    <xdr:to>
      <xdr:col>1</xdr:col>
      <xdr:colOff>455904</xdr:colOff>
      <xdr:row>10</xdr:row>
      <xdr:rowOff>71756</xdr:rowOff>
    </xdr:to>
    <xdr:sp macro="" textlink="">
      <xdr:nvSpPr>
        <xdr:cNvPr id="12" name="Line 89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ShapeType="1"/>
        </xdr:cNvSpPr>
      </xdr:nvSpPr>
      <xdr:spPr bwMode="auto">
        <a:xfrm flipH="1">
          <a:off x="1131020" y="2351172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351937</xdr:colOff>
      <xdr:row>9</xdr:row>
      <xdr:rowOff>245544</xdr:rowOff>
    </xdr:from>
    <xdr:to>
      <xdr:col>1</xdr:col>
      <xdr:colOff>509462</xdr:colOff>
      <xdr:row>10</xdr:row>
      <xdr:rowOff>64887</xdr:rowOff>
    </xdr:to>
    <xdr:sp macro="" textlink="">
      <xdr:nvSpPr>
        <xdr:cNvPr id="13" name="Line 90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144016" y="2366110"/>
          <a:ext cx="157525" cy="649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372540</xdr:colOff>
      <xdr:row>10</xdr:row>
      <xdr:rowOff>3788</xdr:rowOff>
    </xdr:from>
    <xdr:to>
      <xdr:col>1</xdr:col>
      <xdr:colOff>489503</xdr:colOff>
      <xdr:row>10</xdr:row>
      <xdr:rowOff>90583</xdr:rowOff>
    </xdr:to>
    <xdr:sp macro="" textlink="">
      <xdr:nvSpPr>
        <xdr:cNvPr id="15" name="Line 89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ShapeType="1"/>
        </xdr:cNvSpPr>
      </xdr:nvSpPr>
      <xdr:spPr bwMode="auto">
        <a:xfrm flipH="1">
          <a:off x="1164619" y="2369999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330868</xdr:colOff>
      <xdr:row>10</xdr:row>
      <xdr:rowOff>17262</xdr:rowOff>
    </xdr:from>
    <xdr:to>
      <xdr:col>1</xdr:col>
      <xdr:colOff>488393</xdr:colOff>
      <xdr:row>10</xdr:row>
      <xdr:rowOff>86636</xdr:rowOff>
    </xdr:to>
    <xdr:sp macro="" textlink="">
      <xdr:nvSpPr>
        <xdr:cNvPr id="16" name="Line 90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ShapeType="1"/>
        </xdr:cNvSpPr>
      </xdr:nvSpPr>
      <xdr:spPr bwMode="auto">
        <a:xfrm>
          <a:off x="1122947" y="2383473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8073</xdr:colOff>
      <xdr:row>10</xdr:row>
      <xdr:rowOff>0</xdr:rowOff>
    </xdr:from>
    <xdr:to>
      <xdr:col>3</xdr:col>
      <xdr:colOff>125036</xdr:colOff>
      <xdr:row>10</xdr:row>
      <xdr:rowOff>86795</xdr:rowOff>
    </xdr:to>
    <xdr:sp macro="" textlink="">
      <xdr:nvSpPr>
        <xdr:cNvPr id="17" name="Line 89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ShapeType="1"/>
        </xdr:cNvSpPr>
      </xdr:nvSpPr>
      <xdr:spPr bwMode="auto">
        <a:xfrm flipH="1">
          <a:off x="2384310" y="2366211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21069</xdr:colOff>
      <xdr:row>10</xdr:row>
      <xdr:rowOff>14938</xdr:rowOff>
    </xdr:from>
    <xdr:to>
      <xdr:col>3</xdr:col>
      <xdr:colOff>178594</xdr:colOff>
      <xdr:row>10</xdr:row>
      <xdr:rowOff>79926</xdr:rowOff>
    </xdr:to>
    <xdr:sp macro="" textlink="">
      <xdr:nvSpPr>
        <xdr:cNvPr id="18" name="Line 90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ShapeType="1"/>
        </xdr:cNvSpPr>
      </xdr:nvSpPr>
      <xdr:spPr bwMode="auto">
        <a:xfrm>
          <a:off x="2397306" y="2381149"/>
          <a:ext cx="157525" cy="649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41672</xdr:colOff>
      <xdr:row>10</xdr:row>
      <xdr:rowOff>18827</xdr:rowOff>
    </xdr:from>
    <xdr:to>
      <xdr:col>3</xdr:col>
      <xdr:colOff>158635</xdr:colOff>
      <xdr:row>10</xdr:row>
      <xdr:rowOff>105622</xdr:rowOff>
    </xdr:to>
    <xdr:sp macro="" textlink="">
      <xdr:nvSpPr>
        <xdr:cNvPr id="19" name="Line 89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ShapeType="1"/>
        </xdr:cNvSpPr>
      </xdr:nvSpPr>
      <xdr:spPr bwMode="auto">
        <a:xfrm flipH="1">
          <a:off x="2417909" y="2385038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32301</xdr:rowOff>
    </xdr:from>
    <xdr:to>
      <xdr:col>3</xdr:col>
      <xdr:colOff>157525</xdr:colOff>
      <xdr:row>10</xdr:row>
      <xdr:rowOff>101675</xdr:rowOff>
    </xdr:to>
    <xdr:sp macro="" textlink="">
      <xdr:nvSpPr>
        <xdr:cNvPr id="20" name="Line 90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ShapeType="1"/>
        </xdr:cNvSpPr>
      </xdr:nvSpPr>
      <xdr:spPr bwMode="auto">
        <a:xfrm>
          <a:off x="2376237" y="2398512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158467</xdr:colOff>
      <xdr:row>9</xdr:row>
      <xdr:rowOff>225593</xdr:rowOff>
    </xdr:from>
    <xdr:to>
      <xdr:col>4</xdr:col>
      <xdr:colOff>275430</xdr:colOff>
      <xdr:row>10</xdr:row>
      <xdr:rowOff>66743</xdr:rowOff>
    </xdr:to>
    <xdr:sp macro="" textlink="">
      <xdr:nvSpPr>
        <xdr:cNvPr id="21" name="Line 89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ShapeType="1"/>
        </xdr:cNvSpPr>
      </xdr:nvSpPr>
      <xdr:spPr bwMode="auto">
        <a:xfrm flipH="1">
          <a:off x="3251585" y="2346159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171463</xdr:colOff>
      <xdr:row>9</xdr:row>
      <xdr:rowOff>240531</xdr:rowOff>
    </xdr:from>
    <xdr:to>
      <xdr:col>4</xdr:col>
      <xdr:colOff>328988</xdr:colOff>
      <xdr:row>10</xdr:row>
      <xdr:rowOff>59874</xdr:rowOff>
    </xdr:to>
    <xdr:sp macro="" textlink="">
      <xdr:nvSpPr>
        <xdr:cNvPr id="22" name="Line 90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ShapeType="1"/>
        </xdr:cNvSpPr>
      </xdr:nvSpPr>
      <xdr:spPr bwMode="auto">
        <a:xfrm>
          <a:off x="3264581" y="2361097"/>
          <a:ext cx="157525" cy="649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192066</xdr:colOff>
      <xdr:row>9</xdr:row>
      <xdr:rowOff>244420</xdr:rowOff>
    </xdr:from>
    <xdr:to>
      <xdr:col>4</xdr:col>
      <xdr:colOff>309029</xdr:colOff>
      <xdr:row>10</xdr:row>
      <xdr:rowOff>85570</xdr:rowOff>
    </xdr:to>
    <xdr:sp macro="" textlink="">
      <xdr:nvSpPr>
        <xdr:cNvPr id="23" name="Line 89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ShapeType="1"/>
        </xdr:cNvSpPr>
      </xdr:nvSpPr>
      <xdr:spPr bwMode="auto">
        <a:xfrm flipH="1">
          <a:off x="3285184" y="2364986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150394</xdr:colOff>
      <xdr:row>10</xdr:row>
      <xdr:rowOff>12249</xdr:rowOff>
    </xdr:from>
    <xdr:to>
      <xdr:col>4</xdr:col>
      <xdr:colOff>307919</xdr:colOff>
      <xdr:row>10</xdr:row>
      <xdr:rowOff>81623</xdr:rowOff>
    </xdr:to>
    <xdr:sp macro="" textlink="">
      <xdr:nvSpPr>
        <xdr:cNvPr id="24" name="Line 90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ShapeType="1"/>
        </xdr:cNvSpPr>
      </xdr:nvSpPr>
      <xdr:spPr bwMode="auto">
        <a:xfrm>
          <a:off x="3243512" y="2378460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3060</xdr:colOff>
      <xdr:row>9</xdr:row>
      <xdr:rowOff>220579</xdr:rowOff>
    </xdr:from>
    <xdr:to>
      <xdr:col>5</xdr:col>
      <xdr:colOff>120023</xdr:colOff>
      <xdr:row>10</xdr:row>
      <xdr:rowOff>61729</xdr:rowOff>
    </xdr:to>
    <xdr:sp macro="" textlink="">
      <xdr:nvSpPr>
        <xdr:cNvPr id="25" name="Line 89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ShapeType="1"/>
        </xdr:cNvSpPr>
      </xdr:nvSpPr>
      <xdr:spPr bwMode="auto">
        <a:xfrm flipH="1">
          <a:off x="3923349" y="2341145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16056</xdr:colOff>
      <xdr:row>9</xdr:row>
      <xdr:rowOff>235517</xdr:rowOff>
    </xdr:from>
    <xdr:to>
      <xdr:col>5</xdr:col>
      <xdr:colOff>173581</xdr:colOff>
      <xdr:row>10</xdr:row>
      <xdr:rowOff>54860</xdr:rowOff>
    </xdr:to>
    <xdr:sp macro="" textlink="">
      <xdr:nvSpPr>
        <xdr:cNvPr id="26" name="Line 90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ShapeType="1"/>
        </xdr:cNvSpPr>
      </xdr:nvSpPr>
      <xdr:spPr bwMode="auto">
        <a:xfrm>
          <a:off x="3936345" y="2356083"/>
          <a:ext cx="157525" cy="649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36659</xdr:colOff>
      <xdr:row>9</xdr:row>
      <xdr:rowOff>239406</xdr:rowOff>
    </xdr:from>
    <xdr:to>
      <xdr:col>5</xdr:col>
      <xdr:colOff>153622</xdr:colOff>
      <xdr:row>10</xdr:row>
      <xdr:rowOff>80556</xdr:rowOff>
    </xdr:to>
    <xdr:sp macro="" textlink="">
      <xdr:nvSpPr>
        <xdr:cNvPr id="27" name="Line 89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ShapeType="1"/>
        </xdr:cNvSpPr>
      </xdr:nvSpPr>
      <xdr:spPr bwMode="auto">
        <a:xfrm flipH="1">
          <a:off x="3956948" y="2359972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822158</xdr:colOff>
      <xdr:row>10</xdr:row>
      <xdr:rowOff>7235</xdr:rowOff>
    </xdr:from>
    <xdr:to>
      <xdr:col>5</xdr:col>
      <xdr:colOff>152512</xdr:colOff>
      <xdr:row>10</xdr:row>
      <xdr:rowOff>76609</xdr:rowOff>
    </xdr:to>
    <xdr:sp macro="" textlink="">
      <xdr:nvSpPr>
        <xdr:cNvPr id="28" name="Line 90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ShapeType="1"/>
        </xdr:cNvSpPr>
      </xdr:nvSpPr>
      <xdr:spPr bwMode="auto">
        <a:xfrm>
          <a:off x="3915276" y="2373446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68</xdr:row>
      <xdr:rowOff>38100</xdr:rowOff>
    </xdr:from>
    <xdr:to>
      <xdr:col>14</xdr:col>
      <xdr:colOff>704105</xdr:colOff>
      <xdr:row>69</xdr:row>
      <xdr:rowOff>50165</xdr:rowOff>
    </xdr:to>
    <xdr:sp macro="" textlink="">
      <xdr:nvSpPr>
        <xdr:cNvPr id="529420" name="AutoShape 46">
          <a:extLst>
            <a:ext uri="{FF2B5EF4-FFF2-40B4-BE49-F238E27FC236}">
              <a16:creationId xmlns:a16="http://schemas.microsoft.com/office/drawing/2014/main" id="{98A32AEB-8089-4379-9361-C6E3CBB2D081}"/>
            </a:ext>
          </a:extLst>
        </xdr:cNvPr>
        <xdr:cNvSpPr>
          <a:spLocks noChangeAspect="1" noChangeArrowheads="1"/>
        </xdr:cNvSpPr>
      </xdr:nvSpPr>
      <xdr:spPr bwMode="auto">
        <a:xfrm>
          <a:off x="8756650" y="16529050"/>
          <a:ext cx="2596405" cy="259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0</xdr:colOff>
      <xdr:row>85</xdr:row>
      <xdr:rowOff>0</xdr:rowOff>
    </xdr:from>
    <xdr:to>
      <xdr:col>6</xdr:col>
      <xdr:colOff>60960</xdr:colOff>
      <xdr:row>85</xdr:row>
      <xdr:rowOff>0</xdr:rowOff>
    </xdr:to>
    <xdr:sp macro="" textlink="">
      <xdr:nvSpPr>
        <xdr:cNvPr id="529423" name="Line 234">
          <a:extLst>
            <a:ext uri="{FF2B5EF4-FFF2-40B4-BE49-F238E27FC236}">
              <a16:creationId xmlns:a16="http://schemas.microsoft.com/office/drawing/2014/main" id="{42967024-7FF8-4F2F-B431-9D47430F8A40}"/>
            </a:ext>
          </a:extLst>
        </xdr:cNvPr>
        <xdr:cNvSpPr>
          <a:spLocks noChangeShapeType="1"/>
        </xdr:cNvSpPr>
      </xdr:nvSpPr>
      <xdr:spPr bwMode="auto">
        <a:xfrm>
          <a:off x="4514850" y="21005800"/>
          <a:ext cx="609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5</xdr:row>
      <xdr:rowOff>222388</xdr:rowOff>
    </xdr:from>
    <xdr:to>
      <xdr:col>8</xdr:col>
      <xdr:colOff>228602</xdr:colOff>
      <xdr:row>38</xdr:row>
      <xdr:rowOff>1763</xdr:rowOff>
    </xdr:to>
    <xdr:grpSp>
      <xdr:nvGrpSpPr>
        <xdr:cNvPr id="529431" name="Group 39">
          <a:extLst>
            <a:ext uri="{FF2B5EF4-FFF2-40B4-BE49-F238E27FC236}">
              <a16:creationId xmlns:a16="http://schemas.microsoft.com/office/drawing/2014/main" id="{82C25F5C-4939-4FC3-B881-E05A0AF19A8F}"/>
            </a:ext>
          </a:extLst>
        </xdr:cNvPr>
        <xdr:cNvGrpSpPr>
          <a:grpSpLocks noChangeAspect="1"/>
        </xdr:cNvGrpSpPr>
      </xdr:nvGrpSpPr>
      <xdr:grpSpPr bwMode="auto">
        <a:xfrm>
          <a:off x="0" y="1454288"/>
          <a:ext cx="6286502" cy="7907375"/>
          <a:chOff x="688" y="189"/>
          <a:chExt cx="406" cy="494"/>
        </a:xfrm>
      </xdr:grpSpPr>
      <xdr:grpSp>
        <xdr:nvGrpSpPr>
          <xdr:cNvPr id="529432" name="Group 240">
            <a:extLst>
              <a:ext uri="{FF2B5EF4-FFF2-40B4-BE49-F238E27FC236}">
                <a16:creationId xmlns:a16="http://schemas.microsoft.com/office/drawing/2014/main" id="{4E07F377-B26E-52EF-378A-E64EE1AB5097}"/>
              </a:ext>
            </a:extLst>
          </xdr:cNvPr>
          <xdr:cNvGrpSpPr>
            <a:grpSpLocks/>
          </xdr:cNvGrpSpPr>
        </xdr:nvGrpSpPr>
        <xdr:grpSpPr bwMode="auto">
          <a:xfrm>
            <a:off x="688" y="189"/>
            <a:ext cx="406" cy="494"/>
            <a:chOff x="688" y="189"/>
            <a:chExt cx="406" cy="494"/>
          </a:xfrm>
        </xdr:grpSpPr>
        <xdr:sp macro="" textlink="">
          <xdr:nvSpPr>
            <xdr:cNvPr id="529450" name="Line 40">
              <a:extLst>
                <a:ext uri="{FF2B5EF4-FFF2-40B4-BE49-F238E27FC236}">
                  <a16:creationId xmlns:a16="http://schemas.microsoft.com/office/drawing/2014/main" id="{F60AA806-C814-7B60-3927-C45314457193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302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51" name="Line 41">
              <a:extLst>
                <a:ext uri="{FF2B5EF4-FFF2-40B4-BE49-F238E27FC236}">
                  <a16:creationId xmlns:a16="http://schemas.microsoft.com/office/drawing/2014/main" id="{F62F4244-FB84-0EF3-9990-053814C4F4A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252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52" name="Line 42">
              <a:extLst>
                <a:ext uri="{FF2B5EF4-FFF2-40B4-BE49-F238E27FC236}">
                  <a16:creationId xmlns:a16="http://schemas.microsoft.com/office/drawing/2014/main" id="{5825CF6E-850B-8E0B-3E9A-D62ADA26A1D3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05" y="258"/>
              <a:ext cx="0" cy="3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53" name="Freeform 43">
              <a:extLst>
                <a:ext uri="{FF2B5EF4-FFF2-40B4-BE49-F238E27FC236}">
                  <a16:creationId xmlns:a16="http://schemas.microsoft.com/office/drawing/2014/main" id="{D989C0D2-20D6-C57F-D56A-92D211376F8C}"/>
                </a:ext>
              </a:extLst>
            </xdr:cNvPr>
            <xdr:cNvSpPr>
              <a:spLocks/>
            </xdr:cNvSpPr>
          </xdr:nvSpPr>
          <xdr:spPr bwMode="auto">
            <a:xfrm>
              <a:off x="704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54" name="Freeform 45">
              <a:extLst>
                <a:ext uri="{FF2B5EF4-FFF2-40B4-BE49-F238E27FC236}">
                  <a16:creationId xmlns:a16="http://schemas.microsoft.com/office/drawing/2014/main" id="{62BE0244-EAFA-4881-4632-A0EECBC12346}"/>
                </a:ext>
              </a:extLst>
            </xdr:cNvPr>
            <xdr:cNvSpPr>
              <a:spLocks/>
            </xdr:cNvSpPr>
          </xdr:nvSpPr>
          <xdr:spPr bwMode="auto">
            <a:xfrm>
              <a:off x="704" y="252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55" name="Line 47">
              <a:extLst>
                <a:ext uri="{FF2B5EF4-FFF2-40B4-BE49-F238E27FC236}">
                  <a16:creationId xmlns:a16="http://schemas.microsoft.com/office/drawing/2014/main" id="{79B4FC89-7EAA-B550-F809-B493C75A7012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252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56" name="Line 48">
              <a:extLst>
                <a:ext uri="{FF2B5EF4-FFF2-40B4-BE49-F238E27FC236}">
                  <a16:creationId xmlns:a16="http://schemas.microsoft.com/office/drawing/2014/main" id="{DF3E5C18-52E9-E682-1836-A6420FBE2878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7" y="214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57" name="Line 49">
              <a:extLst>
                <a:ext uri="{FF2B5EF4-FFF2-40B4-BE49-F238E27FC236}">
                  <a16:creationId xmlns:a16="http://schemas.microsoft.com/office/drawing/2014/main" id="{219EA8F0-1C41-3829-DC24-18F4A8FA56F7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05" y="220"/>
              <a:ext cx="0" cy="2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58" name="Freeform 50">
              <a:extLst>
                <a:ext uri="{FF2B5EF4-FFF2-40B4-BE49-F238E27FC236}">
                  <a16:creationId xmlns:a16="http://schemas.microsoft.com/office/drawing/2014/main" id="{63C62ED8-2DEB-A3F6-36A0-2E67935DD9FF}"/>
                </a:ext>
              </a:extLst>
            </xdr:cNvPr>
            <xdr:cNvSpPr>
              <a:spLocks/>
            </xdr:cNvSpPr>
          </xdr:nvSpPr>
          <xdr:spPr bwMode="auto">
            <a:xfrm>
              <a:off x="704" y="24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59" name="Freeform 52">
              <a:extLst>
                <a:ext uri="{FF2B5EF4-FFF2-40B4-BE49-F238E27FC236}">
                  <a16:creationId xmlns:a16="http://schemas.microsoft.com/office/drawing/2014/main" id="{D692A673-D565-3870-CE50-01A1A2A89BE5}"/>
                </a:ext>
              </a:extLst>
            </xdr:cNvPr>
            <xdr:cNvSpPr>
              <a:spLocks/>
            </xdr:cNvSpPr>
          </xdr:nvSpPr>
          <xdr:spPr bwMode="auto">
            <a:xfrm>
              <a:off x="704" y="214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60" name="Line 54">
              <a:extLst>
                <a:ext uri="{FF2B5EF4-FFF2-40B4-BE49-F238E27FC236}">
                  <a16:creationId xmlns:a16="http://schemas.microsoft.com/office/drawing/2014/main" id="{7EEEA2DF-C3A6-6467-9480-1AE5651C7734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88" y="302"/>
              <a:ext cx="2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61" name="Line 55">
              <a:extLst>
                <a:ext uri="{FF2B5EF4-FFF2-40B4-BE49-F238E27FC236}">
                  <a16:creationId xmlns:a16="http://schemas.microsoft.com/office/drawing/2014/main" id="{58D15739-538B-7C94-BCA3-4956C790CD33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88" y="214"/>
              <a:ext cx="2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62" name="Line 56">
              <a:extLst>
                <a:ext uri="{FF2B5EF4-FFF2-40B4-BE49-F238E27FC236}">
                  <a16:creationId xmlns:a16="http://schemas.microsoft.com/office/drawing/2014/main" id="{5CF3F226-664E-D157-6E97-2BE79FF37332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690" y="220"/>
              <a:ext cx="0" cy="7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63" name="Freeform 57">
              <a:extLst>
                <a:ext uri="{FF2B5EF4-FFF2-40B4-BE49-F238E27FC236}">
                  <a16:creationId xmlns:a16="http://schemas.microsoft.com/office/drawing/2014/main" id="{C7A5AC14-BF67-B90A-5BB9-C9F72979437B}"/>
                </a:ext>
              </a:extLst>
            </xdr:cNvPr>
            <xdr:cNvSpPr>
              <a:spLocks/>
            </xdr:cNvSpPr>
          </xdr:nvSpPr>
          <xdr:spPr bwMode="auto">
            <a:xfrm>
              <a:off x="689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64" name="Freeform 58">
              <a:extLst>
                <a:ext uri="{FF2B5EF4-FFF2-40B4-BE49-F238E27FC236}">
                  <a16:creationId xmlns:a16="http://schemas.microsoft.com/office/drawing/2014/main" id="{9E62DD70-95CE-C9F6-375B-9DA223DF2EC7}"/>
                </a:ext>
              </a:extLst>
            </xdr:cNvPr>
            <xdr:cNvSpPr>
              <a:spLocks/>
            </xdr:cNvSpPr>
          </xdr:nvSpPr>
          <xdr:spPr bwMode="auto">
            <a:xfrm>
              <a:off x="689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65" name="Freeform 59">
              <a:extLst>
                <a:ext uri="{FF2B5EF4-FFF2-40B4-BE49-F238E27FC236}">
                  <a16:creationId xmlns:a16="http://schemas.microsoft.com/office/drawing/2014/main" id="{DD932C9C-32EE-3501-E185-ABD5333FA486}"/>
                </a:ext>
              </a:extLst>
            </xdr:cNvPr>
            <xdr:cNvSpPr>
              <a:spLocks/>
            </xdr:cNvSpPr>
          </xdr:nvSpPr>
          <xdr:spPr bwMode="auto">
            <a:xfrm>
              <a:off x="689" y="214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66" name="Freeform 60">
              <a:extLst>
                <a:ext uri="{FF2B5EF4-FFF2-40B4-BE49-F238E27FC236}">
                  <a16:creationId xmlns:a16="http://schemas.microsoft.com/office/drawing/2014/main" id="{537C58BD-7F63-2000-17E5-DDDFE7C98753}"/>
                </a:ext>
              </a:extLst>
            </xdr:cNvPr>
            <xdr:cNvSpPr>
              <a:spLocks/>
            </xdr:cNvSpPr>
          </xdr:nvSpPr>
          <xdr:spPr bwMode="auto">
            <a:xfrm>
              <a:off x="689" y="214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67" name="Line 61">
              <a:extLst>
                <a:ext uri="{FF2B5EF4-FFF2-40B4-BE49-F238E27FC236}">
                  <a16:creationId xmlns:a16="http://schemas.microsoft.com/office/drawing/2014/main" id="{AD991517-0A34-8D03-01FF-8584C95BA88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02"/>
              <a:ext cx="1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68" name="Line 62">
              <a:extLst>
                <a:ext uri="{FF2B5EF4-FFF2-40B4-BE49-F238E27FC236}">
                  <a16:creationId xmlns:a16="http://schemas.microsoft.com/office/drawing/2014/main" id="{D281FAC9-729E-A5CF-8DDC-880100CBC92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289"/>
              <a:ext cx="1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69" name="Line 63">
              <a:extLst>
                <a:ext uri="{FF2B5EF4-FFF2-40B4-BE49-F238E27FC236}">
                  <a16:creationId xmlns:a16="http://schemas.microsoft.com/office/drawing/2014/main" id="{D7D82836-3888-7F9A-003F-FC26DFF33072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6" y="308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70" name="Line 64">
              <a:extLst>
                <a:ext uri="{FF2B5EF4-FFF2-40B4-BE49-F238E27FC236}">
                  <a16:creationId xmlns:a16="http://schemas.microsoft.com/office/drawing/2014/main" id="{C482FC03-7008-9A6C-39B5-783693CC4DA5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6" y="277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71" name="Line 65">
              <a:extLst>
                <a:ext uri="{FF2B5EF4-FFF2-40B4-BE49-F238E27FC236}">
                  <a16:creationId xmlns:a16="http://schemas.microsoft.com/office/drawing/2014/main" id="{1D1E907E-0105-4350-5AF1-EDF6EFDF45F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6" y="289"/>
              <a:ext cx="0" cy="13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72" name="Freeform 66">
              <a:extLst>
                <a:ext uri="{FF2B5EF4-FFF2-40B4-BE49-F238E27FC236}">
                  <a16:creationId xmlns:a16="http://schemas.microsoft.com/office/drawing/2014/main" id="{5691CAB8-1DDB-CB30-1301-6A8DD06829B8}"/>
                </a:ext>
              </a:extLst>
            </xdr:cNvPr>
            <xdr:cNvSpPr>
              <a:spLocks/>
            </xdr:cNvSpPr>
          </xdr:nvSpPr>
          <xdr:spPr bwMode="auto">
            <a:xfrm>
              <a:off x="1065" y="302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73" name="Freeform 67">
              <a:extLst>
                <a:ext uri="{FF2B5EF4-FFF2-40B4-BE49-F238E27FC236}">
                  <a16:creationId xmlns:a16="http://schemas.microsoft.com/office/drawing/2014/main" id="{3B1547DC-C598-6973-9377-65CAB083E098}"/>
                </a:ext>
              </a:extLst>
            </xdr:cNvPr>
            <xdr:cNvSpPr>
              <a:spLocks/>
            </xdr:cNvSpPr>
          </xdr:nvSpPr>
          <xdr:spPr bwMode="auto">
            <a:xfrm>
              <a:off x="1065" y="302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74" name="Freeform 68">
              <a:extLst>
                <a:ext uri="{FF2B5EF4-FFF2-40B4-BE49-F238E27FC236}">
                  <a16:creationId xmlns:a16="http://schemas.microsoft.com/office/drawing/2014/main" id="{681332AE-71C1-1681-4010-34983DF05E7F}"/>
                </a:ext>
              </a:extLst>
            </xdr:cNvPr>
            <xdr:cNvSpPr>
              <a:spLocks/>
            </xdr:cNvSpPr>
          </xdr:nvSpPr>
          <xdr:spPr bwMode="auto">
            <a:xfrm>
              <a:off x="1065" y="283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75" name="Freeform 69">
              <a:extLst>
                <a:ext uri="{FF2B5EF4-FFF2-40B4-BE49-F238E27FC236}">
                  <a16:creationId xmlns:a16="http://schemas.microsoft.com/office/drawing/2014/main" id="{D0806432-459E-0772-D2E4-940DA008C2FA}"/>
                </a:ext>
              </a:extLst>
            </xdr:cNvPr>
            <xdr:cNvSpPr>
              <a:spLocks/>
            </xdr:cNvSpPr>
          </xdr:nvSpPr>
          <xdr:spPr bwMode="auto">
            <a:xfrm>
              <a:off x="1065" y="283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76" name="Line 70">
              <a:extLst>
                <a:ext uri="{FF2B5EF4-FFF2-40B4-BE49-F238E27FC236}">
                  <a16:creationId xmlns:a16="http://schemas.microsoft.com/office/drawing/2014/main" id="{2469D226-5A29-72C0-5DF8-BA486ECBA7D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02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77" name="Line 71">
              <a:extLst>
                <a:ext uri="{FF2B5EF4-FFF2-40B4-BE49-F238E27FC236}">
                  <a16:creationId xmlns:a16="http://schemas.microsoft.com/office/drawing/2014/main" id="{638A78BD-A643-18AC-2C6D-051E8338A23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274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78" name="Line 72">
              <a:extLst>
                <a:ext uri="{FF2B5EF4-FFF2-40B4-BE49-F238E27FC236}">
                  <a16:creationId xmlns:a16="http://schemas.microsoft.com/office/drawing/2014/main" id="{4DAD230E-6F3F-FDFD-EFE4-24D116A0BC54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279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79" name="Freeform 73">
              <a:extLst>
                <a:ext uri="{FF2B5EF4-FFF2-40B4-BE49-F238E27FC236}">
                  <a16:creationId xmlns:a16="http://schemas.microsoft.com/office/drawing/2014/main" id="{F25CCD69-314B-024A-83D5-689743ACC5F5}"/>
                </a:ext>
              </a:extLst>
            </xdr:cNvPr>
            <xdr:cNvSpPr>
              <a:spLocks/>
            </xdr:cNvSpPr>
          </xdr:nvSpPr>
          <xdr:spPr bwMode="auto">
            <a:xfrm>
              <a:off x="1091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80" name="Freeform 74">
              <a:extLst>
                <a:ext uri="{FF2B5EF4-FFF2-40B4-BE49-F238E27FC236}">
                  <a16:creationId xmlns:a16="http://schemas.microsoft.com/office/drawing/2014/main" id="{346AF78E-63CC-66CD-08C3-90736A2D2BB3}"/>
                </a:ext>
              </a:extLst>
            </xdr:cNvPr>
            <xdr:cNvSpPr>
              <a:spLocks/>
            </xdr:cNvSpPr>
          </xdr:nvSpPr>
          <xdr:spPr bwMode="auto">
            <a:xfrm>
              <a:off x="1091" y="297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81" name="Freeform 75">
              <a:extLst>
                <a:ext uri="{FF2B5EF4-FFF2-40B4-BE49-F238E27FC236}">
                  <a16:creationId xmlns:a16="http://schemas.microsoft.com/office/drawing/2014/main" id="{74E7C208-D30D-DFF9-5243-F70D094855E3}"/>
                </a:ext>
              </a:extLst>
            </xdr:cNvPr>
            <xdr:cNvSpPr>
              <a:spLocks/>
            </xdr:cNvSpPr>
          </xdr:nvSpPr>
          <xdr:spPr bwMode="auto">
            <a:xfrm>
              <a:off x="1091" y="274"/>
              <a:ext cx="2" cy="5"/>
            </a:xfrm>
            <a:custGeom>
              <a:avLst/>
              <a:gdLst>
                <a:gd name="T0" fmla="*/ 0 w 2"/>
                <a:gd name="T1" fmla="*/ 5 h 5"/>
                <a:gd name="T2" fmla="*/ 2 w 2"/>
                <a:gd name="T3" fmla="*/ 5 h 5"/>
                <a:gd name="T4" fmla="*/ 1 w 2"/>
                <a:gd name="T5" fmla="*/ 0 h 5"/>
                <a:gd name="T6" fmla="*/ 0 w 2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5"/>
                  </a:moveTo>
                  <a:lnTo>
                    <a:pt x="2" y="5"/>
                  </a:lnTo>
                  <a:lnTo>
                    <a:pt x="1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82" name="Freeform 76">
              <a:extLst>
                <a:ext uri="{FF2B5EF4-FFF2-40B4-BE49-F238E27FC236}">
                  <a16:creationId xmlns:a16="http://schemas.microsoft.com/office/drawing/2014/main" id="{1A3271EB-8E9F-73C9-A4EA-73EE8F69C9E0}"/>
                </a:ext>
              </a:extLst>
            </xdr:cNvPr>
            <xdr:cNvSpPr>
              <a:spLocks/>
            </xdr:cNvSpPr>
          </xdr:nvSpPr>
          <xdr:spPr bwMode="auto">
            <a:xfrm>
              <a:off x="1091" y="274"/>
              <a:ext cx="2" cy="5"/>
            </a:xfrm>
            <a:custGeom>
              <a:avLst/>
              <a:gdLst>
                <a:gd name="T0" fmla="*/ 0 w 2"/>
                <a:gd name="T1" fmla="*/ 5 h 5"/>
                <a:gd name="T2" fmla="*/ 2 w 2"/>
                <a:gd name="T3" fmla="*/ 5 h 5"/>
                <a:gd name="T4" fmla="*/ 1 w 2"/>
                <a:gd name="T5" fmla="*/ 0 h 5"/>
                <a:gd name="T6" fmla="*/ 0 w 2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5"/>
                  </a:moveTo>
                  <a:lnTo>
                    <a:pt x="2" y="5"/>
                  </a:lnTo>
                  <a:lnTo>
                    <a:pt x="1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83" name="Line 77">
              <a:extLst>
                <a:ext uri="{FF2B5EF4-FFF2-40B4-BE49-F238E27FC236}">
                  <a16:creationId xmlns:a16="http://schemas.microsoft.com/office/drawing/2014/main" id="{3B95313F-2DA3-899B-10F4-192406A82FD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309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84" name="Line 78">
              <a:extLst>
                <a:ext uri="{FF2B5EF4-FFF2-40B4-BE49-F238E27FC236}">
                  <a16:creationId xmlns:a16="http://schemas.microsoft.com/office/drawing/2014/main" id="{0DEB04C2-15DE-9C2D-6FBD-ADEC709410A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309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85" name="Line 79">
              <a:extLst>
                <a:ext uri="{FF2B5EF4-FFF2-40B4-BE49-F238E27FC236}">
                  <a16:creationId xmlns:a16="http://schemas.microsoft.com/office/drawing/2014/main" id="{72405869-5FF5-996C-9D49-4FE06BF9EA5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318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86" name="Freeform 80">
              <a:extLst>
                <a:ext uri="{FF2B5EF4-FFF2-40B4-BE49-F238E27FC236}">
                  <a16:creationId xmlns:a16="http://schemas.microsoft.com/office/drawing/2014/main" id="{58135210-8C28-8E3E-657F-3803D8A39B02}"/>
                </a:ext>
              </a:extLst>
            </xdr:cNvPr>
            <xdr:cNvSpPr>
              <a:spLocks/>
            </xdr:cNvSpPr>
          </xdr:nvSpPr>
          <xdr:spPr bwMode="auto">
            <a:xfrm>
              <a:off x="721" y="317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87" name="Freeform 81">
              <a:extLst>
                <a:ext uri="{FF2B5EF4-FFF2-40B4-BE49-F238E27FC236}">
                  <a16:creationId xmlns:a16="http://schemas.microsoft.com/office/drawing/2014/main" id="{F93A334C-9968-FE3E-A137-E411CB79B698}"/>
                </a:ext>
              </a:extLst>
            </xdr:cNvPr>
            <xdr:cNvSpPr>
              <a:spLocks/>
            </xdr:cNvSpPr>
          </xdr:nvSpPr>
          <xdr:spPr bwMode="auto">
            <a:xfrm>
              <a:off x="721" y="317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88" name="Freeform 82">
              <a:extLst>
                <a:ext uri="{FF2B5EF4-FFF2-40B4-BE49-F238E27FC236}">
                  <a16:creationId xmlns:a16="http://schemas.microsoft.com/office/drawing/2014/main" id="{8386A6CC-825B-9790-0329-C8ECEBC25290}"/>
                </a:ext>
              </a:extLst>
            </xdr:cNvPr>
            <xdr:cNvSpPr>
              <a:spLocks/>
            </xdr:cNvSpPr>
          </xdr:nvSpPr>
          <xdr:spPr bwMode="auto">
            <a:xfrm>
              <a:off x="1040" y="317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89" name="Freeform 83">
              <a:extLst>
                <a:ext uri="{FF2B5EF4-FFF2-40B4-BE49-F238E27FC236}">
                  <a16:creationId xmlns:a16="http://schemas.microsoft.com/office/drawing/2014/main" id="{22A14221-CEC4-BEDE-EED3-F357BF5FAFE8}"/>
                </a:ext>
              </a:extLst>
            </xdr:cNvPr>
            <xdr:cNvSpPr>
              <a:spLocks/>
            </xdr:cNvSpPr>
          </xdr:nvSpPr>
          <xdr:spPr bwMode="auto">
            <a:xfrm>
              <a:off x="1040" y="317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90" name="Line 84">
              <a:extLst>
                <a:ext uri="{FF2B5EF4-FFF2-40B4-BE49-F238E27FC236}">
                  <a16:creationId xmlns:a16="http://schemas.microsoft.com/office/drawing/2014/main" id="{8BAD31FE-DBDC-2B81-B9A8-346F0BAB9B32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21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91" name="Line 85">
              <a:extLst>
                <a:ext uri="{FF2B5EF4-FFF2-40B4-BE49-F238E27FC236}">
                  <a16:creationId xmlns:a16="http://schemas.microsoft.com/office/drawing/2014/main" id="{9243929D-D023-AB5B-D583-DE9364A7F5CA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00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92" name="Line 86">
              <a:extLst>
                <a:ext uri="{FF2B5EF4-FFF2-40B4-BE49-F238E27FC236}">
                  <a16:creationId xmlns:a16="http://schemas.microsoft.com/office/drawing/2014/main" id="{4437A689-617D-7DD7-7FD4-58E645EECAA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191"/>
              <a:ext cx="6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93" name="Freeform 87">
              <a:extLst>
                <a:ext uri="{FF2B5EF4-FFF2-40B4-BE49-F238E27FC236}">
                  <a16:creationId xmlns:a16="http://schemas.microsoft.com/office/drawing/2014/main" id="{5A93A749-A9CE-C303-E121-EE98018C9A9C}"/>
                </a:ext>
              </a:extLst>
            </xdr:cNvPr>
            <xdr:cNvSpPr>
              <a:spLocks/>
            </xdr:cNvSpPr>
          </xdr:nvSpPr>
          <xdr:spPr bwMode="auto">
            <a:xfrm>
              <a:off x="721" y="19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94" name="Freeform 88">
              <a:extLst>
                <a:ext uri="{FF2B5EF4-FFF2-40B4-BE49-F238E27FC236}">
                  <a16:creationId xmlns:a16="http://schemas.microsoft.com/office/drawing/2014/main" id="{6BAC809B-479D-58E9-DF45-E48EEA94BB4B}"/>
                </a:ext>
              </a:extLst>
            </xdr:cNvPr>
            <xdr:cNvSpPr>
              <a:spLocks/>
            </xdr:cNvSpPr>
          </xdr:nvSpPr>
          <xdr:spPr bwMode="auto">
            <a:xfrm>
              <a:off x="721" y="19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95" name="Freeform 89">
              <a:extLst>
                <a:ext uri="{FF2B5EF4-FFF2-40B4-BE49-F238E27FC236}">
                  <a16:creationId xmlns:a16="http://schemas.microsoft.com/office/drawing/2014/main" id="{FE3A99D4-1C94-5663-A82F-A33ED69126CA}"/>
                </a:ext>
              </a:extLst>
            </xdr:cNvPr>
            <xdr:cNvSpPr>
              <a:spLocks/>
            </xdr:cNvSpPr>
          </xdr:nvSpPr>
          <xdr:spPr bwMode="auto">
            <a:xfrm>
              <a:off x="794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496" name="Freeform 90">
              <a:extLst>
                <a:ext uri="{FF2B5EF4-FFF2-40B4-BE49-F238E27FC236}">
                  <a16:creationId xmlns:a16="http://schemas.microsoft.com/office/drawing/2014/main" id="{FFF58CE8-0F1B-E012-09A1-53E969265807}"/>
                </a:ext>
              </a:extLst>
            </xdr:cNvPr>
            <xdr:cNvSpPr>
              <a:spLocks/>
            </xdr:cNvSpPr>
          </xdr:nvSpPr>
          <xdr:spPr bwMode="auto">
            <a:xfrm>
              <a:off x="794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497" name="Line 91">
              <a:extLst>
                <a:ext uri="{FF2B5EF4-FFF2-40B4-BE49-F238E27FC236}">
                  <a16:creationId xmlns:a16="http://schemas.microsoft.com/office/drawing/2014/main" id="{3ABD1602-91D1-E6C0-444E-9171B282FBA5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00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98" name="Line 92">
              <a:extLst>
                <a:ext uri="{FF2B5EF4-FFF2-40B4-BE49-F238E27FC236}">
                  <a16:creationId xmlns:a16="http://schemas.microsoft.com/office/drawing/2014/main" id="{43C3435E-1CB3-B88A-3B16-BABFBC236B88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66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499" name="Line 93">
              <a:extLst>
                <a:ext uri="{FF2B5EF4-FFF2-40B4-BE49-F238E27FC236}">
                  <a16:creationId xmlns:a16="http://schemas.microsoft.com/office/drawing/2014/main" id="{A7AD368B-018D-EE2D-6CB3-DBB62D82D5B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06" y="191"/>
              <a:ext cx="15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00" name="Freeform 94">
              <a:extLst>
                <a:ext uri="{FF2B5EF4-FFF2-40B4-BE49-F238E27FC236}">
                  <a16:creationId xmlns:a16="http://schemas.microsoft.com/office/drawing/2014/main" id="{9BE4F900-957B-30AD-BF43-8D55189D635B}"/>
                </a:ext>
              </a:extLst>
            </xdr:cNvPr>
            <xdr:cNvSpPr>
              <a:spLocks/>
            </xdr:cNvSpPr>
          </xdr:nvSpPr>
          <xdr:spPr bwMode="auto">
            <a:xfrm>
              <a:off x="800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01" name="Freeform 95">
              <a:extLst>
                <a:ext uri="{FF2B5EF4-FFF2-40B4-BE49-F238E27FC236}">
                  <a16:creationId xmlns:a16="http://schemas.microsoft.com/office/drawing/2014/main" id="{49B98D1F-6C44-867C-83EE-D146E9EE364D}"/>
                </a:ext>
              </a:extLst>
            </xdr:cNvPr>
            <xdr:cNvSpPr>
              <a:spLocks/>
            </xdr:cNvSpPr>
          </xdr:nvSpPr>
          <xdr:spPr bwMode="auto">
            <a:xfrm>
              <a:off x="800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02" name="Freeform 96">
              <a:extLst>
                <a:ext uri="{FF2B5EF4-FFF2-40B4-BE49-F238E27FC236}">
                  <a16:creationId xmlns:a16="http://schemas.microsoft.com/office/drawing/2014/main" id="{95974A60-6698-B433-44D5-25F7793F7BA7}"/>
                </a:ext>
              </a:extLst>
            </xdr:cNvPr>
            <xdr:cNvSpPr>
              <a:spLocks/>
            </xdr:cNvSpPr>
          </xdr:nvSpPr>
          <xdr:spPr bwMode="auto">
            <a:xfrm>
              <a:off x="960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03" name="Freeform 97">
              <a:extLst>
                <a:ext uri="{FF2B5EF4-FFF2-40B4-BE49-F238E27FC236}">
                  <a16:creationId xmlns:a16="http://schemas.microsoft.com/office/drawing/2014/main" id="{5CF1B269-A45C-6B87-2ED9-098EC047156C}"/>
                </a:ext>
              </a:extLst>
            </xdr:cNvPr>
            <xdr:cNvSpPr>
              <a:spLocks/>
            </xdr:cNvSpPr>
          </xdr:nvSpPr>
          <xdr:spPr bwMode="auto">
            <a:xfrm>
              <a:off x="960" y="190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04" name="Line 98">
              <a:extLst>
                <a:ext uri="{FF2B5EF4-FFF2-40B4-BE49-F238E27FC236}">
                  <a16:creationId xmlns:a16="http://schemas.microsoft.com/office/drawing/2014/main" id="{C6B585F7-016F-5BDF-E048-DBBF90458489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66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05" name="Line 99">
              <a:extLst>
                <a:ext uri="{FF2B5EF4-FFF2-40B4-BE49-F238E27FC236}">
                  <a16:creationId xmlns:a16="http://schemas.microsoft.com/office/drawing/2014/main" id="{2BB75684-D5B3-B8E1-A42F-D90B3DCE5469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45" y="189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06" name="Line 100">
              <a:extLst>
                <a:ext uri="{FF2B5EF4-FFF2-40B4-BE49-F238E27FC236}">
                  <a16:creationId xmlns:a16="http://schemas.microsoft.com/office/drawing/2014/main" id="{CDA0A39C-7EC4-7A7A-7D13-5892168AE87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72" y="191"/>
              <a:ext cx="6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07" name="Freeform 101">
              <a:extLst>
                <a:ext uri="{FF2B5EF4-FFF2-40B4-BE49-F238E27FC236}">
                  <a16:creationId xmlns:a16="http://schemas.microsoft.com/office/drawing/2014/main" id="{1CA1607A-6FFB-3AEA-1F13-969A6812B837}"/>
                </a:ext>
              </a:extLst>
            </xdr:cNvPr>
            <xdr:cNvSpPr>
              <a:spLocks/>
            </xdr:cNvSpPr>
          </xdr:nvSpPr>
          <xdr:spPr bwMode="auto">
            <a:xfrm>
              <a:off x="966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08" name="Freeform 102">
              <a:extLst>
                <a:ext uri="{FF2B5EF4-FFF2-40B4-BE49-F238E27FC236}">
                  <a16:creationId xmlns:a16="http://schemas.microsoft.com/office/drawing/2014/main" id="{9BA52591-573D-C7F0-E22C-CB0F039DE8D6}"/>
                </a:ext>
              </a:extLst>
            </xdr:cNvPr>
            <xdr:cNvSpPr>
              <a:spLocks/>
            </xdr:cNvSpPr>
          </xdr:nvSpPr>
          <xdr:spPr bwMode="auto">
            <a:xfrm>
              <a:off x="966" y="190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09" name="Freeform 103">
              <a:extLst>
                <a:ext uri="{FF2B5EF4-FFF2-40B4-BE49-F238E27FC236}">
                  <a16:creationId xmlns:a16="http://schemas.microsoft.com/office/drawing/2014/main" id="{9361D837-6438-0F03-BDC1-02E0389D7490}"/>
                </a:ext>
              </a:extLst>
            </xdr:cNvPr>
            <xdr:cNvSpPr>
              <a:spLocks/>
            </xdr:cNvSpPr>
          </xdr:nvSpPr>
          <xdr:spPr bwMode="auto">
            <a:xfrm>
              <a:off x="1040" y="19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10" name="Freeform 104">
              <a:extLst>
                <a:ext uri="{FF2B5EF4-FFF2-40B4-BE49-F238E27FC236}">
                  <a16:creationId xmlns:a16="http://schemas.microsoft.com/office/drawing/2014/main" id="{081AE7E0-57A7-0A18-90D3-99840E95F41F}"/>
                </a:ext>
              </a:extLst>
            </xdr:cNvPr>
            <xdr:cNvSpPr>
              <a:spLocks/>
            </xdr:cNvSpPr>
          </xdr:nvSpPr>
          <xdr:spPr bwMode="auto">
            <a:xfrm>
              <a:off x="1040" y="19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1" name="Line 105">
              <a:extLst>
                <a:ext uri="{FF2B5EF4-FFF2-40B4-BE49-F238E27FC236}">
                  <a16:creationId xmlns:a16="http://schemas.microsoft.com/office/drawing/2014/main" id="{93CEF9FD-991D-EA01-C2C7-5708B044FF76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83" y="214"/>
              <a:ext cx="0" cy="8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12" name="Freeform 106">
              <a:extLst>
                <a:ext uri="{FF2B5EF4-FFF2-40B4-BE49-F238E27FC236}">
                  <a16:creationId xmlns:a16="http://schemas.microsoft.com/office/drawing/2014/main" id="{B6EF5684-80C9-E502-3705-5A8A64F6F214}"/>
                </a:ext>
              </a:extLst>
            </xdr:cNvPr>
            <xdr:cNvSpPr>
              <a:spLocks/>
            </xdr:cNvSpPr>
          </xdr:nvSpPr>
          <xdr:spPr bwMode="auto">
            <a:xfrm>
              <a:off x="877" y="208"/>
              <a:ext cx="17" cy="11"/>
            </a:xfrm>
            <a:custGeom>
              <a:avLst/>
              <a:gdLst>
                <a:gd name="T0" fmla="*/ 0 w 17"/>
                <a:gd name="T1" fmla="*/ 11 h 11"/>
                <a:gd name="T2" fmla="*/ 13 w 17"/>
                <a:gd name="T3" fmla="*/ 0 h 11"/>
                <a:gd name="T4" fmla="*/ 17 w 17"/>
                <a:gd name="T5" fmla="*/ 4 h 11"/>
                <a:gd name="T6" fmla="*/ 9 w 17"/>
                <a:gd name="T7" fmla="*/ 3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7" h="11">
                  <a:moveTo>
                    <a:pt x="0" y="11"/>
                  </a:moveTo>
                  <a:lnTo>
                    <a:pt x="13" y="0"/>
                  </a:lnTo>
                  <a:lnTo>
                    <a:pt x="17" y="4"/>
                  </a:lnTo>
                  <a:lnTo>
                    <a:pt x="9" y="3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3" name="Freeform 107">
              <a:extLst>
                <a:ext uri="{FF2B5EF4-FFF2-40B4-BE49-F238E27FC236}">
                  <a16:creationId xmlns:a16="http://schemas.microsoft.com/office/drawing/2014/main" id="{F17DF826-8B31-8EF4-7FFE-14062DF357F4}"/>
                </a:ext>
              </a:extLst>
            </xdr:cNvPr>
            <xdr:cNvSpPr>
              <a:spLocks/>
            </xdr:cNvSpPr>
          </xdr:nvSpPr>
          <xdr:spPr bwMode="auto">
            <a:xfrm>
              <a:off x="872" y="208"/>
              <a:ext cx="17" cy="11"/>
            </a:xfrm>
            <a:custGeom>
              <a:avLst/>
              <a:gdLst>
                <a:gd name="T0" fmla="*/ 17 w 17"/>
                <a:gd name="T1" fmla="*/ 11 h 11"/>
                <a:gd name="T2" fmla="*/ 4 w 17"/>
                <a:gd name="T3" fmla="*/ 0 h 11"/>
                <a:gd name="T4" fmla="*/ 0 w 17"/>
                <a:gd name="T5" fmla="*/ 4 h 11"/>
                <a:gd name="T6" fmla="*/ 8 w 17"/>
                <a:gd name="T7" fmla="*/ 3 h 1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7" h="11">
                  <a:moveTo>
                    <a:pt x="17" y="11"/>
                  </a:moveTo>
                  <a:lnTo>
                    <a:pt x="4" y="0"/>
                  </a:lnTo>
                  <a:lnTo>
                    <a:pt x="0" y="4"/>
                  </a:lnTo>
                  <a:lnTo>
                    <a:pt x="8" y="3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4" name="Freeform 108">
              <a:extLst>
                <a:ext uri="{FF2B5EF4-FFF2-40B4-BE49-F238E27FC236}">
                  <a16:creationId xmlns:a16="http://schemas.microsoft.com/office/drawing/2014/main" id="{7D699DA2-5600-1B5A-A214-0ACD56D27504}"/>
                </a:ext>
              </a:extLst>
            </xdr:cNvPr>
            <xdr:cNvSpPr>
              <a:spLocks/>
            </xdr:cNvSpPr>
          </xdr:nvSpPr>
          <xdr:spPr bwMode="auto">
            <a:xfrm>
              <a:off x="872" y="208"/>
              <a:ext cx="8" cy="4"/>
            </a:xfrm>
            <a:custGeom>
              <a:avLst/>
              <a:gdLst>
                <a:gd name="T0" fmla="*/ 4 w 8"/>
                <a:gd name="T1" fmla="*/ 0 h 4"/>
                <a:gd name="T2" fmla="*/ 0 w 8"/>
                <a:gd name="T3" fmla="*/ 4 h 4"/>
                <a:gd name="T4" fmla="*/ 8 w 8"/>
                <a:gd name="T5" fmla="*/ 3 h 4"/>
                <a:gd name="T6" fmla="*/ 4 w 8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8" h="4">
                  <a:moveTo>
                    <a:pt x="4" y="0"/>
                  </a:moveTo>
                  <a:lnTo>
                    <a:pt x="0" y="4"/>
                  </a:lnTo>
                  <a:lnTo>
                    <a:pt x="8" y="3"/>
                  </a:lnTo>
                  <a:lnTo>
                    <a:pt x="4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5" name="Freeform 109">
              <a:extLst>
                <a:ext uri="{FF2B5EF4-FFF2-40B4-BE49-F238E27FC236}">
                  <a16:creationId xmlns:a16="http://schemas.microsoft.com/office/drawing/2014/main" id="{2C2E6C31-E0E4-D433-F825-4F3F9CFD90FE}"/>
                </a:ext>
              </a:extLst>
            </xdr:cNvPr>
            <xdr:cNvSpPr>
              <a:spLocks/>
            </xdr:cNvSpPr>
          </xdr:nvSpPr>
          <xdr:spPr bwMode="auto">
            <a:xfrm>
              <a:off x="791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6" name="Freeform 110">
              <a:extLst>
                <a:ext uri="{FF2B5EF4-FFF2-40B4-BE49-F238E27FC236}">
                  <a16:creationId xmlns:a16="http://schemas.microsoft.com/office/drawing/2014/main" id="{67D2E1F4-8394-BBAD-EA67-A89716F6B1E0}"/>
                </a:ext>
              </a:extLst>
            </xdr:cNvPr>
            <xdr:cNvSpPr>
              <a:spLocks/>
            </xdr:cNvSpPr>
          </xdr:nvSpPr>
          <xdr:spPr bwMode="auto">
            <a:xfrm>
              <a:off x="806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7" name="Freeform 111">
              <a:extLst>
                <a:ext uri="{FF2B5EF4-FFF2-40B4-BE49-F238E27FC236}">
                  <a16:creationId xmlns:a16="http://schemas.microsoft.com/office/drawing/2014/main" id="{EB50292B-F077-8127-6E09-F9F53EE5A5D6}"/>
                </a:ext>
              </a:extLst>
            </xdr:cNvPr>
            <xdr:cNvSpPr>
              <a:spLocks/>
            </xdr:cNvSpPr>
          </xdr:nvSpPr>
          <xdr:spPr bwMode="auto">
            <a:xfrm>
              <a:off x="957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8" name="Freeform 112">
              <a:extLst>
                <a:ext uri="{FF2B5EF4-FFF2-40B4-BE49-F238E27FC236}">
                  <a16:creationId xmlns:a16="http://schemas.microsoft.com/office/drawing/2014/main" id="{666E96F1-53FE-2071-990A-824677AF5F60}"/>
                </a:ext>
              </a:extLst>
            </xdr:cNvPr>
            <xdr:cNvSpPr>
              <a:spLocks/>
            </xdr:cNvSpPr>
          </xdr:nvSpPr>
          <xdr:spPr bwMode="auto">
            <a:xfrm>
              <a:off x="972" y="207"/>
              <a:ext cx="3" cy="7"/>
            </a:xfrm>
            <a:custGeom>
              <a:avLst/>
              <a:gdLst>
                <a:gd name="T0" fmla="*/ 0 w 3"/>
                <a:gd name="T1" fmla="*/ 7 h 7"/>
                <a:gd name="T2" fmla="*/ 0 w 3"/>
                <a:gd name="T3" fmla="*/ 0 h 7"/>
                <a:gd name="T4" fmla="*/ 3 w 3"/>
                <a:gd name="T5" fmla="*/ 0 h 7"/>
                <a:gd name="T6" fmla="*/ 3 w 3"/>
                <a:gd name="T7" fmla="*/ 7 h 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3" h="7">
                  <a:moveTo>
                    <a:pt x="0" y="7"/>
                  </a:moveTo>
                  <a:lnTo>
                    <a:pt x="0" y="0"/>
                  </a:lnTo>
                  <a:lnTo>
                    <a:pt x="3" y="0"/>
                  </a:lnTo>
                  <a:lnTo>
                    <a:pt x="3" y="7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19" name="Freeform 113">
              <a:extLst>
                <a:ext uri="{FF2B5EF4-FFF2-40B4-BE49-F238E27FC236}">
                  <a16:creationId xmlns:a16="http://schemas.microsoft.com/office/drawing/2014/main" id="{740DCD97-C412-8430-6787-1E997E546A8A}"/>
                </a:ext>
              </a:extLst>
            </xdr:cNvPr>
            <xdr:cNvSpPr>
              <a:spLocks/>
            </xdr:cNvSpPr>
          </xdr:nvSpPr>
          <xdr:spPr bwMode="auto">
            <a:xfrm>
              <a:off x="721" y="214"/>
              <a:ext cx="324" cy="88"/>
            </a:xfrm>
            <a:custGeom>
              <a:avLst/>
              <a:gdLst>
                <a:gd name="T0" fmla="*/ 0 w 324"/>
                <a:gd name="T1" fmla="*/ 88 h 88"/>
                <a:gd name="T2" fmla="*/ 0 w 324"/>
                <a:gd name="T3" fmla="*/ 60 h 88"/>
                <a:gd name="T4" fmla="*/ 67 w 324"/>
                <a:gd name="T5" fmla="*/ 60 h 88"/>
                <a:gd name="T6" fmla="*/ 67 w 324"/>
                <a:gd name="T7" fmla="*/ 0 h 88"/>
                <a:gd name="T8" fmla="*/ 90 w 324"/>
                <a:gd name="T9" fmla="*/ 0 h 88"/>
                <a:gd name="T10" fmla="*/ 90 w 324"/>
                <a:gd name="T11" fmla="*/ 60 h 88"/>
                <a:gd name="T12" fmla="*/ 234 w 324"/>
                <a:gd name="T13" fmla="*/ 60 h 88"/>
                <a:gd name="T14" fmla="*/ 234 w 324"/>
                <a:gd name="T15" fmla="*/ 0 h 88"/>
                <a:gd name="T16" fmla="*/ 257 w 324"/>
                <a:gd name="T17" fmla="*/ 0 h 88"/>
                <a:gd name="T18" fmla="*/ 257 w 324"/>
                <a:gd name="T19" fmla="*/ 60 h 88"/>
                <a:gd name="T20" fmla="*/ 324 w 324"/>
                <a:gd name="T21" fmla="*/ 60 h 88"/>
                <a:gd name="T22" fmla="*/ 324 w 324"/>
                <a:gd name="T23" fmla="*/ 88 h 88"/>
                <a:gd name="T24" fmla="*/ 0 w 324"/>
                <a:gd name="T25" fmla="*/ 88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324" h="88">
                  <a:moveTo>
                    <a:pt x="0" y="88"/>
                  </a:moveTo>
                  <a:lnTo>
                    <a:pt x="0" y="60"/>
                  </a:lnTo>
                  <a:lnTo>
                    <a:pt x="67" y="60"/>
                  </a:lnTo>
                  <a:lnTo>
                    <a:pt x="67" y="0"/>
                  </a:lnTo>
                  <a:lnTo>
                    <a:pt x="90" y="0"/>
                  </a:lnTo>
                  <a:lnTo>
                    <a:pt x="90" y="60"/>
                  </a:lnTo>
                  <a:lnTo>
                    <a:pt x="234" y="60"/>
                  </a:lnTo>
                  <a:lnTo>
                    <a:pt x="234" y="0"/>
                  </a:lnTo>
                  <a:lnTo>
                    <a:pt x="257" y="0"/>
                  </a:lnTo>
                  <a:lnTo>
                    <a:pt x="257" y="60"/>
                  </a:lnTo>
                  <a:lnTo>
                    <a:pt x="324" y="60"/>
                  </a:lnTo>
                  <a:lnTo>
                    <a:pt x="324" y="88"/>
                  </a:lnTo>
                  <a:lnTo>
                    <a:pt x="0" y="88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20" name="Freeform 114">
              <a:extLst>
                <a:ext uri="{FF2B5EF4-FFF2-40B4-BE49-F238E27FC236}">
                  <a16:creationId xmlns:a16="http://schemas.microsoft.com/office/drawing/2014/main" id="{A9C0B88A-CDE7-9227-C8F6-9B02F8C0EE18}"/>
                </a:ext>
              </a:extLst>
            </xdr:cNvPr>
            <xdr:cNvSpPr>
              <a:spLocks/>
            </xdr:cNvSpPr>
          </xdr:nvSpPr>
          <xdr:spPr bwMode="auto">
            <a:xfrm>
              <a:off x="721" y="274"/>
              <a:ext cx="324" cy="28"/>
            </a:xfrm>
            <a:custGeom>
              <a:avLst/>
              <a:gdLst>
                <a:gd name="T0" fmla="*/ 0 w 324"/>
                <a:gd name="T1" fmla="*/ 28 h 28"/>
                <a:gd name="T2" fmla="*/ 0 w 324"/>
                <a:gd name="T3" fmla="*/ 15 h 28"/>
                <a:gd name="T4" fmla="*/ 69 w 324"/>
                <a:gd name="T5" fmla="*/ 15 h 28"/>
                <a:gd name="T6" fmla="*/ 69 w 324"/>
                <a:gd name="T7" fmla="*/ 0 h 28"/>
                <a:gd name="T8" fmla="*/ 88 w 324"/>
                <a:gd name="T9" fmla="*/ 0 h 28"/>
                <a:gd name="T10" fmla="*/ 88 w 324"/>
                <a:gd name="T11" fmla="*/ 15 h 28"/>
                <a:gd name="T12" fmla="*/ 236 w 324"/>
                <a:gd name="T13" fmla="*/ 15 h 28"/>
                <a:gd name="T14" fmla="*/ 236 w 324"/>
                <a:gd name="T15" fmla="*/ 0 h 28"/>
                <a:gd name="T16" fmla="*/ 255 w 324"/>
                <a:gd name="T17" fmla="*/ 0 h 28"/>
                <a:gd name="T18" fmla="*/ 255 w 324"/>
                <a:gd name="T19" fmla="*/ 15 h 28"/>
                <a:gd name="T20" fmla="*/ 324 w 324"/>
                <a:gd name="T21" fmla="*/ 15 h 28"/>
                <a:gd name="T22" fmla="*/ 324 w 324"/>
                <a:gd name="T23" fmla="*/ 28 h 28"/>
                <a:gd name="T24" fmla="*/ 0 w 324"/>
                <a:gd name="T25" fmla="*/ 28 h 2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324" h="28">
                  <a:moveTo>
                    <a:pt x="0" y="28"/>
                  </a:moveTo>
                  <a:lnTo>
                    <a:pt x="0" y="15"/>
                  </a:lnTo>
                  <a:lnTo>
                    <a:pt x="69" y="15"/>
                  </a:lnTo>
                  <a:lnTo>
                    <a:pt x="69" y="0"/>
                  </a:lnTo>
                  <a:lnTo>
                    <a:pt x="88" y="0"/>
                  </a:lnTo>
                  <a:lnTo>
                    <a:pt x="88" y="15"/>
                  </a:lnTo>
                  <a:lnTo>
                    <a:pt x="236" y="15"/>
                  </a:lnTo>
                  <a:lnTo>
                    <a:pt x="236" y="0"/>
                  </a:lnTo>
                  <a:lnTo>
                    <a:pt x="255" y="0"/>
                  </a:lnTo>
                  <a:lnTo>
                    <a:pt x="255" y="15"/>
                  </a:lnTo>
                  <a:lnTo>
                    <a:pt x="324" y="15"/>
                  </a:lnTo>
                  <a:lnTo>
                    <a:pt x="324" y="28"/>
                  </a:lnTo>
                  <a:lnTo>
                    <a:pt x="0" y="28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21" name="Line 115">
              <a:extLst>
                <a:ext uri="{FF2B5EF4-FFF2-40B4-BE49-F238E27FC236}">
                  <a16:creationId xmlns:a16="http://schemas.microsoft.com/office/drawing/2014/main" id="{9A0B55E6-3DA5-55CF-8220-9CB70071D39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3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2" name="Line 116">
              <a:extLst>
                <a:ext uri="{FF2B5EF4-FFF2-40B4-BE49-F238E27FC236}">
                  <a16:creationId xmlns:a16="http://schemas.microsoft.com/office/drawing/2014/main" id="{D9773D44-DA2C-E400-B545-1FF4DF21472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7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3" name="Line 117">
              <a:extLst>
                <a:ext uri="{FF2B5EF4-FFF2-40B4-BE49-F238E27FC236}">
                  <a16:creationId xmlns:a16="http://schemas.microsoft.com/office/drawing/2014/main" id="{09C3028E-20F4-EDE9-185D-94CC9516812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47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4" name="Line 118">
              <a:extLst>
                <a:ext uri="{FF2B5EF4-FFF2-40B4-BE49-F238E27FC236}">
                  <a16:creationId xmlns:a16="http://schemas.microsoft.com/office/drawing/2014/main" id="{60023747-9FC8-DDC9-292C-0CB5AED5611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85" y="274"/>
              <a:ext cx="0" cy="15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5" name="Rectangle 119">
              <a:extLst>
                <a:ext uri="{FF2B5EF4-FFF2-40B4-BE49-F238E27FC236}">
                  <a16:creationId xmlns:a16="http://schemas.microsoft.com/office/drawing/2014/main" id="{5CF0F32D-23AE-B511-D82F-51406F2D9F7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60" y="289"/>
              <a:ext cx="46" cy="1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26" name="Line 120">
              <a:extLst>
                <a:ext uri="{FF2B5EF4-FFF2-40B4-BE49-F238E27FC236}">
                  <a16:creationId xmlns:a16="http://schemas.microsoft.com/office/drawing/2014/main" id="{C410A1D4-E3B4-7B6E-BEEB-C1732E8CD1C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252"/>
              <a:ext cx="1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7" name="Line 121">
              <a:extLst>
                <a:ext uri="{FF2B5EF4-FFF2-40B4-BE49-F238E27FC236}">
                  <a16:creationId xmlns:a16="http://schemas.microsoft.com/office/drawing/2014/main" id="{8808A39B-B6CB-26F0-720B-AFC98413382E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3" y="252"/>
              <a:ext cx="85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8" name="Line 122">
              <a:extLst>
                <a:ext uri="{FF2B5EF4-FFF2-40B4-BE49-F238E27FC236}">
                  <a16:creationId xmlns:a16="http://schemas.microsoft.com/office/drawing/2014/main" id="{8E8442C4-68CC-4381-7AD5-1A875895816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78" y="252"/>
              <a:ext cx="98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29" name="Line 123">
              <a:extLst>
                <a:ext uri="{FF2B5EF4-FFF2-40B4-BE49-F238E27FC236}">
                  <a16:creationId xmlns:a16="http://schemas.microsoft.com/office/drawing/2014/main" id="{BACEF8FF-C943-D350-2002-70427A8148D6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30" name="Line 124">
              <a:extLst>
                <a:ext uri="{FF2B5EF4-FFF2-40B4-BE49-F238E27FC236}">
                  <a16:creationId xmlns:a16="http://schemas.microsoft.com/office/drawing/2014/main" id="{CD777721-3065-078A-B91D-9BDFD4595F8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5" y="645"/>
              <a:ext cx="0" cy="3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31" name="Line 125">
              <a:extLst>
                <a:ext uri="{FF2B5EF4-FFF2-40B4-BE49-F238E27FC236}">
                  <a16:creationId xmlns:a16="http://schemas.microsoft.com/office/drawing/2014/main" id="{DB3D2789-EF70-98C9-ABC6-D8D8AEDAF58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79"/>
              <a:ext cx="3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32" name="Freeform 126">
              <a:extLst>
                <a:ext uri="{FF2B5EF4-FFF2-40B4-BE49-F238E27FC236}">
                  <a16:creationId xmlns:a16="http://schemas.microsoft.com/office/drawing/2014/main" id="{92EF8A08-68C9-4C6F-2964-825F3776AFDD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33" name="Freeform 127">
              <a:extLst>
                <a:ext uri="{FF2B5EF4-FFF2-40B4-BE49-F238E27FC236}">
                  <a16:creationId xmlns:a16="http://schemas.microsoft.com/office/drawing/2014/main" id="{D6E7C836-40F5-6AB6-EDAF-1626C2E2B241}"/>
                </a:ext>
              </a:extLst>
            </xdr:cNvPr>
            <xdr:cNvSpPr>
              <a:spLocks/>
            </xdr:cNvSpPr>
          </xdr:nvSpPr>
          <xdr:spPr bwMode="auto">
            <a:xfrm>
              <a:off x="721" y="678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34" name="Freeform 128">
              <a:extLst>
                <a:ext uri="{FF2B5EF4-FFF2-40B4-BE49-F238E27FC236}">
                  <a16:creationId xmlns:a16="http://schemas.microsoft.com/office/drawing/2014/main" id="{D6150369-BF39-680E-30CC-CD436C73B7D7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35" name="Freeform 129">
              <a:extLst>
                <a:ext uri="{FF2B5EF4-FFF2-40B4-BE49-F238E27FC236}">
                  <a16:creationId xmlns:a16="http://schemas.microsoft.com/office/drawing/2014/main" id="{D7D59B83-6263-69F3-084C-FEE9522CD380}"/>
                </a:ext>
              </a:extLst>
            </xdr:cNvPr>
            <xdr:cNvSpPr>
              <a:spLocks/>
            </xdr:cNvSpPr>
          </xdr:nvSpPr>
          <xdr:spPr bwMode="auto">
            <a:xfrm>
              <a:off x="1040" y="678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36" name="Line 130">
              <a:extLst>
                <a:ext uri="{FF2B5EF4-FFF2-40B4-BE49-F238E27FC236}">
                  <a16:creationId xmlns:a16="http://schemas.microsoft.com/office/drawing/2014/main" id="{B69850CB-E1B9-BCB1-6F1A-66668EB295F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37" name="Line 131">
              <a:extLst>
                <a:ext uri="{FF2B5EF4-FFF2-40B4-BE49-F238E27FC236}">
                  <a16:creationId xmlns:a16="http://schemas.microsoft.com/office/drawing/2014/main" id="{807614A3-25CC-AF71-2244-A9B979FC558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38" name="Line 132">
              <a:extLst>
                <a:ext uri="{FF2B5EF4-FFF2-40B4-BE49-F238E27FC236}">
                  <a16:creationId xmlns:a16="http://schemas.microsoft.com/office/drawing/2014/main" id="{D74C2254-EBD8-D444-3F41-6FAC3913F1BC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588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39" name="Freeform 133">
              <a:extLst>
                <a:ext uri="{FF2B5EF4-FFF2-40B4-BE49-F238E27FC236}">
                  <a16:creationId xmlns:a16="http://schemas.microsoft.com/office/drawing/2014/main" id="{3B9E982E-80C4-38EA-4835-5C39A71855FF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40" name="Freeform 134">
              <a:extLst>
                <a:ext uri="{FF2B5EF4-FFF2-40B4-BE49-F238E27FC236}">
                  <a16:creationId xmlns:a16="http://schemas.microsoft.com/office/drawing/2014/main" id="{BD601C58-0D4F-F33B-AAE4-977653F56F57}"/>
                </a:ext>
              </a:extLst>
            </xdr:cNvPr>
            <xdr:cNvSpPr>
              <a:spLocks/>
            </xdr:cNvSpPr>
          </xdr:nvSpPr>
          <xdr:spPr bwMode="auto">
            <a:xfrm>
              <a:off x="1065" y="635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41" name="Freeform 135">
              <a:extLst>
                <a:ext uri="{FF2B5EF4-FFF2-40B4-BE49-F238E27FC236}">
                  <a16:creationId xmlns:a16="http://schemas.microsoft.com/office/drawing/2014/main" id="{E45AC455-056F-58F2-E916-4051D7A5F02C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42" name="Freeform 136">
              <a:extLst>
                <a:ext uri="{FF2B5EF4-FFF2-40B4-BE49-F238E27FC236}">
                  <a16:creationId xmlns:a16="http://schemas.microsoft.com/office/drawing/2014/main" id="{C5FD4933-7586-D04C-AED7-4A030C963918}"/>
                </a:ext>
              </a:extLst>
            </xdr:cNvPr>
            <xdr:cNvSpPr>
              <a:spLocks/>
            </xdr:cNvSpPr>
          </xdr:nvSpPr>
          <xdr:spPr bwMode="auto">
            <a:xfrm>
              <a:off x="1065" y="583"/>
              <a:ext cx="1" cy="5"/>
            </a:xfrm>
            <a:custGeom>
              <a:avLst/>
              <a:gdLst>
                <a:gd name="T0" fmla="*/ 0 w 1"/>
                <a:gd name="T1" fmla="*/ 5 h 5"/>
                <a:gd name="T2" fmla="*/ 1 w 1"/>
                <a:gd name="T3" fmla="*/ 5 h 5"/>
                <a:gd name="T4" fmla="*/ 0 w 1"/>
                <a:gd name="T5" fmla="*/ 0 h 5"/>
                <a:gd name="T6" fmla="*/ 0 w 1"/>
                <a:gd name="T7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5"/>
                  </a:moveTo>
                  <a:lnTo>
                    <a:pt x="1" y="5"/>
                  </a:lnTo>
                  <a:lnTo>
                    <a:pt x="0" y="0"/>
                  </a:lnTo>
                  <a:lnTo>
                    <a:pt x="0" y="5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43" name="Line 137">
              <a:extLst>
                <a:ext uri="{FF2B5EF4-FFF2-40B4-BE49-F238E27FC236}">
                  <a16:creationId xmlns:a16="http://schemas.microsoft.com/office/drawing/2014/main" id="{26A5BB57-929A-3CA4-7AD6-55C986A00E9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8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44" name="Line 138">
              <a:extLst>
                <a:ext uri="{FF2B5EF4-FFF2-40B4-BE49-F238E27FC236}">
                  <a16:creationId xmlns:a16="http://schemas.microsoft.com/office/drawing/2014/main" id="{8CB192AB-B6CA-A17C-99A2-D95ED444489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45" name="Line 144">
              <a:extLst>
                <a:ext uri="{FF2B5EF4-FFF2-40B4-BE49-F238E27FC236}">
                  <a16:creationId xmlns:a16="http://schemas.microsoft.com/office/drawing/2014/main" id="{0C3C28BD-3345-6549-178A-EC867B1A9B6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563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46" name="Line 145">
              <a:extLst>
                <a:ext uri="{FF2B5EF4-FFF2-40B4-BE49-F238E27FC236}">
                  <a16:creationId xmlns:a16="http://schemas.microsoft.com/office/drawing/2014/main" id="{B5B5931F-6EEC-EFBB-7746-4CD10B25AFF6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47" name="Line 146">
              <a:extLst>
                <a:ext uri="{FF2B5EF4-FFF2-40B4-BE49-F238E27FC236}">
                  <a16:creationId xmlns:a16="http://schemas.microsoft.com/office/drawing/2014/main" id="{688A49A3-9BC7-5F78-61A7-30BC1F7F113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422"/>
              <a:ext cx="0" cy="13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48" name="Freeform 147">
              <a:extLst>
                <a:ext uri="{FF2B5EF4-FFF2-40B4-BE49-F238E27FC236}">
                  <a16:creationId xmlns:a16="http://schemas.microsoft.com/office/drawing/2014/main" id="{08A0910D-5CDB-F344-CB11-A31D3E186BB4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49" name="Freeform 148">
              <a:extLst>
                <a:ext uri="{FF2B5EF4-FFF2-40B4-BE49-F238E27FC236}">
                  <a16:creationId xmlns:a16="http://schemas.microsoft.com/office/drawing/2014/main" id="{64CC8D42-A045-D46F-5BB4-25D6BEF945C1}"/>
                </a:ext>
              </a:extLst>
            </xdr:cNvPr>
            <xdr:cNvSpPr>
              <a:spLocks/>
            </xdr:cNvSpPr>
          </xdr:nvSpPr>
          <xdr:spPr bwMode="auto">
            <a:xfrm>
              <a:off x="1065" y="558"/>
              <a:ext cx="1" cy="5"/>
            </a:xfrm>
            <a:custGeom>
              <a:avLst/>
              <a:gdLst>
                <a:gd name="T0" fmla="*/ 0 w 1"/>
                <a:gd name="T1" fmla="*/ 0 h 5"/>
                <a:gd name="T2" fmla="*/ 1 w 1"/>
                <a:gd name="T3" fmla="*/ 0 h 5"/>
                <a:gd name="T4" fmla="*/ 0 w 1"/>
                <a:gd name="T5" fmla="*/ 5 h 5"/>
                <a:gd name="T6" fmla="*/ 0 w 1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5">
                  <a:moveTo>
                    <a:pt x="0" y="0"/>
                  </a:moveTo>
                  <a:lnTo>
                    <a:pt x="1" y="0"/>
                  </a:lnTo>
                  <a:lnTo>
                    <a:pt x="0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50" name="Freeform 149">
              <a:extLst>
                <a:ext uri="{FF2B5EF4-FFF2-40B4-BE49-F238E27FC236}">
                  <a16:creationId xmlns:a16="http://schemas.microsoft.com/office/drawing/2014/main" id="{9C99F02B-2C72-7FD6-07C5-DFC6FA99B946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51" name="Freeform 150">
              <a:extLst>
                <a:ext uri="{FF2B5EF4-FFF2-40B4-BE49-F238E27FC236}">
                  <a16:creationId xmlns:a16="http://schemas.microsoft.com/office/drawing/2014/main" id="{665B479B-CDC3-7CD1-4D00-BCA9F9A5091D}"/>
                </a:ext>
              </a:extLst>
            </xdr:cNvPr>
            <xdr:cNvSpPr>
              <a:spLocks/>
            </xdr:cNvSpPr>
          </xdr:nvSpPr>
          <xdr:spPr bwMode="auto">
            <a:xfrm>
              <a:off x="1065" y="416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52" name="Line 151">
              <a:extLst>
                <a:ext uri="{FF2B5EF4-FFF2-40B4-BE49-F238E27FC236}">
                  <a16:creationId xmlns:a16="http://schemas.microsoft.com/office/drawing/2014/main" id="{84C6B6F2-17D8-C54F-5F06-247B6750305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416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53" name="Line 152">
              <a:extLst>
                <a:ext uri="{FF2B5EF4-FFF2-40B4-BE49-F238E27FC236}">
                  <a16:creationId xmlns:a16="http://schemas.microsoft.com/office/drawing/2014/main" id="{ACDCF696-009B-0BD1-B495-21C47F26CB4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54" name="Line 158">
              <a:extLst>
                <a:ext uri="{FF2B5EF4-FFF2-40B4-BE49-F238E27FC236}">
                  <a16:creationId xmlns:a16="http://schemas.microsoft.com/office/drawing/2014/main" id="{E21436CF-2B4A-80B3-9A71-A285EFEF46F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97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55" name="Line 159">
              <a:extLst>
                <a:ext uri="{FF2B5EF4-FFF2-40B4-BE49-F238E27FC236}">
                  <a16:creationId xmlns:a16="http://schemas.microsoft.com/office/drawing/2014/main" id="{C5B309EC-1776-3A8E-739F-E5E893B909D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17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56" name="Line 160">
              <a:extLst>
                <a:ext uri="{FF2B5EF4-FFF2-40B4-BE49-F238E27FC236}">
                  <a16:creationId xmlns:a16="http://schemas.microsoft.com/office/drawing/2014/main" id="{ECC9351D-65E5-FDD0-7CD8-BD474D1CE24D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65" y="344"/>
              <a:ext cx="0" cy="47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57" name="Freeform 161">
              <a:extLst>
                <a:ext uri="{FF2B5EF4-FFF2-40B4-BE49-F238E27FC236}">
                  <a16:creationId xmlns:a16="http://schemas.microsoft.com/office/drawing/2014/main" id="{70868E05-7001-B7F4-601A-A0CA729AA9A3}"/>
                </a:ext>
              </a:extLst>
            </xdr:cNvPr>
            <xdr:cNvSpPr>
              <a:spLocks/>
            </xdr:cNvSpPr>
          </xdr:nvSpPr>
          <xdr:spPr bwMode="auto">
            <a:xfrm>
              <a:off x="1065" y="391"/>
              <a:ext cx="1" cy="6"/>
            </a:xfrm>
            <a:custGeom>
              <a:avLst/>
              <a:gdLst>
                <a:gd name="T0" fmla="*/ 0 w 1"/>
                <a:gd name="T1" fmla="*/ 0 h 6"/>
                <a:gd name="T2" fmla="*/ 1 w 1"/>
                <a:gd name="T3" fmla="*/ 0 h 6"/>
                <a:gd name="T4" fmla="*/ 0 w 1"/>
                <a:gd name="T5" fmla="*/ 6 h 6"/>
                <a:gd name="T6" fmla="*/ 0 w 1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0"/>
                  </a:moveTo>
                  <a:lnTo>
                    <a:pt x="1" y="0"/>
                  </a:lnTo>
                  <a:lnTo>
                    <a:pt x="0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58" name="Freeform 163">
              <a:extLst>
                <a:ext uri="{FF2B5EF4-FFF2-40B4-BE49-F238E27FC236}">
                  <a16:creationId xmlns:a16="http://schemas.microsoft.com/office/drawing/2014/main" id="{AE9FDAEA-844F-4D58-BAD7-744031CE0E41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59" name="Freeform 164">
              <a:extLst>
                <a:ext uri="{FF2B5EF4-FFF2-40B4-BE49-F238E27FC236}">
                  <a16:creationId xmlns:a16="http://schemas.microsoft.com/office/drawing/2014/main" id="{A5A86D7C-3829-C693-7766-AF8F86ADE887}"/>
                </a:ext>
              </a:extLst>
            </xdr:cNvPr>
            <xdr:cNvSpPr>
              <a:spLocks/>
            </xdr:cNvSpPr>
          </xdr:nvSpPr>
          <xdr:spPr bwMode="auto">
            <a:xfrm>
              <a:off x="1065" y="338"/>
              <a:ext cx="1" cy="6"/>
            </a:xfrm>
            <a:custGeom>
              <a:avLst/>
              <a:gdLst>
                <a:gd name="T0" fmla="*/ 0 w 1"/>
                <a:gd name="T1" fmla="*/ 6 h 6"/>
                <a:gd name="T2" fmla="*/ 1 w 1"/>
                <a:gd name="T3" fmla="*/ 6 h 6"/>
                <a:gd name="T4" fmla="*/ 0 w 1"/>
                <a:gd name="T5" fmla="*/ 0 h 6"/>
                <a:gd name="T6" fmla="*/ 0 w 1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" h="6">
                  <a:moveTo>
                    <a:pt x="0" y="6"/>
                  </a:moveTo>
                  <a:lnTo>
                    <a:pt x="1" y="6"/>
                  </a:lnTo>
                  <a:lnTo>
                    <a:pt x="0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60" name="Line 165">
              <a:extLst>
                <a:ext uri="{FF2B5EF4-FFF2-40B4-BE49-F238E27FC236}">
                  <a16:creationId xmlns:a16="http://schemas.microsoft.com/office/drawing/2014/main" id="{CD038B66-93B8-6241-7242-B4B751E908A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641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61" name="Line 166">
              <a:extLst>
                <a:ext uri="{FF2B5EF4-FFF2-40B4-BE49-F238E27FC236}">
                  <a16:creationId xmlns:a16="http://schemas.microsoft.com/office/drawing/2014/main" id="{B79E5E54-2BA5-6838-503D-A1B95FE9BFC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0" y="338"/>
              <a:ext cx="4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62" name="Line 167">
              <a:extLst>
                <a:ext uri="{FF2B5EF4-FFF2-40B4-BE49-F238E27FC236}">
                  <a16:creationId xmlns:a16="http://schemas.microsoft.com/office/drawing/2014/main" id="{20822FCA-4FA1-31A8-43E2-089DB3F61F66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92" y="344"/>
              <a:ext cx="0" cy="29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63" name="Freeform 168">
              <a:extLst>
                <a:ext uri="{FF2B5EF4-FFF2-40B4-BE49-F238E27FC236}">
                  <a16:creationId xmlns:a16="http://schemas.microsoft.com/office/drawing/2014/main" id="{1B34AA3C-EB2F-D30B-4877-2DA5CD10D244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64" name="Freeform 169">
              <a:extLst>
                <a:ext uri="{FF2B5EF4-FFF2-40B4-BE49-F238E27FC236}">
                  <a16:creationId xmlns:a16="http://schemas.microsoft.com/office/drawing/2014/main" id="{5422DEB9-5D58-1865-3706-8BB0DF6CC3B3}"/>
                </a:ext>
              </a:extLst>
            </xdr:cNvPr>
            <xdr:cNvSpPr>
              <a:spLocks/>
            </xdr:cNvSpPr>
          </xdr:nvSpPr>
          <xdr:spPr bwMode="auto">
            <a:xfrm>
              <a:off x="1091" y="635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65" name="Freeform 170">
              <a:extLst>
                <a:ext uri="{FF2B5EF4-FFF2-40B4-BE49-F238E27FC236}">
                  <a16:creationId xmlns:a16="http://schemas.microsoft.com/office/drawing/2014/main" id="{3D0E0091-0838-FBF9-76D9-5ACA29150868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66" name="Freeform 171">
              <a:extLst>
                <a:ext uri="{FF2B5EF4-FFF2-40B4-BE49-F238E27FC236}">
                  <a16:creationId xmlns:a16="http://schemas.microsoft.com/office/drawing/2014/main" id="{B5890EE9-9A07-3B88-8BB2-7B00E81A500F}"/>
                </a:ext>
              </a:extLst>
            </xdr:cNvPr>
            <xdr:cNvSpPr>
              <a:spLocks/>
            </xdr:cNvSpPr>
          </xdr:nvSpPr>
          <xdr:spPr bwMode="auto">
            <a:xfrm>
              <a:off x="1091" y="338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67" name="Line 172">
              <a:extLst>
                <a:ext uri="{FF2B5EF4-FFF2-40B4-BE49-F238E27FC236}">
                  <a16:creationId xmlns:a16="http://schemas.microsoft.com/office/drawing/2014/main" id="{9F388D55-6889-952E-C4F3-95329A15A71C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56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68" name="Line 173">
              <a:extLst>
                <a:ext uri="{FF2B5EF4-FFF2-40B4-BE49-F238E27FC236}">
                  <a16:creationId xmlns:a16="http://schemas.microsoft.com/office/drawing/2014/main" id="{BC05766C-D1AB-9180-BA45-F69CDA50A41B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910" y="441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69" name="Line 174">
              <a:extLst>
                <a:ext uri="{FF2B5EF4-FFF2-40B4-BE49-F238E27FC236}">
                  <a16:creationId xmlns:a16="http://schemas.microsoft.com/office/drawing/2014/main" id="{591038EA-ADA9-942D-4BA2-B6652975192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62" y="443"/>
              <a:ext cx="4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70" name="Freeform 175">
              <a:extLst>
                <a:ext uri="{FF2B5EF4-FFF2-40B4-BE49-F238E27FC236}">
                  <a16:creationId xmlns:a16="http://schemas.microsoft.com/office/drawing/2014/main" id="{A54BC5E1-E67F-D96F-C5DD-BCA9E94DFB2F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71" name="Freeform 176">
              <a:extLst>
                <a:ext uri="{FF2B5EF4-FFF2-40B4-BE49-F238E27FC236}">
                  <a16:creationId xmlns:a16="http://schemas.microsoft.com/office/drawing/2014/main" id="{BEEA6BF2-266E-468E-8A60-50DFC54D53EA}"/>
                </a:ext>
              </a:extLst>
            </xdr:cNvPr>
            <xdr:cNvSpPr>
              <a:spLocks/>
            </xdr:cNvSpPr>
          </xdr:nvSpPr>
          <xdr:spPr bwMode="auto">
            <a:xfrm>
              <a:off x="856" y="442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72" name="Freeform 177">
              <a:extLst>
                <a:ext uri="{FF2B5EF4-FFF2-40B4-BE49-F238E27FC236}">
                  <a16:creationId xmlns:a16="http://schemas.microsoft.com/office/drawing/2014/main" id="{864D82FA-118B-31E1-33D7-B665E51B56D2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73" name="Freeform 178">
              <a:extLst>
                <a:ext uri="{FF2B5EF4-FFF2-40B4-BE49-F238E27FC236}">
                  <a16:creationId xmlns:a16="http://schemas.microsoft.com/office/drawing/2014/main" id="{D72CE11D-9347-947D-459F-CAEB2B88AB35}"/>
                </a:ext>
              </a:extLst>
            </xdr:cNvPr>
            <xdr:cNvSpPr>
              <a:spLocks/>
            </xdr:cNvSpPr>
          </xdr:nvSpPr>
          <xdr:spPr bwMode="auto">
            <a:xfrm>
              <a:off x="904" y="442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74" name="Line 179">
              <a:extLst>
                <a:ext uri="{FF2B5EF4-FFF2-40B4-BE49-F238E27FC236}">
                  <a16:creationId xmlns:a16="http://schemas.microsoft.com/office/drawing/2014/main" id="{D46069BA-2360-28D2-D455-7990DAE6A387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516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75" name="Line 180">
              <a:extLst>
                <a:ext uri="{FF2B5EF4-FFF2-40B4-BE49-F238E27FC236}">
                  <a16:creationId xmlns:a16="http://schemas.microsoft.com/office/drawing/2014/main" id="{F36C12FB-B6BC-6A52-9C7B-303CF9C3DC0A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463"/>
              <a:ext cx="14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76" name="Line 181">
              <a:extLst>
                <a:ext uri="{FF2B5EF4-FFF2-40B4-BE49-F238E27FC236}">
                  <a16:creationId xmlns:a16="http://schemas.microsoft.com/office/drawing/2014/main" id="{4F764C01-404B-5706-3EA5-C823D4A2B8A7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40" y="469"/>
              <a:ext cx="0" cy="4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77" name="Freeform 182">
              <a:extLst>
                <a:ext uri="{FF2B5EF4-FFF2-40B4-BE49-F238E27FC236}">
                  <a16:creationId xmlns:a16="http://schemas.microsoft.com/office/drawing/2014/main" id="{7CE7EE65-10A8-20FF-23AF-6F9670A341AE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78" name="Freeform 183">
              <a:extLst>
                <a:ext uri="{FF2B5EF4-FFF2-40B4-BE49-F238E27FC236}">
                  <a16:creationId xmlns:a16="http://schemas.microsoft.com/office/drawing/2014/main" id="{C3719E37-615C-A76B-35A2-A6672696855A}"/>
                </a:ext>
              </a:extLst>
            </xdr:cNvPr>
            <xdr:cNvSpPr>
              <a:spLocks/>
            </xdr:cNvSpPr>
          </xdr:nvSpPr>
          <xdr:spPr bwMode="auto">
            <a:xfrm>
              <a:off x="839" y="511"/>
              <a:ext cx="2" cy="5"/>
            </a:xfrm>
            <a:custGeom>
              <a:avLst/>
              <a:gdLst>
                <a:gd name="T0" fmla="*/ 0 w 2"/>
                <a:gd name="T1" fmla="*/ 0 h 5"/>
                <a:gd name="T2" fmla="*/ 2 w 2"/>
                <a:gd name="T3" fmla="*/ 0 h 5"/>
                <a:gd name="T4" fmla="*/ 1 w 2"/>
                <a:gd name="T5" fmla="*/ 5 h 5"/>
                <a:gd name="T6" fmla="*/ 0 w 2"/>
                <a:gd name="T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5">
                  <a:moveTo>
                    <a:pt x="0" y="0"/>
                  </a:moveTo>
                  <a:lnTo>
                    <a:pt x="2" y="0"/>
                  </a:lnTo>
                  <a:lnTo>
                    <a:pt x="1" y="5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79" name="Freeform 184">
              <a:extLst>
                <a:ext uri="{FF2B5EF4-FFF2-40B4-BE49-F238E27FC236}">
                  <a16:creationId xmlns:a16="http://schemas.microsoft.com/office/drawing/2014/main" id="{B83536BA-FF99-F4E4-4B91-B816160B319F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80" name="Freeform 185">
              <a:extLst>
                <a:ext uri="{FF2B5EF4-FFF2-40B4-BE49-F238E27FC236}">
                  <a16:creationId xmlns:a16="http://schemas.microsoft.com/office/drawing/2014/main" id="{BB538689-A6CB-98E4-4FFA-BEF5C8D5B9B2}"/>
                </a:ext>
              </a:extLst>
            </xdr:cNvPr>
            <xdr:cNvSpPr>
              <a:spLocks/>
            </xdr:cNvSpPr>
          </xdr:nvSpPr>
          <xdr:spPr bwMode="auto">
            <a:xfrm>
              <a:off x="839" y="4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81" name="Line 186">
              <a:extLst>
                <a:ext uri="{FF2B5EF4-FFF2-40B4-BE49-F238E27FC236}">
                  <a16:creationId xmlns:a16="http://schemas.microsoft.com/office/drawing/2014/main" id="{A693EFEF-0045-0E18-BD8A-37DE90346EF4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8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82" name="Line 187">
              <a:extLst>
                <a:ext uri="{FF2B5EF4-FFF2-40B4-BE49-F238E27FC236}">
                  <a16:creationId xmlns:a16="http://schemas.microsoft.com/office/drawing/2014/main" id="{8044F095-CBEB-4CF2-1B4D-2B9568C880CA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11" y="375"/>
              <a:ext cx="0" cy="1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83" name="Line 188">
              <a:extLst>
                <a:ext uri="{FF2B5EF4-FFF2-40B4-BE49-F238E27FC236}">
                  <a16:creationId xmlns:a16="http://schemas.microsoft.com/office/drawing/2014/main" id="{7E4AE4B1-2F1B-7903-A030-7F1F37DBB09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4" y="377"/>
              <a:ext cx="12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84" name="Freeform 189">
              <a:extLst>
                <a:ext uri="{FF2B5EF4-FFF2-40B4-BE49-F238E27FC236}">
                  <a16:creationId xmlns:a16="http://schemas.microsoft.com/office/drawing/2014/main" id="{F0A302B5-2AD2-203E-0EC7-7291AABE1C12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85" name="Freeform 190">
              <a:extLst>
                <a:ext uri="{FF2B5EF4-FFF2-40B4-BE49-F238E27FC236}">
                  <a16:creationId xmlns:a16="http://schemas.microsoft.com/office/drawing/2014/main" id="{E1FFC5D4-F797-7C84-4ACC-ACA401D6A5B0}"/>
                </a:ext>
              </a:extLst>
            </xdr:cNvPr>
            <xdr:cNvSpPr>
              <a:spLocks/>
            </xdr:cNvSpPr>
          </xdr:nvSpPr>
          <xdr:spPr bwMode="auto">
            <a:xfrm>
              <a:off x="788" y="376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86" name="Freeform 191">
              <a:extLst>
                <a:ext uri="{FF2B5EF4-FFF2-40B4-BE49-F238E27FC236}">
                  <a16:creationId xmlns:a16="http://schemas.microsoft.com/office/drawing/2014/main" id="{045001ED-0B52-CE4B-7BF3-24B809C58E05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87" name="Freeform 192">
              <a:extLst>
                <a:ext uri="{FF2B5EF4-FFF2-40B4-BE49-F238E27FC236}">
                  <a16:creationId xmlns:a16="http://schemas.microsoft.com/office/drawing/2014/main" id="{325C34F4-6ED8-6146-9CE7-519DB6290B84}"/>
                </a:ext>
              </a:extLst>
            </xdr:cNvPr>
            <xdr:cNvSpPr>
              <a:spLocks/>
            </xdr:cNvSpPr>
          </xdr:nvSpPr>
          <xdr:spPr bwMode="auto">
            <a:xfrm>
              <a:off x="806" y="376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88" name="Line 193">
              <a:extLst>
                <a:ext uri="{FF2B5EF4-FFF2-40B4-BE49-F238E27FC236}">
                  <a16:creationId xmlns:a16="http://schemas.microsoft.com/office/drawing/2014/main" id="{D2E89C14-47F2-A1F0-9EB3-D07D82F4A7FA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395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89" name="Line 194">
              <a:extLst>
                <a:ext uri="{FF2B5EF4-FFF2-40B4-BE49-F238E27FC236}">
                  <a16:creationId xmlns:a16="http://schemas.microsoft.com/office/drawing/2014/main" id="{22D5FB39-EBAD-6E89-948A-D98D910E3CFA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8" y="418"/>
              <a:ext cx="1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90" name="Line 195">
              <a:extLst>
                <a:ext uri="{FF2B5EF4-FFF2-40B4-BE49-F238E27FC236}">
                  <a16:creationId xmlns:a16="http://schemas.microsoft.com/office/drawing/2014/main" id="{090967C6-73BC-9F6E-3525-25AD8C4AD0AF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70" y="401"/>
              <a:ext cx="0" cy="1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91" name="Freeform 196">
              <a:extLst>
                <a:ext uri="{FF2B5EF4-FFF2-40B4-BE49-F238E27FC236}">
                  <a16:creationId xmlns:a16="http://schemas.microsoft.com/office/drawing/2014/main" id="{3489D758-941B-7B86-DB90-27BF4FAECFB1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92" name="Freeform 197">
              <a:extLst>
                <a:ext uri="{FF2B5EF4-FFF2-40B4-BE49-F238E27FC236}">
                  <a16:creationId xmlns:a16="http://schemas.microsoft.com/office/drawing/2014/main" id="{3A6261D7-2D36-0237-7A2A-716E01B04F3E}"/>
                </a:ext>
              </a:extLst>
            </xdr:cNvPr>
            <xdr:cNvSpPr>
              <a:spLocks/>
            </xdr:cNvSpPr>
          </xdr:nvSpPr>
          <xdr:spPr bwMode="auto">
            <a:xfrm>
              <a:off x="769" y="395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93" name="Freeform 198">
              <a:extLst>
                <a:ext uri="{FF2B5EF4-FFF2-40B4-BE49-F238E27FC236}">
                  <a16:creationId xmlns:a16="http://schemas.microsoft.com/office/drawing/2014/main" id="{3568F5F3-5DAA-418B-2787-6E4D1FBB4EB1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594" name="Freeform 199">
              <a:extLst>
                <a:ext uri="{FF2B5EF4-FFF2-40B4-BE49-F238E27FC236}">
                  <a16:creationId xmlns:a16="http://schemas.microsoft.com/office/drawing/2014/main" id="{1583F907-0A44-467B-3043-DEBDFD9A7F6E}"/>
                </a:ext>
              </a:extLst>
            </xdr:cNvPr>
            <xdr:cNvSpPr>
              <a:spLocks/>
            </xdr:cNvSpPr>
          </xdr:nvSpPr>
          <xdr:spPr bwMode="auto">
            <a:xfrm>
              <a:off x="769" y="412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595" name="Line 200">
              <a:extLst>
                <a:ext uri="{FF2B5EF4-FFF2-40B4-BE49-F238E27FC236}">
                  <a16:creationId xmlns:a16="http://schemas.microsoft.com/office/drawing/2014/main" id="{5B7D27A1-408D-EF0A-0DC3-9FF98EB5867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81" y="538"/>
              <a:ext cx="0" cy="21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96" name="Line 201">
              <a:extLst>
                <a:ext uri="{FF2B5EF4-FFF2-40B4-BE49-F238E27FC236}">
                  <a16:creationId xmlns:a16="http://schemas.microsoft.com/office/drawing/2014/main" id="{D8061431-5C22-AFE4-91D3-44F04051F598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90" y="538"/>
              <a:ext cx="0" cy="12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97" name="Line 202">
              <a:extLst>
                <a:ext uri="{FF2B5EF4-FFF2-40B4-BE49-F238E27FC236}">
                  <a16:creationId xmlns:a16="http://schemas.microsoft.com/office/drawing/2014/main" id="{45496813-9481-9400-1AEF-6F7EC240EC09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9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98" name="Line 203">
              <a:extLst>
                <a:ext uri="{FF2B5EF4-FFF2-40B4-BE49-F238E27FC236}">
                  <a16:creationId xmlns:a16="http://schemas.microsoft.com/office/drawing/2014/main" id="{E247B298-10BD-FB06-7376-EDD781C433E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6" y="540"/>
              <a:ext cx="6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599" name="Line 204">
              <a:extLst>
                <a:ext uri="{FF2B5EF4-FFF2-40B4-BE49-F238E27FC236}">
                  <a16:creationId xmlns:a16="http://schemas.microsoft.com/office/drawing/2014/main" id="{DE2F1EE0-6B3D-F7EE-0320-951A37DD50C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81" y="540"/>
              <a:ext cx="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00" name="Freeform 205">
              <a:extLst>
                <a:ext uri="{FF2B5EF4-FFF2-40B4-BE49-F238E27FC236}">
                  <a16:creationId xmlns:a16="http://schemas.microsoft.com/office/drawing/2014/main" id="{F2A2544B-9C88-B728-CACA-12B333C5DC49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601" name="Freeform 206">
              <a:extLst>
                <a:ext uri="{FF2B5EF4-FFF2-40B4-BE49-F238E27FC236}">
                  <a16:creationId xmlns:a16="http://schemas.microsoft.com/office/drawing/2014/main" id="{EA2EDF2C-95CD-9F9A-6B51-08B282E92CB6}"/>
                </a:ext>
              </a:extLst>
            </xdr:cNvPr>
            <xdr:cNvSpPr>
              <a:spLocks/>
            </xdr:cNvSpPr>
          </xdr:nvSpPr>
          <xdr:spPr bwMode="auto">
            <a:xfrm>
              <a:off x="775" y="539"/>
              <a:ext cx="6" cy="2"/>
            </a:xfrm>
            <a:custGeom>
              <a:avLst/>
              <a:gdLst>
                <a:gd name="T0" fmla="*/ 0 w 6"/>
                <a:gd name="T1" fmla="*/ 0 h 2"/>
                <a:gd name="T2" fmla="*/ 0 w 6"/>
                <a:gd name="T3" fmla="*/ 2 h 2"/>
                <a:gd name="T4" fmla="*/ 6 w 6"/>
                <a:gd name="T5" fmla="*/ 1 h 2"/>
                <a:gd name="T6" fmla="*/ 0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0" y="0"/>
                  </a:moveTo>
                  <a:lnTo>
                    <a:pt x="0" y="2"/>
                  </a:lnTo>
                  <a:lnTo>
                    <a:pt x="6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02" name="Freeform 207">
              <a:extLst>
                <a:ext uri="{FF2B5EF4-FFF2-40B4-BE49-F238E27FC236}">
                  <a16:creationId xmlns:a16="http://schemas.microsoft.com/office/drawing/2014/main" id="{E5B8E133-680A-19E8-52A7-C9CCFABFB3B7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603" name="Freeform 208">
              <a:extLst>
                <a:ext uri="{FF2B5EF4-FFF2-40B4-BE49-F238E27FC236}">
                  <a16:creationId xmlns:a16="http://schemas.microsoft.com/office/drawing/2014/main" id="{9FAF4740-5036-BEE1-E1F2-4A598D86B0E1}"/>
                </a:ext>
              </a:extLst>
            </xdr:cNvPr>
            <xdr:cNvSpPr>
              <a:spLocks/>
            </xdr:cNvSpPr>
          </xdr:nvSpPr>
          <xdr:spPr bwMode="auto">
            <a:xfrm>
              <a:off x="790" y="539"/>
              <a:ext cx="6" cy="2"/>
            </a:xfrm>
            <a:custGeom>
              <a:avLst/>
              <a:gdLst>
                <a:gd name="T0" fmla="*/ 6 w 6"/>
                <a:gd name="T1" fmla="*/ 0 h 2"/>
                <a:gd name="T2" fmla="*/ 6 w 6"/>
                <a:gd name="T3" fmla="*/ 2 h 2"/>
                <a:gd name="T4" fmla="*/ 0 w 6"/>
                <a:gd name="T5" fmla="*/ 1 h 2"/>
                <a:gd name="T6" fmla="*/ 6 w 6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" h="2">
                  <a:moveTo>
                    <a:pt x="6" y="0"/>
                  </a:moveTo>
                  <a:lnTo>
                    <a:pt x="6" y="2"/>
                  </a:lnTo>
                  <a:lnTo>
                    <a:pt x="0" y="1"/>
                  </a:lnTo>
                  <a:lnTo>
                    <a:pt x="6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04" name="Line 209">
              <a:extLst>
                <a:ext uri="{FF2B5EF4-FFF2-40B4-BE49-F238E27FC236}">
                  <a16:creationId xmlns:a16="http://schemas.microsoft.com/office/drawing/2014/main" id="{29F3313C-5F18-BD34-C1E3-94497C78F01F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63"/>
              <a:ext cx="1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05" name="Line 210">
              <a:extLst>
                <a:ext uri="{FF2B5EF4-FFF2-40B4-BE49-F238E27FC236}">
                  <a16:creationId xmlns:a16="http://schemas.microsoft.com/office/drawing/2014/main" id="{20581958-5A11-3D15-9FAA-756F0584171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6" y="554"/>
              <a:ext cx="20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06" name="Line 211">
              <a:extLst>
                <a:ext uri="{FF2B5EF4-FFF2-40B4-BE49-F238E27FC236}">
                  <a16:creationId xmlns:a16="http://schemas.microsoft.com/office/drawing/2014/main" id="{C412B897-9B40-BE4C-839E-8BEC911AC496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8" y="569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07" name="Line 212">
              <a:extLst>
                <a:ext uri="{FF2B5EF4-FFF2-40B4-BE49-F238E27FC236}">
                  <a16:creationId xmlns:a16="http://schemas.microsoft.com/office/drawing/2014/main" id="{D2FCA8B4-17A7-3F48-F7EF-4FDC1B7E6D48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42"/>
              <a:ext cx="0" cy="6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08" name="Line 213">
              <a:extLst>
                <a:ext uri="{FF2B5EF4-FFF2-40B4-BE49-F238E27FC236}">
                  <a16:creationId xmlns:a16="http://schemas.microsoft.com/office/drawing/2014/main" id="{19637A54-282A-9E46-6DFF-E70A7080C05A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68" y="554"/>
              <a:ext cx="0" cy="9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09" name="Freeform 214">
              <a:extLst>
                <a:ext uri="{FF2B5EF4-FFF2-40B4-BE49-F238E27FC236}">
                  <a16:creationId xmlns:a16="http://schemas.microsoft.com/office/drawing/2014/main" id="{A11C119A-B230-6E33-86C1-B46CFA78519E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610" name="Freeform 215">
              <a:extLst>
                <a:ext uri="{FF2B5EF4-FFF2-40B4-BE49-F238E27FC236}">
                  <a16:creationId xmlns:a16="http://schemas.microsoft.com/office/drawing/2014/main" id="{9A7EFB3C-4A52-95AD-1A36-BB6A382BABB9}"/>
                </a:ext>
              </a:extLst>
            </xdr:cNvPr>
            <xdr:cNvSpPr>
              <a:spLocks/>
            </xdr:cNvSpPr>
          </xdr:nvSpPr>
          <xdr:spPr bwMode="auto">
            <a:xfrm>
              <a:off x="767" y="563"/>
              <a:ext cx="2" cy="6"/>
            </a:xfrm>
            <a:custGeom>
              <a:avLst/>
              <a:gdLst>
                <a:gd name="T0" fmla="*/ 0 w 2"/>
                <a:gd name="T1" fmla="*/ 6 h 6"/>
                <a:gd name="T2" fmla="*/ 2 w 2"/>
                <a:gd name="T3" fmla="*/ 6 h 6"/>
                <a:gd name="T4" fmla="*/ 1 w 2"/>
                <a:gd name="T5" fmla="*/ 0 h 6"/>
                <a:gd name="T6" fmla="*/ 0 w 2"/>
                <a:gd name="T7" fmla="*/ 6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6"/>
                  </a:moveTo>
                  <a:lnTo>
                    <a:pt x="2" y="6"/>
                  </a:lnTo>
                  <a:lnTo>
                    <a:pt x="1" y="0"/>
                  </a:lnTo>
                  <a:lnTo>
                    <a:pt x="0" y="6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1" name="Freeform 216">
              <a:extLst>
                <a:ext uri="{FF2B5EF4-FFF2-40B4-BE49-F238E27FC236}">
                  <a16:creationId xmlns:a16="http://schemas.microsoft.com/office/drawing/2014/main" id="{2C9F94A4-4412-908F-115E-881830FB56DB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612" name="Freeform 217">
              <a:extLst>
                <a:ext uri="{FF2B5EF4-FFF2-40B4-BE49-F238E27FC236}">
                  <a16:creationId xmlns:a16="http://schemas.microsoft.com/office/drawing/2014/main" id="{28B08E8D-F3F7-8494-3EA7-203109F549CD}"/>
                </a:ext>
              </a:extLst>
            </xdr:cNvPr>
            <xdr:cNvSpPr>
              <a:spLocks/>
            </xdr:cNvSpPr>
          </xdr:nvSpPr>
          <xdr:spPr bwMode="auto">
            <a:xfrm>
              <a:off x="767" y="548"/>
              <a:ext cx="2" cy="6"/>
            </a:xfrm>
            <a:custGeom>
              <a:avLst/>
              <a:gdLst>
                <a:gd name="T0" fmla="*/ 0 w 2"/>
                <a:gd name="T1" fmla="*/ 0 h 6"/>
                <a:gd name="T2" fmla="*/ 2 w 2"/>
                <a:gd name="T3" fmla="*/ 0 h 6"/>
                <a:gd name="T4" fmla="*/ 1 w 2"/>
                <a:gd name="T5" fmla="*/ 6 h 6"/>
                <a:gd name="T6" fmla="*/ 0 w 2"/>
                <a:gd name="T7" fmla="*/ 0 h 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6">
                  <a:moveTo>
                    <a:pt x="0" y="0"/>
                  </a:moveTo>
                  <a:lnTo>
                    <a:pt x="2" y="0"/>
                  </a:lnTo>
                  <a:lnTo>
                    <a:pt x="1" y="6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3" name="Rectangle 218">
              <a:extLst>
                <a:ext uri="{FF2B5EF4-FFF2-40B4-BE49-F238E27FC236}">
                  <a16:creationId xmlns:a16="http://schemas.microsoft.com/office/drawing/2014/main" id="{F1B9A738-91D7-C4D8-E06A-DADB7A92444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21" y="338"/>
              <a:ext cx="324" cy="30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4" name="Rectangle 219">
              <a:extLst>
                <a:ext uri="{FF2B5EF4-FFF2-40B4-BE49-F238E27FC236}">
                  <a16:creationId xmlns:a16="http://schemas.microsoft.com/office/drawing/2014/main" id="{75D0C944-0D41-B5CC-C27C-E9FEA8CA5A3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6" y="463"/>
              <a:ext cx="54" cy="5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5" name="Freeform 220">
              <a:extLst>
                <a:ext uri="{FF2B5EF4-FFF2-40B4-BE49-F238E27FC236}">
                  <a16:creationId xmlns:a16="http://schemas.microsoft.com/office/drawing/2014/main" id="{408D6FA9-F487-5854-0B7C-7B0C54B2EAB2}"/>
                </a:ext>
              </a:extLst>
            </xdr:cNvPr>
            <xdr:cNvSpPr>
              <a:spLocks/>
            </xdr:cNvSpPr>
          </xdr:nvSpPr>
          <xdr:spPr bwMode="auto">
            <a:xfrm>
              <a:off x="721" y="583"/>
              <a:ext cx="69" cy="58"/>
            </a:xfrm>
            <a:custGeom>
              <a:avLst/>
              <a:gdLst>
                <a:gd name="T0" fmla="*/ 69 w 69"/>
                <a:gd name="T1" fmla="*/ 58 h 58"/>
                <a:gd name="T2" fmla="*/ 69 w 69"/>
                <a:gd name="T3" fmla="*/ 9 h 58"/>
                <a:gd name="T4" fmla="*/ 60 w 69"/>
                <a:gd name="T5" fmla="*/ 0 h 58"/>
                <a:gd name="T6" fmla="*/ 0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69" y="58"/>
                  </a:move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6" name="Freeform 221">
              <a:extLst>
                <a:ext uri="{FF2B5EF4-FFF2-40B4-BE49-F238E27FC236}">
                  <a16:creationId xmlns:a16="http://schemas.microsoft.com/office/drawing/2014/main" id="{5CCFB58A-152D-7377-E2A8-1E3E40A8681F}"/>
                </a:ext>
              </a:extLst>
            </xdr:cNvPr>
            <xdr:cNvSpPr>
              <a:spLocks/>
            </xdr:cNvSpPr>
          </xdr:nvSpPr>
          <xdr:spPr bwMode="auto">
            <a:xfrm>
              <a:off x="721" y="416"/>
              <a:ext cx="69" cy="147"/>
            </a:xfrm>
            <a:custGeom>
              <a:avLst/>
              <a:gdLst>
                <a:gd name="T0" fmla="*/ 0 w 69"/>
                <a:gd name="T1" fmla="*/ 147 h 147"/>
                <a:gd name="T2" fmla="*/ 60 w 69"/>
                <a:gd name="T3" fmla="*/ 147 h 147"/>
                <a:gd name="T4" fmla="*/ 69 w 69"/>
                <a:gd name="T5" fmla="*/ 138 h 147"/>
                <a:gd name="T6" fmla="*/ 69 w 69"/>
                <a:gd name="T7" fmla="*/ 9 h 147"/>
                <a:gd name="T8" fmla="*/ 60 w 69"/>
                <a:gd name="T9" fmla="*/ 0 h 147"/>
                <a:gd name="T10" fmla="*/ 0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0" y="147"/>
                  </a:moveTo>
                  <a:lnTo>
                    <a:pt x="60" y="147"/>
                  </a:lnTo>
                  <a:lnTo>
                    <a:pt x="69" y="138"/>
                  </a:lnTo>
                  <a:lnTo>
                    <a:pt x="69" y="9"/>
                  </a:lnTo>
                  <a:lnTo>
                    <a:pt x="60" y="0"/>
                  </a:lnTo>
                  <a:lnTo>
                    <a:pt x="0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7" name="Freeform 222">
              <a:extLst>
                <a:ext uri="{FF2B5EF4-FFF2-40B4-BE49-F238E27FC236}">
                  <a16:creationId xmlns:a16="http://schemas.microsoft.com/office/drawing/2014/main" id="{A16D671F-98AE-5D86-E967-A2E560CC1CC8}"/>
                </a:ext>
              </a:extLst>
            </xdr:cNvPr>
            <xdr:cNvSpPr>
              <a:spLocks/>
            </xdr:cNvSpPr>
          </xdr:nvSpPr>
          <xdr:spPr bwMode="auto">
            <a:xfrm>
              <a:off x="721" y="338"/>
              <a:ext cx="69" cy="59"/>
            </a:xfrm>
            <a:custGeom>
              <a:avLst/>
              <a:gdLst>
                <a:gd name="T0" fmla="*/ 69 w 69"/>
                <a:gd name="T1" fmla="*/ 0 h 59"/>
                <a:gd name="T2" fmla="*/ 69 w 69"/>
                <a:gd name="T3" fmla="*/ 49 h 59"/>
                <a:gd name="T4" fmla="*/ 60 w 69"/>
                <a:gd name="T5" fmla="*/ 59 h 59"/>
                <a:gd name="T6" fmla="*/ 0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69" y="0"/>
                  </a:moveTo>
                  <a:lnTo>
                    <a:pt x="69" y="49"/>
                  </a:lnTo>
                  <a:lnTo>
                    <a:pt x="60" y="59"/>
                  </a:lnTo>
                  <a:lnTo>
                    <a:pt x="0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8" name="Freeform 223">
              <a:extLst>
                <a:ext uri="{FF2B5EF4-FFF2-40B4-BE49-F238E27FC236}">
                  <a16:creationId xmlns:a16="http://schemas.microsoft.com/office/drawing/2014/main" id="{0BEC0914-955C-1288-091E-62BC442E745C}"/>
                </a:ext>
              </a:extLst>
            </xdr:cNvPr>
            <xdr:cNvSpPr>
              <a:spLocks/>
            </xdr:cNvSpPr>
          </xdr:nvSpPr>
          <xdr:spPr bwMode="auto">
            <a:xfrm>
              <a:off x="976" y="338"/>
              <a:ext cx="69" cy="59"/>
            </a:xfrm>
            <a:custGeom>
              <a:avLst/>
              <a:gdLst>
                <a:gd name="T0" fmla="*/ 0 w 69"/>
                <a:gd name="T1" fmla="*/ 0 h 59"/>
                <a:gd name="T2" fmla="*/ 0 w 69"/>
                <a:gd name="T3" fmla="*/ 49 h 59"/>
                <a:gd name="T4" fmla="*/ 9 w 69"/>
                <a:gd name="T5" fmla="*/ 59 h 59"/>
                <a:gd name="T6" fmla="*/ 69 w 69"/>
                <a:gd name="T7" fmla="*/ 59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9">
                  <a:moveTo>
                    <a:pt x="0" y="0"/>
                  </a:moveTo>
                  <a:lnTo>
                    <a:pt x="0" y="49"/>
                  </a:lnTo>
                  <a:lnTo>
                    <a:pt x="9" y="59"/>
                  </a:lnTo>
                  <a:lnTo>
                    <a:pt x="69" y="59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19" name="Freeform 224">
              <a:extLst>
                <a:ext uri="{FF2B5EF4-FFF2-40B4-BE49-F238E27FC236}">
                  <a16:creationId xmlns:a16="http://schemas.microsoft.com/office/drawing/2014/main" id="{03E82C9B-9D09-C35A-C563-6F07F29A7477}"/>
                </a:ext>
              </a:extLst>
            </xdr:cNvPr>
            <xdr:cNvSpPr>
              <a:spLocks/>
            </xdr:cNvSpPr>
          </xdr:nvSpPr>
          <xdr:spPr bwMode="auto">
            <a:xfrm>
              <a:off x="976" y="583"/>
              <a:ext cx="69" cy="58"/>
            </a:xfrm>
            <a:custGeom>
              <a:avLst/>
              <a:gdLst>
                <a:gd name="T0" fmla="*/ 0 w 69"/>
                <a:gd name="T1" fmla="*/ 58 h 58"/>
                <a:gd name="T2" fmla="*/ 0 w 69"/>
                <a:gd name="T3" fmla="*/ 9 h 58"/>
                <a:gd name="T4" fmla="*/ 9 w 69"/>
                <a:gd name="T5" fmla="*/ 0 h 58"/>
                <a:gd name="T6" fmla="*/ 69 w 69"/>
                <a:gd name="T7" fmla="*/ 0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9" h="58">
                  <a:moveTo>
                    <a:pt x="0" y="58"/>
                  </a:move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0" name="Freeform 225">
              <a:extLst>
                <a:ext uri="{FF2B5EF4-FFF2-40B4-BE49-F238E27FC236}">
                  <a16:creationId xmlns:a16="http://schemas.microsoft.com/office/drawing/2014/main" id="{8EA2FE84-8A26-ADAD-9A3F-50C0D08FA774}"/>
                </a:ext>
              </a:extLst>
            </xdr:cNvPr>
            <xdr:cNvSpPr>
              <a:spLocks/>
            </xdr:cNvSpPr>
          </xdr:nvSpPr>
          <xdr:spPr bwMode="auto">
            <a:xfrm>
              <a:off x="976" y="416"/>
              <a:ext cx="69" cy="147"/>
            </a:xfrm>
            <a:custGeom>
              <a:avLst/>
              <a:gdLst>
                <a:gd name="T0" fmla="*/ 69 w 69"/>
                <a:gd name="T1" fmla="*/ 147 h 147"/>
                <a:gd name="T2" fmla="*/ 9 w 69"/>
                <a:gd name="T3" fmla="*/ 147 h 147"/>
                <a:gd name="T4" fmla="*/ 0 w 69"/>
                <a:gd name="T5" fmla="*/ 138 h 147"/>
                <a:gd name="T6" fmla="*/ 0 w 69"/>
                <a:gd name="T7" fmla="*/ 9 h 147"/>
                <a:gd name="T8" fmla="*/ 9 w 69"/>
                <a:gd name="T9" fmla="*/ 0 h 147"/>
                <a:gd name="T10" fmla="*/ 69 w 69"/>
                <a:gd name="T11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9" h="147">
                  <a:moveTo>
                    <a:pt x="69" y="147"/>
                  </a:moveTo>
                  <a:lnTo>
                    <a:pt x="9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9" y="0"/>
                  </a:lnTo>
                  <a:lnTo>
                    <a:pt x="69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1" name="Freeform 226">
              <a:extLst>
                <a:ext uri="{FF2B5EF4-FFF2-40B4-BE49-F238E27FC236}">
                  <a16:creationId xmlns:a16="http://schemas.microsoft.com/office/drawing/2014/main" id="{59FF0D36-DEC3-3E15-30C9-D34579732BB8}"/>
                </a:ext>
              </a:extLst>
            </xdr:cNvPr>
            <xdr:cNvSpPr>
              <a:spLocks/>
            </xdr:cNvSpPr>
          </xdr:nvSpPr>
          <xdr:spPr bwMode="auto">
            <a:xfrm>
              <a:off x="809" y="338"/>
              <a:ext cx="148" cy="59"/>
            </a:xfrm>
            <a:custGeom>
              <a:avLst/>
              <a:gdLst>
                <a:gd name="T0" fmla="*/ 0 w 148"/>
                <a:gd name="T1" fmla="*/ 0 h 59"/>
                <a:gd name="T2" fmla="*/ 0 w 148"/>
                <a:gd name="T3" fmla="*/ 49 h 59"/>
                <a:gd name="T4" fmla="*/ 10 w 148"/>
                <a:gd name="T5" fmla="*/ 59 h 59"/>
                <a:gd name="T6" fmla="*/ 138 w 148"/>
                <a:gd name="T7" fmla="*/ 59 h 59"/>
                <a:gd name="T8" fmla="*/ 148 w 148"/>
                <a:gd name="T9" fmla="*/ 49 h 59"/>
                <a:gd name="T10" fmla="*/ 148 w 148"/>
                <a:gd name="T11" fmla="*/ 0 h 5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9">
                  <a:moveTo>
                    <a:pt x="0" y="0"/>
                  </a:moveTo>
                  <a:lnTo>
                    <a:pt x="0" y="49"/>
                  </a:lnTo>
                  <a:lnTo>
                    <a:pt x="10" y="59"/>
                  </a:lnTo>
                  <a:lnTo>
                    <a:pt x="138" y="59"/>
                  </a:lnTo>
                  <a:lnTo>
                    <a:pt x="148" y="49"/>
                  </a:lnTo>
                  <a:lnTo>
                    <a:pt x="148" y="0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2" name="Freeform 227">
              <a:extLst>
                <a:ext uri="{FF2B5EF4-FFF2-40B4-BE49-F238E27FC236}">
                  <a16:creationId xmlns:a16="http://schemas.microsoft.com/office/drawing/2014/main" id="{4C1A20CA-3E72-8CFF-DA68-982C532FCB3A}"/>
                </a:ext>
              </a:extLst>
            </xdr:cNvPr>
            <xdr:cNvSpPr>
              <a:spLocks/>
            </xdr:cNvSpPr>
          </xdr:nvSpPr>
          <xdr:spPr bwMode="auto">
            <a:xfrm>
              <a:off x="809" y="583"/>
              <a:ext cx="148" cy="58"/>
            </a:xfrm>
            <a:custGeom>
              <a:avLst/>
              <a:gdLst>
                <a:gd name="T0" fmla="*/ 0 w 148"/>
                <a:gd name="T1" fmla="*/ 58 h 58"/>
                <a:gd name="T2" fmla="*/ 0 w 148"/>
                <a:gd name="T3" fmla="*/ 9 h 58"/>
                <a:gd name="T4" fmla="*/ 10 w 148"/>
                <a:gd name="T5" fmla="*/ 0 h 58"/>
                <a:gd name="T6" fmla="*/ 138 w 148"/>
                <a:gd name="T7" fmla="*/ 0 h 58"/>
                <a:gd name="T8" fmla="*/ 148 w 148"/>
                <a:gd name="T9" fmla="*/ 9 h 58"/>
                <a:gd name="T10" fmla="*/ 148 w 148"/>
                <a:gd name="T11" fmla="*/ 58 h 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8" h="58">
                  <a:moveTo>
                    <a:pt x="0" y="58"/>
                  </a:moveTo>
                  <a:lnTo>
                    <a:pt x="0" y="9"/>
                  </a:lnTo>
                  <a:lnTo>
                    <a:pt x="10" y="0"/>
                  </a:lnTo>
                  <a:lnTo>
                    <a:pt x="138" y="0"/>
                  </a:lnTo>
                  <a:lnTo>
                    <a:pt x="148" y="9"/>
                  </a:lnTo>
                  <a:lnTo>
                    <a:pt x="148" y="58"/>
                  </a:lnTo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3" name="Freeform 228">
              <a:extLst>
                <a:ext uri="{FF2B5EF4-FFF2-40B4-BE49-F238E27FC236}">
                  <a16:creationId xmlns:a16="http://schemas.microsoft.com/office/drawing/2014/main" id="{5ECD6F28-C64F-82C6-131F-9C44FF7F99BD}"/>
                </a:ext>
              </a:extLst>
            </xdr:cNvPr>
            <xdr:cNvSpPr>
              <a:spLocks/>
            </xdr:cNvSpPr>
          </xdr:nvSpPr>
          <xdr:spPr bwMode="auto">
            <a:xfrm>
              <a:off x="809" y="416"/>
              <a:ext cx="148" cy="147"/>
            </a:xfrm>
            <a:custGeom>
              <a:avLst/>
              <a:gdLst>
                <a:gd name="T0" fmla="*/ 10 w 148"/>
                <a:gd name="T1" fmla="*/ 0 h 147"/>
                <a:gd name="T2" fmla="*/ 138 w 148"/>
                <a:gd name="T3" fmla="*/ 0 h 147"/>
                <a:gd name="T4" fmla="*/ 148 w 148"/>
                <a:gd name="T5" fmla="*/ 9 h 147"/>
                <a:gd name="T6" fmla="*/ 148 w 148"/>
                <a:gd name="T7" fmla="*/ 138 h 147"/>
                <a:gd name="T8" fmla="*/ 138 w 148"/>
                <a:gd name="T9" fmla="*/ 147 h 147"/>
                <a:gd name="T10" fmla="*/ 10 w 148"/>
                <a:gd name="T11" fmla="*/ 147 h 147"/>
                <a:gd name="T12" fmla="*/ 0 w 148"/>
                <a:gd name="T13" fmla="*/ 138 h 147"/>
                <a:gd name="T14" fmla="*/ 0 w 148"/>
                <a:gd name="T15" fmla="*/ 9 h 147"/>
                <a:gd name="T16" fmla="*/ 10 w 148"/>
                <a:gd name="T17" fmla="*/ 0 h 1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8" h="147">
                  <a:moveTo>
                    <a:pt x="10" y="0"/>
                  </a:moveTo>
                  <a:lnTo>
                    <a:pt x="138" y="0"/>
                  </a:lnTo>
                  <a:lnTo>
                    <a:pt x="148" y="9"/>
                  </a:lnTo>
                  <a:lnTo>
                    <a:pt x="148" y="138"/>
                  </a:lnTo>
                  <a:lnTo>
                    <a:pt x="138" y="147"/>
                  </a:lnTo>
                  <a:lnTo>
                    <a:pt x="10" y="147"/>
                  </a:lnTo>
                  <a:lnTo>
                    <a:pt x="0" y="138"/>
                  </a:lnTo>
                  <a:lnTo>
                    <a:pt x="0" y="9"/>
                  </a:lnTo>
                  <a:lnTo>
                    <a:pt x="1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4" name="Rectangle 229">
              <a:extLst>
                <a:ext uri="{FF2B5EF4-FFF2-40B4-BE49-F238E27FC236}">
                  <a16:creationId xmlns:a16="http://schemas.microsoft.com/office/drawing/2014/main" id="{8DF3A127-4718-26C2-D26D-F7534A1E830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5" name="Rectangle 230">
              <a:extLst>
                <a:ext uri="{FF2B5EF4-FFF2-40B4-BE49-F238E27FC236}">
                  <a16:creationId xmlns:a16="http://schemas.microsoft.com/office/drawing/2014/main" id="{395112E0-A5D3-D1E4-056B-A979E803275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8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6" name="Rectangle 231">
              <a:extLst>
                <a:ext uri="{FF2B5EF4-FFF2-40B4-BE49-F238E27FC236}">
                  <a16:creationId xmlns:a16="http://schemas.microsoft.com/office/drawing/2014/main" id="{BA9448E7-776A-0B8C-B904-3B5FF39B7C1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395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7" name="Rectangle 232">
              <a:extLst>
                <a:ext uri="{FF2B5EF4-FFF2-40B4-BE49-F238E27FC236}">
                  <a16:creationId xmlns:a16="http://schemas.microsoft.com/office/drawing/2014/main" id="{F25A385F-317E-1B06-613E-5AF17BCE7C6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5" y="561"/>
              <a:ext cx="23" cy="23"/>
            </a:xfrm>
            <a:prstGeom prst="rect">
              <a:avLst/>
            </a:prstGeom>
            <a:noFill/>
            <a:ln w="0">
              <a:solidFill>
                <a:sysClr val="windowText" lastClr="0000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28" name="Line 233">
              <a:extLst>
                <a:ext uri="{FF2B5EF4-FFF2-40B4-BE49-F238E27FC236}">
                  <a16:creationId xmlns:a16="http://schemas.microsoft.com/office/drawing/2014/main" id="{93BCEC75-D20D-0C9A-F348-7AD68B54FCC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1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29" name="Line 234">
              <a:extLst>
                <a:ext uri="{FF2B5EF4-FFF2-40B4-BE49-F238E27FC236}">
                  <a16:creationId xmlns:a16="http://schemas.microsoft.com/office/drawing/2014/main" id="{BE518C92-4CDB-E293-82FC-39AFCE6BC63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90" y="645"/>
              <a:ext cx="0" cy="18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30" name="Line 235">
              <a:extLst>
                <a:ext uri="{FF2B5EF4-FFF2-40B4-BE49-F238E27FC236}">
                  <a16:creationId xmlns:a16="http://schemas.microsoft.com/office/drawing/2014/main" id="{BF7387C1-6870-C2F9-9AAC-9EBF68F17F46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6" y="661"/>
              <a:ext cx="59" cy="0"/>
            </a:xfrm>
            <a:prstGeom prst="line">
              <a:avLst/>
            </a:pr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29631" name="Freeform 236">
              <a:extLst>
                <a:ext uri="{FF2B5EF4-FFF2-40B4-BE49-F238E27FC236}">
                  <a16:creationId xmlns:a16="http://schemas.microsoft.com/office/drawing/2014/main" id="{A2E9C799-0956-C85A-1857-0CA0256B59BE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632" name="Freeform 237">
              <a:extLst>
                <a:ext uri="{FF2B5EF4-FFF2-40B4-BE49-F238E27FC236}">
                  <a16:creationId xmlns:a16="http://schemas.microsoft.com/office/drawing/2014/main" id="{7C366CAD-A2E9-5C1C-DAC5-561C3E898D1A}"/>
                </a:ext>
              </a:extLst>
            </xdr:cNvPr>
            <xdr:cNvSpPr>
              <a:spLocks/>
            </xdr:cNvSpPr>
          </xdr:nvSpPr>
          <xdr:spPr bwMode="auto">
            <a:xfrm>
              <a:off x="721" y="660"/>
              <a:ext cx="5" cy="2"/>
            </a:xfrm>
            <a:custGeom>
              <a:avLst/>
              <a:gdLst>
                <a:gd name="T0" fmla="*/ 5 w 5"/>
                <a:gd name="T1" fmla="*/ 0 h 2"/>
                <a:gd name="T2" fmla="*/ 5 w 5"/>
                <a:gd name="T3" fmla="*/ 2 h 2"/>
                <a:gd name="T4" fmla="*/ 0 w 5"/>
                <a:gd name="T5" fmla="*/ 1 h 2"/>
                <a:gd name="T6" fmla="*/ 5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5" y="0"/>
                  </a:moveTo>
                  <a:lnTo>
                    <a:pt x="5" y="2"/>
                  </a:lnTo>
                  <a:lnTo>
                    <a:pt x="0" y="1"/>
                  </a:lnTo>
                  <a:lnTo>
                    <a:pt x="5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529633" name="Freeform 238">
              <a:extLst>
                <a:ext uri="{FF2B5EF4-FFF2-40B4-BE49-F238E27FC236}">
                  <a16:creationId xmlns:a16="http://schemas.microsoft.com/office/drawing/2014/main" id="{728D3D6B-A773-2173-D38D-7A28D302A962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00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9634" name="Freeform 239">
              <a:extLst>
                <a:ext uri="{FF2B5EF4-FFF2-40B4-BE49-F238E27FC236}">
                  <a16:creationId xmlns:a16="http://schemas.microsoft.com/office/drawing/2014/main" id="{EAECF7C0-0682-AEDB-2669-D17A4E7FB4F4}"/>
                </a:ext>
              </a:extLst>
            </xdr:cNvPr>
            <xdr:cNvSpPr>
              <a:spLocks/>
            </xdr:cNvSpPr>
          </xdr:nvSpPr>
          <xdr:spPr bwMode="auto">
            <a:xfrm>
              <a:off x="785" y="660"/>
              <a:ext cx="5" cy="2"/>
            </a:xfrm>
            <a:custGeom>
              <a:avLst/>
              <a:gdLst>
                <a:gd name="T0" fmla="*/ 0 w 5"/>
                <a:gd name="T1" fmla="*/ 0 h 2"/>
                <a:gd name="T2" fmla="*/ 0 w 5"/>
                <a:gd name="T3" fmla="*/ 2 h 2"/>
                <a:gd name="T4" fmla="*/ 5 w 5"/>
                <a:gd name="T5" fmla="*/ 1 h 2"/>
                <a:gd name="T6" fmla="*/ 0 w 5"/>
                <a:gd name="T7" fmla="*/ 0 h 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5" h="2">
                  <a:moveTo>
                    <a:pt x="0" y="0"/>
                  </a:moveTo>
                  <a:lnTo>
                    <a:pt x="0" y="2"/>
                  </a:lnTo>
                  <a:lnTo>
                    <a:pt x="5" y="1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0">
              <a:solidFill>
                <a:sysClr val="windowText" lastClr="000000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529433" name="Line 241">
            <a:extLst>
              <a:ext uri="{FF2B5EF4-FFF2-40B4-BE49-F238E27FC236}">
                <a16:creationId xmlns:a16="http://schemas.microsoft.com/office/drawing/2014/main" id="{66A71BBD-6027-BE12-43F6-CBA27DE383A9}"/>
              </a:ext>
            </a:extLst>
          </xdr:cNvPr>
          <xdr:cNvSpPr>
            <a:spLocks noChangeShapeType="1"/>
          </xdr:cNvSpPr>
        </xdr:nvSpPr>
        <xdr:spPr bwMode="auto">
          <a:xfrm>
            <a:off x="790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34" name="Line 242">
            <a:extLst>
              <a:ext uri="{FF2B5EF4-FFF2-40B4-BE49-F238E27FC236}">
                <a16:creationId xmlns:a16="http://schemas.microsoft.com/office/drawing/2014/main" id="{99862825-8367-F54A-6720-1AB7C107A231}"/>
              </a:ext>
            </a:extLst>
          </xdr:cNvPr>
          <xdr:cNvSpPr>
            <a:spLocks noChangeShapeType="1"/>
          </xdr:cNvSpPr>
        </xdr:nvSpPr>
        <xdr:spPr bwMode="auto">
          <a:xfrm>
            <a:off x="809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35" name="Line 248">
            <a:extLst>
              <a:ext uri="{FF2B5EF4-FFF2-40B4-BE49-F238E27FC236}">
                <a16:creationId xmlns:a16="http://schemas.microsoft.com/office/drawing/2014/main" id="{6FDF96B3-083A-E15C-A5C0-B64819CCC355}"/>
              </a:ext>
            </a:extLst>
          </xdr:cNvPr>
          <xdr:cNvSpPr>
            <a:spLocks noChangeShapeType="1"/>
          </xdr:cNvSpPr>
        </xdr:nvSpPr>
        <xdr:spPr bwMode="auto">
          <a:xfrm>
            <a:off x="809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36" name="Line 249">
            <a:extLst>
              <a:ext uri="{FF2B5EF4-FFF2-40B4-BE49-F238E27FC236}">
                <a16:creationId xmlns:a16="http://schemas.microsoft.com/office/drawing/2014/main" id="{50A7D0D1-69F8-5E57-E46D-BFC42C4071D0}"/>
              </a:ext>
            </a:extLst>
          </xdr:cNvPr>
          <xdr:cNvSpPr>
            <a:spLocks noChangeShapeType="1"/>
          </xdr:cNvSpPr>
        </xdr:nvSpPr>
        <xdr:spPr bwMode="auto">
          <a:xfrm>
            <a:off x="957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37" name="Line 250">
            <a:extLst>
              <a:ext uri="{FF2B5EF4-FFF2-40B4-BE49-F238E27FC236}">
                <a16:creationId xmlns:a16="http://schemas.microsoft.com/office/drawing/2014/main" id="{9D89DA3F-7803-DC82-1692-D248D45917DB}"/>
              </a:ext>
            </a:extLst>
          </xdr:cNvPr>
          <xdr:cNvSpPr>
            <a:spLocks noChangeShapeType="1"/>
          </xdr:cNvSpPr>
        </xdr:nvSpPr>
        <xdr:spPr bwMode="auto">
          <a:xfrm>
            <a:off x="815" y="661"/>
            <a:ext cx="136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38" name="Freeform 251">
            <a:extLst>
              <a:ext uri="{FF2B5EF4-FFF2-40B4-BE49-F238E27FC236}">
                <a16:creationId xmlns:a16="http://schemas.microsoft.com/office/drawing/2014/main" id="{0A24C39D-6F82-F0AA-66BB-C0472BBE39EA}"/>
              </a:ext>
            </a:extLst>
          </xdr:cNvPr>
          <xdr:cNvSpPr>
            <a:spLocks/>
          </xdr:cNvSpPr>
        </xdr:nvSpPr>
        <xdr:spPr bwMode="auto">
          <a:xfrm>
            <a:off x="809" y="660"/>
            <a:ext cx="6" cy="2"/>
          </a:xfrm>
          <a:custGeom>
            <a:avLst/>
            <a:gdLst>
              <a:gd name="T0" fmla="*/ 6 w 6"/>
              <a:gd name="T1" fmla="*/ 0 h 2"/>
              <a:gd name="T2" fmla="*/ 6 w 6"/>
              <a:gd name="T3" fmla="*/ 2 h 2"/>
              <a:gd name="T4" fmla="*/ 0 w 6"/>
              <a:gd name="T5" fmla="*/ 1 h 2"/>
              <a:gd name="T6" fmla="*/ 6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6" y="0"/>
                </a:moveTo>
                <a:lnTo>
                  <a:pt x="6" y="2"/>
                </a:lnTo>
                <a:lnTo>
                  <a:pt x="0" y="1"/>
                </a:lnTo>
                <a:lnTo>
                  <a:pt x="6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9439" name="Freeform 253">
            <a:extLst>
              <a:ext uri="{FF2B5EF4-FFF2-40B4-BE49-F238E27FC236}">
                <a16:creationId xmlns:a16="http://schemas.microsoft.com/office/drawing/2014/main" id="{92266F67-76A2-A33F-4146-D699E2C84477}"/>
              </a:ext>
            </a:extLst>
          </xdr:cNvPr>
          <xdr:cNvSpPr>
            <a:spLocks/>
          </xdr:cNvSpPr>
        </xdr:nvSpPr>
        <xdr:spPr bwMode="auto">
          <a:xfrm>
            <a:off x="951" y="660"/>
            <a:ext cx="6" cy="2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9440" name="Freeform 254">
            <a:extLst>
              <a:ext uri="{FF2B5EF4-FFF2-40B4-BE49-F238E27FC236}">
                <a16:creationId xmlns:a16="http://schemas.microsoft.com/office/drawing/2014/main" id="{A59A6D21-1BCF-11D0-0069-7B67177FE050}"/>
              </a:ext>
            </a:extLst>
          </xdr:cNvPr>
          <xdr:cNvSpPr>
            <a:spLocks/>
          </xdr:cNvSpPr>
        </xdr:nvSpPr>
        <xdr:spPr bwMode="auto">
          <a:xfrm>
            <a:off x="951" y="660"/>
            <a:ext cx="6" cy="2"/>
          </a:xfrm>
          <a:custGeom>
            <a:avLst/>
            <a:gdLst>
              <a:gd name="T0" fmla="*/ 0 w 6"/>
              <a:gd name="T1" fmla="*/ 0 h 2"/>
              <a:gd name="T2" fmla="*/ 0 w 6"/>
              <a:gd name="T3" fmla="*/ 2 h 2"/>
              <a:gd name="T4" fmla="*/ 6 w 6"/>
              <a:gd name="T5" fmla="*/ 1 h 2"/>
              <a:gd name="T6" fmla="*/ 0 w 6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" h="2">
                <a:moveTo>
                  <a:pt x="0" y="0"/>
                </a:moveTo>
                <a:lnTo>
                  <a:pt x="0" y="2"/>
                </a:lnTo>
                <a:lnTo>
                  <a:pt x="6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29441" name="Line 255">
            <a:extLst>
              <a:ext uri="{FF2B5EF4-FFF2-40B4-BE49-F238E27FC236}">
                <a16:creationId xmlns:a16="http://schemas.microsoft.com/office/drawing/2014/main" id="{8FC73856-DA5E-445B-BE36-FE7946E38E83}"/>
              </a:ext>
            </a:extLst>
          </xdr:cNvPr>
          <xdr:cNvSpPr>
            <a:spLocks noChangeShapeType="1"/>
          </xdr:cNvSpPr>
        </xdr:nvSpPr>
        <xdr:spPr bwMode="auto">
          <a:xfrm>
            <a:off x="957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42" name="Line 256">
            <a:extLst>
              <a:ext uri="{FF2B5EF4-FFF2-40B4-BE49-F238E27FC236}">
                <a16:creationId xmlns:a16="http://schemas.microsoft.com/office/drawing/2014/main" id="{E7252BE7-78E3-20AC-BB8E-61E9842185E8}"/>
              </a:ext>
            </a:extLst>
          </xdr:cNvPr>
          <xdr:cNvSpPr>
            <a:spLocks noChangeShapeType="1"/>
          </xdr:cNvSpPr>
        </xdr:nvSpPr>
        <xdr:spPr bwMode="auto">
          <a:xfrm>
            <a:off x="976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43" name="Line 262">
            <a:extLst>
              <a:ext uri="{FF2B5EF4-FFF2-40B4-BE49-F238E27FC236}">
                <a16:creationId xmlns:a16="http://schemas.microsoft.com/office/drawing/2014/main" id="{637994C4-30F2-0754-62C5-4FA4BC6217C7}"/>
              </a:ext>
            </a:extLst>
          </xdr:cNvPr>
          <xdr:cNvSpPr>
            <a:spLocks noChangeShapeType="1"/>
          </xdr:cNvSpPr>
        </xdr:nvSpPr>
        <xdr:spPr bwMode="auto">
          <a:xfrm>
            <a:off x="976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44" name="Line 263">
            <a:extLst>
              <a:ext uri="{FF2B5EF4-FFF2-40B4-BE49-F238E27FC236}">
                <a16:creationId xmlns:a16="http://schemas.microsoft.com/office/drawing/2014/main" id="{31AA1FE2-3A46-DD4C-25FC-089C0370F811}"/>
              </a:ext>
            </a:extLst>
          </xdr:cNvPr>
          <xdr:cNvSpPr>
            <a:spLocks noChangeShapeType="1"/>
          </xdr:cNvSpPr>
        </xdr:nvSpPr>
        <xdr:spPr bwMode="auto">
          <a:xfrm>
            <a:off x="1045" y="645"/>
            <a:ext cx="0" cy="18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45" name="Line 264">
            <a:extLst>
              <a:ext uri="{FF2B5EF4-FFF2-40B4-BE49-F238E27FC236}">
                <a16:creationId xmlns:a16="http://schemas.microsoft.com/office/drawing/2014/main" id="{00E74090-3F4B-1D03-BB34-CA5F6463067E}"/>
              </a:ext>
            </a:extLst>
          </xdr:cNvPr>
          <xdr:cNvSpPr>
            <a:spLocks noChangeShapeType="1"/>
          </xdr:cNvSpPr>
        </xdr:nvSpPr>
        <xdr:spPr bwMode="auto">
          <a:xfrm>
            <a:off x="981" y="661"/>
            <a:ext cx="59" cy="0"/>
          </a:xfrm>
          <a:prstGeom prst="line">
            <a:avLst/>
          </a:pr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446" name="Freeform 265">
            <a:extLst>
              <a:ext uri="{FF2B5EF4-FFF2-40B4-BE49-F238E27FC236}">
                <a16:creationId xmlns:a16="http://schemas.microsoft.com/office/drawing/2014/main" id="{A9134E32-6A3B-3BDC-F673-6DF926F420A0}"/>
              </a:ext>
            </a:extLst>
          </xdr:cNvPr>
          <xdr:cNvSpPr>
            <a:spLocks/>
          </xdr:cNvSpPr>
        </xdr:nvSpPr>
        <xdr:spPr bwMode="auto">
          <a:xfrm>
            <a:off x="976" y="660"/>
            <a:ext cx="5" cy="2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9447" name="Freeform 266">
            <a:extLst>
              <a:ext uri="{FF2B5EF4-FFF2-40B4-BE49-F238E27FC236}">
                <a16:creationId xmlns:a16="http://schemas.microsoft.com/office/drawing/2014/main" id="{38709F21-6C4B-0ADE-C294-FAACFA056F06}"/>
              </a:ext>
            </a:extLst>
          </xdr:cNvPr>
          <xdr:cNvSpPr>
            <a:spLocks/>
          </xdr:cNvSpPr>
        </xdr:nvSpPr>
        <xdr:spPr bwMode="auto">
          <a:xfrm>
            <a:off x="976" y="660"/>
            <a:ext cx="5" cy="2"/>
          </a:xfrm>
          <a:custGeom>
            <a:avLst/>
            <a:gdLst>
              <a:gd name="T0" fmla="*/ 5 w 5"/>
              <a:gd name="T1" fmla="*/ 0 h 2"/>
              <a:gd name="T2" fmla="*/ 5 w 5"/>
              <a:gd name="T3" fmla="*/ 2 h 2"/>
              <a:gd name="T4" fmla="*/ 0 w 5"/>
              <a:gd name="T5" fmla="*/ 1 h 2"/>
              <a:gd name="T6" fmla="*/ 5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5" y="0"/>
                </a:moveTo>
                <a:lnTo>
                  <a:pt x="5" y="2"/>
                </a:lnTo>
                <a:lnTo>
                  <a:pt x="0" y="1"/>
                </a:lnTo>
                <a:lnTo>
                  <a:pt x="5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29448" name="Freeform 267">
            <a:extLst>
              <a:ext uri="{FF2B5EF4-FFF2-40B4-BE49-F238E27FC236}">
                <a16:creationId xmlns:a16="http://schemas.microsoft.com/office/drawing/2014/main" id="{804C54DE-E5DE-059B-64C4-40CB7629110F}"/>
              </a:ext>
            </a:extLst>
          </xdr:cNvPr>
          <xdr:cNvSpPr>
            <a:spLocks/>
          </xdr:cNvSpPr>
        </xdr:nvSpPr>
        <xdr:spPr bwMode="auto">
          <a:xfrm>
            <a:off x="1040" y="660"/>
            <a:ext cx="5" cy="2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9449" name="Freeform 268">
            <a:extLst>
              <a:ext uri="{FF2B5EF4-FFF2-40B4-BE49-F238E27FC236}">
                <a16:creationId xmlns:a16="http://schemas.microsoft.com/office/drawing/2014/main" id="{651CF258-12B1-34FF-B3C4-0B0023D24783}"/>
              </a:ext>
            </a:extLst>
          </xdr:cNvPr>
          <xdr:cNvSpPr>
            <a:spLocks/>
          </xdr:cNvSpPr>
        </xdr:nvSpPr>
        <xdr:spPr bwMode="auto">
          <a:xfrm>
            <a:off x="1040" y="660"/>
            <a:ext cx="5" cy="2"/>
          </a:xfrm>
          <a:custGeom>
            <a:avLst/>
            <a:gdLst>
              <a:gd name="T0" fmla="*/ 0 w 5"/>
              <a:gd name="T1" fmla="*/ 0 h 2"/>
              <a:gd name="T2" fmla="*/ 0 w 5"/>
              <a:gd name="T3" fmla="*/ 2 h 2"/>
              <a:gd name="T4" fmla="*/ 5 w 5"/>
              <a:gd name="T5" fmla="*/ 1 h 2"/>
              <a:gd name="T6" fmla="*/ 0 w 5"/>
              <a:gd name="T7" fmla="*/ 0 h 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5" h="2">
                <a:moveTo>
                  <a:pt x="0" y="0"/>
                </a:moveTo>
                <a:lnTo>
                  <a:pt x="0" y="2"/>
                </a:lnTo>
                <a:lnTo>
                  <a:pt x="5" y="1"/>
                </a:lnTo>
                <a:lnTo>
                  <a:pt x="0" y="0"/>
                </a:lnTo>
                <a:close/>
              </a:path>
            </a:pathLst>
          </a:custGeom>
          <a:noFill/>
          <a:ln w="0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597432</xdr:colOff>
      <xdr:row>9</xdr:row>
      <xdr:rowOff>219297</xdr:rowOff>
    </xdr:from>
    <xdr:to>
      <xdr:col>6</xdr:col>
      <xdr:colOff>714395</xdr:colOff>
      <xdr:row>10</xdr:row>
      <xdr:rowOff>60447</xdr:rowOff>
    </xdr:to>
    <xdr:sp macro="" textlink="">
      <xdr:nvSpPr>
        <xdr:cNvPr id="529635" name="Line 89">
          <a:extLst>
            <a:ext uri="{FF2B5EF4-FFF2-40B4-BE49-F238E27FC236}">
              <a16:creationId xmlns:a16="http://schemas.microsoft.com/office/drawing/2014/main" id="{64A7B309-2EFD-4CC8-93B2-D05E133BFCFB}"/>
            </a:ext>
          </a:extLst>
        </xdr:cNvPr>
        <xdr:cNvSpPr>
          <a:spLocks noChangeShapeType="1"/>
        </xdr:cNvSpPr>
      </xdr:nvSpPr>
      <xdr:spPr bwMode="auto">
        <a:xfrm flipH="1">
          <a:off x="5112282" y="2352897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610428</xdr:colOff>
      <xdr:row>9</xdr:row>
      <xdr:rowOff>234235</xdr:rowOff>
    </xdr:from>
    <xdr:to>
      <xdr:col>6</xdr:col>
      <xdr:colOff>767953</xdr:colOff>
      <xdr:row>10</xdr:row>
      <xdr:rowOff>53578</xdr:rowOff>
    </xdr:to>
    <xdr:sp macro="" textlink="">
      <xdr:nvSpPr>
        <xdr:cNvPr id="529636" name="Line 90">
          <a:extLst>
            <a:ext uri="{FF2B5EF4-FFF2-40B4-BE49-F238E27FC236}">
              <a16:creationId xmlns:a16="http://schemas.microsoft.com/office/drawing/2014/main" id="{C93D29D3-C092-4DE2-B210-88E6E8AA2337}"/>
            </a:ext>
          </a:extLst>
        </xdr:cNvPr>
        <xdr:cNvSpPr>
          <a:spLocks noChangeShapeType="1"/>
        </xdr:cNvSpPr>
      </xdr:nvSpPr>
      <xdr:spPr bwMode="auto">
        <a:xfrm>
          <a:off x="5125278" y="2367835"/>
          <a:ext cx="151175" cy="669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631031</xdr:colOff>
      <xdr:row>9</xdr:row>
      <xdr:rowOff>238124</xdr:rowOff>
    </xdr:from>
    <xdr:to>
      <xdr:col>6</xdr:col>
      <xdr:colOff>747994</xdr:colOff>
      <xdr:row>10</xdr:row>
      <xdr:rowOff>79274</xdr:rowOff>
    </xdr:to>
    <xdr:sp macro="" textlink="">
      <xdr:nvSpPr>
        <xdr:cNvPr id="529637" name="Line 89">
          <a:extLst>
            <a:ext uri="{FF2B5EF4-FFF2-40B4-BE49-F238E27FC236}">
              <a16:creationId xmlns:a16="http://schemas.microsoft.com/office/drawing/2014/main" id="{5599A124-B64E-4333-9CF0-4FC4AC012E2C}"/>
            </a:ext>
          </a:extLst>
        </xdr:cNvPr>
        <xdr:cNvSpPr>
          <a:spLocks noChangeShapeType="1"/>
        </xdr:cNvSpPr>
      </xdr:nvSpPr>
      <xdr:spPr bwMode="auto">
        <a:xfrm flipH="1">
          <a:off x="5145881" y="2371724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589359</xdr:colOff>
      <xdr:row>10</xdr:row>
      <xdr:rowOff>5953</xdr:rowOff>
    </xdr:from>
    <xdr:to>
      <xdr:col>6</xdr:col>
      <xdr:colOff>746884</xdr:colOff>
      <xdr:row>10</xdr:row>
      <xdr:rowOff>75327</xdr:rowOff>
    </xdr:to>
    <xdr:sp macro="" textlink="">
      <xdr:nvSpPr>
        <xdr:cNvPr id="529638" name="Line 90">
          <a:extLst>
            <a:ext uri="{FF2B5EF4-FFF2-40B4-BE49-F238E27FC236}">
              <a16:creationId xmlns:a16="http://schemas.microsoft.com/office/drawing/2014/main" id="{1330F48B-C89A-433D-A745-0F5C3502490C}"/>
            </a:ext>
          </a:extLst>
        </xdr:cNvPr>
        <xdr:cNvSpPr>
          <a:spLocks noChangeShapeType="1"/>
        </xdr:cNvSpPr>
      </xdr:nvSpPr>
      <xdr:spPr bwMode="auto">
        <a:xfrm>
          <a:off x="5104209" y="2387203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338941</xdr:colOff>
      <xdr:row>9</xdr:row>
      <xdr:rowOff>230606</xdr:rowOff>
    </xdr:from>
    <xdr:to>
      <xdr:col>1</xdr:col>
      <xdr:colOff>455904</xdr:colOff>
      <xdr:row>10</xdr:row>
      <xdr:rowOff>71756</xdr:rowOff>
    </xdr:to>
    <xdr:sp macro="" textlink="">
      <xdr:nvSpPr>
        <xdr:cNvPr id="529639" name="Line 89">
          <a:extLst>
            <a:ext uri="{FF2B5EF4-FFF2-40B4-BE49-F238E27FC236}">
              <a16:creationId xmlns:a16="http://schemas.microsoft.com/office/drawing/2014/main" id="{618E534A-A59A-4662-A528-3C3E6B5079BA}"/>
            </a:ext>
          </a:extLst>
        </xdr:cNvPr>
        <xdr:cNvSpPr>
          <a:spLocks noChangeShapeType="1"/>
        </xdr:cNvSpPr>
      </xdr:nvSpPr>
      <xdr:spPr bwMode="auto">
        <a:xfrm flipH="1">
          <a:off x="1094591" y="2364206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351937</xdr:colOff>
      <xdr:row>9</xdr:row>
      <xdr:rowOff>245544</xdr:rowOff>
    </xdr:from>
    <xdr:to>
      <xdr:col>1</xdr:col>
      <xdr:colOff>509462</xdr:colOff>
      <xdr:row>10</xdr:row>
      <xdr:rowOff>64887</xdr:rowOff>
    </xdr:to>
    <xdr:sp macro="" textlink="">
      <xdr:nvSpPr>
        <xdr:cNvPr id="529640" name="Line 90">
          <a:extLst>
            <a:ext uri="{FF2B5EF4-FFF2-40B4-BE49-F238E27FC236}">
              <a16:creationId xmlns:a16="http://schemas.microsoft.com/office/drawing/2014/main" id="{96FFEFDB-8A24-41F7-B9FC-013A091880F0}"/>
            </a:ext>
          </a:extLst>
        </xdr:cNvPr>
        <xdr:cNvSpPr>
          <a:spLocks noChangeShapeType="1"/>
        </xdr:cNvSpPr>
      </xdr:nvSpPr>
      <xdr:spPr bwMode="auto">
        <a:xfrm>
          <a:off x="1107587" y="2379144"/>
          <a:ext cx="157525" cy="669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372540</xdr:colOff>
      <xdr:row>10</xdr:row>
      <xdr:rowOff>3788</xdr:rowOff>
    </xdr:from>
    <xdr:to>
      <xdr:col>1</xdr:col>
      <xdr:colOff>489503</xdr:colOff>
      <xdr:row>10</xdr:row>
      <xdr:rowOff>90583</xdr:rowOff>
    </xdr:to>
    <xdr:sp macro="" textlink="">
      <xdr:nvSpPr>
        <xdr:cNvPr id="529641" name="Line 89">
          <a:extLst>
            <a:ext uri="{FF2B5EF4-FFF2-40B4-BE49-F238E27FC236}">
              <a16:creationId xmlns:a16="http://schemas.microsoft.com/office/drawing/2014/main" id="{4FC99980-735C-4372-B5D2-A3C9E8575E03}"/>
            </a:ext>
          </a:extLst>
        </xdr:cNvPr>
        <xdr:cNvSpPr>
          <a:spLocks noChangeShapeType="1"/>
        </xdr:cNvSpPr>
      </xdr:nvSpPr>
      <xdr:spPr bwMode="auto">
        <a:xfrm flipH="1">
          <a:off x="1128190" y="2385038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330868</xdr:colOff>
      <xdr:row>10</xdr:row>
      <xdr:rowOff>17262</xdr:rowOff>
    </xdr:from>
    <xdr:to>
      <xdr:col>1</xdr:col>
      <xdr:colOff>488393</xdr:colOff>
      <xdr:row>10</xdr:row>
      <xdr:rowOff>86636</xdr:rowOff>
    </xdr:to>
    <xdr:sp macro="" textlink="">
      <xdr:nvSpPr>
        <xdr:cNvPr id="529642" name="Line 90">
          <a:extLst>
            <a:ext uri="{FF2B5EF4-FFF2-40B4-BE49-F238E27FC236}">
              <a16:creationId xmlns:a16="http://schemas.microsoft.com/office/drawing/2014/main" id="{996F7BED-EA79-4F22-A845-39B73DD094D2}"/>
            </a:ext>
          </a:extLst>
        </xdr:cNvPr>
        <xdr:cNvSpPr>
          <a:spLocks noChangeShapeType="1"/>
        </xdr:cNvSpPr>
      </xdr:nvSpPr>
      <xdr:spPr bwMode="auto">
        <a:xfrm>
          <a:off x="1086518" y="2398512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8073</xdr:colOff>
      <xdr:row>10</xdr:row>
      <xdr:rowOff>0</xdr:rowOff>
    </xdr:from>
    <xdr:to>
      <xdr:col>3</xdr:col>
      <xdr:colOff>125036</xdr:colOff>
      <xdr:row>10</xdr:row>
      <xdr:rowOff>86795</xdr:rowOff>
    </xdr:to>
    <xdr:sp macro="" textlink="">
      <xdr:nvSpPr>
        <xdr:cNvPr id="529643" name="Line 89">
          <a:extLst>
            <a:ext uri="{FF2B5EF4-FFF2-40B4-BE49-F238E27FC236}">
              <a16:creationId xmlns:a16="http://schemas.microsoft.com/office/drawing/2014/main" id="{D0548EA2-2113-401A-9460-0A1BFB01E969}"/>
            </a:ext>
          </a:extLst>
        </xdr:cNvPr>
        <xdr:cNvSpPr>
          <a:spLocks noChangeShapeType="1"/>
        </xdr:cNvSpPr>
      </xdr:nvSpPr>
      <xdr:spPr bwMode="auto">
        <a:xfrm flipH="1">
          <a:off x="2275023" y="2381250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21069</xdr:colOff>
      <xdr:row>10</xdr:row>
      <xdr:rowOff>14938</xdr:rowOff>
    </xdr:from>
    <xdr:to>
      <xdr:col>3</xdr:col>
      <xdr:colOff>178594</xdr:colOff>
      <xdr:row>10</xdr:row>
      <xdr:rowOff>79926</xdr:rowOff>
    </xdr:to>
    <xdr:sp macro="" textlink="">
      <xdr:nvSpPr>
        <xdr:cNvPr id="529644" name="Line 90">
          <a:extLst>
            <a:ext uri="{FF2B5EF4-FFF2-40B4-BE49-F238E27FC236}">
              <a16:creationId xmlns:a16="http://schemas.microsoft.com/office/drawing/2014/main" id="{3E0AE202-E94E-4E03-932B-7F62C546B717}"/>
            </a:ext>
          </a:extLst>
        </xdr:cNvPr>
        <xdr:cNvSpPr>
          <a:spLocks noChangeShapeType="1"/>
        </xdr:cNvSpPr>
      </xdr:nvSpPr>
      <xdr:spPr bwMode="auto">
        <a:xfrm>
          <a:off x="2288019" y="2396188"/>
          <a:ext cx="157525" cy="649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41672</xdr:colOff>
      <xdr:row>10</xdr:row>
      <xdr:rowOff>18827</xdr:rowOff>
    </xdr:from>
    <xdr:to>
      <xdr:col>3</xdr:col>
      <xdr:colOff>158635</xdr:colOff>
      <xdr:row>10</xdr:row>
      <xdr:rowOff>105622</xdr:rowOff>
    </xdr:to>
    <xdr:sp macro="" textlink="">
      <xdr:nvSpPr>
        <xdr:cNvPr id="529645" name="Line 89">
          <a:extLst>
            <a:ext uri="{FF2B5EF4-FFF2-40B4-BE49-F238E27FC236}">
              <a16:creationId xmlns:a16="http://schemas.microsoft.com/office/drawing/2014/main" id="{7BA60825-39CF-441C-8AED-21471FFF9679}"/>
            </a:ext>
          </a:extLst>
        </xdr:cNvPr>
        <xdr:cNvSpPr>
          <a:spLocks noChangeShapeType="1"/>
        </xdr:cNvSpPr>
      </xdr:nvSpPr>
      <xdr:spPr bwMode="auto">
        <a:xfrm flipH="1">
          <a:off x="2308622" y="2400077"/>
          <a:ext cx="116963" cy="86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32301</xdr:rowOff>
    </xdr:from>
    <xdr:to>
      <xdr:col>3</xdr:col>
      <xdr:colOff>157525</xdr:colOff>
      <xdr:row>10</xdr:row>
      <xdr:rowOff>101675</xdr:rowOff>
    </xdr:to>
    <xdr:sp macro="" textlink="">
      <xdr:nvSpPr>
        <xdr:cNvPr id="529646" name="Line 90">
          <a:extLst>
            <a:ext uri="{FF2B5EF4-FFF2-40B4-BE49-F238E27FC236}">
              <a16:creationId xmlns:a16="http://schemas.microsoft.com/office/drawing/2014/main" id="{090058BE-2D7B-4D03-B16E-3891F5AB6969}"/>
            </a:ext>
          </a:extLst>
        </xdr:cNvPr>
        <xdr:cNvSpPr>
          <a:spLocks noChangeShapeType="1"/>
        </xdr:cNvSpPr>
      </xdr:nvSpPr>
      <xdr:spPr bwMode="auto">
        <a:xfrm>
          <a:off x="2266950" y="2413551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158467</xdr:colOff>
      <xdr:row>9</xdr:row>
      <xdr:rowOff>225593</xdr:rowOff>
    </xdr:from>
    <xdr:to>
      <xdr:col>4</xdr:col>
      <xdr:colOff>275430</xdr:colOff>
      <xdr:row>10</xdr:row>
      <xdr:rowOff>66743</xdr:rowOff>
    </xdr:to>
    <xdr:sp macro="" textlink="">
      <xdr:nvSpPr>
        <xdr:cNvPr id="529647" name="Line 89">
          <a:extLst>
            <a:ext uri="{FF2B5EF4-FFF2-40B4-BE49-F238E27FC236}">
              <a16:creationId xmlns:a16="http://schemas.microsoft.com/office/drawing/2014/main" id="{EF04135F-9557-4C12-A23B-3D09B9D79A55}"/>
            </a:ext>
          </a:extLst>
        </xdr:cNvPr>
        <xdr:cNvSpPr>
          <a:spLocks noChangeShapeType="1"/>
        </xdr:cNvSpPr>
      </xdr:nvSpPr>
      <xdr:spPr bwMode="auto">
        <a:xfrm flipH="1">
          <a:off x="3104867" y="2359193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171463</xdr:colOff>
      <xdr:row>9</xdr:row>
      <xdr:rowOff>240531</xdr:rowOff>
    </xdr:from>
    <xdr:to>
      <xdr:col>4</xdr:col>
      <xdr:colOff>328988</xdr:colOff>
      <xdr:row>10</xdr:row>
      <xdr:rowOff>59874</xdr:rowOff>
    </xdr:to>
    <xdr:sp macro="" textlink="">
      <xdr:nvSpPr>
        <xdr:cNvPr id="529648" name="Line 90">
          <a:extLst>
            <a:ext uri="{FF2B5EF4-FFF2-40B4-BE49-F238E27FC236}">
              <a16:creationId xmlns:a16="http://schemas.microsoft.com/office/drawing/2014/main" id="{D6A624D2-E4BC-44AA-846E-48FE469C69E9}"/>
            </a:ext>
          </a:extLst>
        </xdr:cNvPr>
        <xdr:cNvSpPr>
          <a:spLocks noChangeShapeType="1"/>
        </xdr:cNvSpPr>
      </xdr:nvSpPr>
      <xdr:spPr bwMode="auto">
        <a:xfrm>
          <a:off x="3117863" y="2374131"/>
          <a:ext cx="157525" cy="669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192066</xdr:colOff>
      <xdr:row>9</xdr:row>
      <xdr:rowOff>244420</xdr:rowOff>
    </xdr:from>
    <xdr:to>
      <xdr:col>4</xdr:col>
      <xdr:colOff>309029</xdr:colOff>
      <xdr:row>10</xdr:row>
      <xdr:rowOff>85570</xdr:rowOff>
    </xdr:to>
    <xdr:sp macro="" textlink="">
      <xdr:nvSpPr>
        <xdr:cNvPr id="529649" name="Line 89">
          <a:extLst>
            <a:ext uri="{FF2B5EF4-FFF2-40B4-BE49-F238E27FC236}">
              <a16:creationId xmlns:a16="http://schemas.microsoft.com/office/drawing/2014/main" id="{6E5CC501-E2F7-4C77-90BD-1618C58833C5}"/>
            </a:ext>
          </a:extLst>
        </xdr:cNvPr>
        <xdr:cNvSpPr>
          <a:spLocks noChangeShapeType="1"/>
        </xdr:cNvSpPr>
      </xdr:nvSpPr>
      <xdr:spPr bwMode="auto">
        <a:xfrm flipH="1">
          <a:off x="3138466" y="2378020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150394</xdr:colOff>
      <xdr:row>10</xdr:row>
      <xdr:rowOff>12249</xdr:rowOff>
    </xdr:from>
    <xdr:to>
      <xdr:col>4</xdr:col>
      <xdr:colOff>307919</xdr:colOff>
      <xdr:row>10</xdr:row>
      <xdr:rowOff>81623</xdr:rowOff>
    </xdr:to>
    <xdr:sp macro="" textlink="">
      <xdr:nvSpPr>
        <xdr:cNvPr id="529650" name="Line 90">
          <a:extLst>
            <a:ext uri="{FF2B5EF4-FFF2-40B4-BE49-F238E27FC236}">
              <a16:creationId xmlns:a16="http://schemas.microsoft.com/office/drawing/2014/main" id="{9D99F480-F83D-420D-AFCE-426CE1F54FFE}"/>
            </a:ext>
          </a:extLst>
        </xdr:cNvPr>
        <xdr:cNvSpPr>
          <a:spLocks noChangeShapeType="1"/>
        </xdr:cNvSpPr>
      </xdr:nvSpPr>
      <xdr:spPr bwMode="auto">
        <a:xfrm>
          <a:off x="3096794" y="2393499"/>
          <a:ext cx="157525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3060</xdr:colOff>
      <xdr:row>9</xdr:row>
      <xdr:rowOff>220579</xdr:rowOff>
    </xdr:from>
    <xdr:to>
      <xdr:col>5</xdr:col>
      <xdr:colOff>120023</xdr:colOff>
      <xdr:row>10</xdr:row>
      <xdr:rowOff>61729</xdr:rowOff>
    </xdr:to>
    <xdr:sp macro="" textlink="">
      <xdr:nvSpPr>
        <xdr:cNvPr id="529651" name="Line 89">
          <a:extLst>
            <a:ext uri="{FF2B5EF4-FFF2-40B4-BE49-F238E27FC236}">
              <a16:creationId xmlns:a16="http://schemas.microsoft.com/office/drawing/2014/main" id="{8B054A2D-F1BF-49A9-8598-E805ACF77D91}"/>
            </a:ext>
          </a:extLst>
        </xdr:cNvPr>
        <xdr:cNvSpPr>
          <a:spLocks noChangeShapeType="1"/>
        </xdr:cNvSpPr>
      </xdr:nvSpPr>
      <xdr:spPr bwMode="auto">
        <a:xfrm flipH="1">
          <a:off x="3736860" y="2354179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16056</xdr:colOff>
      <xdr:row>9</xdr:row>
      <xdr:rowOff>235517</xdr:rowOff>
    </xdr:from>
    <xdr:to>
      <xdr:col>5</xdr:col>
      <xdr:colOff>173581</xdr:colOff>
      <xdr:row>10</xdr:row>
      <xdr:rowOff>54860</xdr:rowOff>
    </xdr:to>
    <xdr:sp macro="" textlink="">
      <xdr:nvSpPr>
        <xdr:cNvPr id="529652" name="Line 90">
          <a:extLst>
            <a:ext uri="{FF2B5EF4-FFF2-40B4-BE49-F238E27FC236}">
              <a16:creationId xmlns:a16="http://schemas.microsoft.com/office/drawing/2014/main" id="{369ACFC0-BC84-4049-A845-E3CDB10D5114}"/>
            </a:ext>
          </a:extLst>
        </xdr:cNvPr>
        <xdr:cNvSpPr>
          <a:spLocks noChangeShapeType="1"/>
        </xdr:cNvSpPr>
      </xdr:nvSpPr>
      <xdr:spPr bwMode="auto">
        <a:xfrm>
          <a:off x="3749856" y="2369117"/>
          <a:ext cx="157525" cy="669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36659</xdr:colOff>
      <xdr:row>9</xdr:row>
      <xdr:rowOff>239406</xdr:rowOff>
    </xdr:from>
    <xdr:to>
      <xdr:col>5</xdr:col>
      <xdr:colOff>153622</xdr:colOff>
      <xdr:row>10</xdr:row>
      <xdr:rowOff>80556</xdr:rowOff>
    </xdr:to>
    <xdr:sp macro="" textlink="">
      <xdr:nvSpPr>
        <xdr:cNvPr id="529653" name="Line 89">
          <a:extLst>
            <a:ext uri="{FF2B5EF4-FFF2-40B4-BE49-F238E27FC236}">
              <a16:creationId xmlns:a16="http://schemas.microsoft.com/office/drawing/2014/main" id="{73287180-3645-4494-AF8A-C9B5E40BEEAF}"/>
            </a:ext>
          </a:extLst>
        </xdr:cNvPr>
        <xdr:cNvSpPr>
          <a:spLocks noChangeShapeType="1"/>
        </xdr:cNvSpPr>
      </xdr:nvSpPr>
      <xdr:spPr bwMode="auto">
        <a:xfrm flipH="1">
          <a:off x="3770459" y="2373006"/>
          <a:ext cx="116963" cy="8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822158</xdr:colOff>
      <xdr:row>10</xdr:row>
      <xdr:rowOff>7235</xdr:rowOff>
    </xdr:from>
    <xdr:to>
      <xdr:col>5</xdr:col>
      <xdr:colOff>152512</xdr:colOff>
      <xdr:row>10</xdr:row>
      <xdr:rowOff>76609</xdr:rowOff>
    </xdr:to>
    <xdr:sp macro="" textlink="">
      <xdr:nvSpPr>
        <xdr:cNvPr id="529654" name="Line 90">
          <a:extLst>
            <a:ext uri="{FF2B5EF4-FFF2-40B4-BE49-F238E27FC236}">
              <a16:creationId xmlns:a16="http://schemas.microsoft.com/office/drawing/2014/main" id="{4F2F3A55-32B6-40C6-B222-EFD7EF017FBB}"/>
            </a:ext>
          </a:extLst>
        </xdr:cNvPr>
        <xdr:cNvSpPr>
          <a:spLocks noChangeShapeType="1"/>
        </xdr:cNvSpPr>
      </xdr:nvSpPr>
      <xdr:spPr bwMode="auto">
        <a:xfrm>
          <a:off x="3736808" y="2388485"/>
          <a:ext cx="149504" cy="693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582333</xdr:colOff>
      <xdr:row>73</xdr:row>
      <xdr:rowOff>18303</xdr:rowOff>
    </xdr:from>
    <xdr:to>
      <xdr:col>20</xdr:col>
      <xdr:colOff>2055</xdr:colOff>
      <xdr:row>74</xdr:row>
      <xdr:rowOff>73585</xdr:rowOff>
    </xdr:to>
    <xdr:pic>
      <xdr:nvPicPr>
        <xdr:cNvPr id="2" name="Picture 1" descr="4T42-44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216" t="55437" r="25687" b="33511"/>
        <a:stretch>
          <a:fillRect/>
        </a:stretch>
      </xdr:blipFill>
      <xdr:spPr bwMode="auto">
        <a:xfrm>
          <a:off x="7811808" y="10762503"/>
          <a:ext cx="1854947" cy="2172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277159</xdr:colOff>
      <xdr:row>80</xdr:row>
      <xdr:rowOff>79935</xdr:rowOff>
    </xdr:from>
    <xdr:to>
      <xdr:col>19</xdr:col>
      <xdr:colOff>488576</xdr:colOff>
      <xdr:row>82</xdr:row>
      <xdr:rowOff>38846</xdr:rowOff>
    </xdr:to>
    <xdr:pic>
      <xdr:nvPicPr>
        <xdr:cNvPr id="3" name="Picture 2" descr="4T42-4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216" t="55437" r="25687" b="33511"/>
        <a:stretch>
          <a:fillRect/>
        </a:stretch>
      </xdr:blipFill>
      <xdr:spPr bwMode="auto">
        <a:xfrm>
          <a:off x="7506634" y="11767110"/>
          <a:ext cx="1824317" cy="3494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589806</xdr:colOff>
      <xdr:row>89</xdr:row>
      <xdr:rowOff>88527</xdr:rowOff>
    </xdr:from>
    <xdr:to>
      <xdr:col>19</xdr:col>
      <xdr:colOff>505388</xdr:colOff>
      <xdr:row>98</xdr:row>
      <xdr:rowOff>121210</xdr:rowOff>
    </xdr:to>
    <xdr:pic>
      <xdr:nvPicPr>
        <xdr:cNvPr id="4" name="Picture 3" descr="4T42-4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882" t="22104" r="50589" b="46524"/>
        <a:stretch>
          <a:fillRect/>
        </a:stretch>
      </xdr:blipFill>
      <xdr:spPr bwMode="auto">
        <a:xfrm>
          <a:off x="8657481" y="13528302"/>
          <a:ext cx="696632" cy="5942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17</xdr:col>
      <xdr:colOff>582333</xdr:colOff>
      <xdr:row>76</xdr:row>
      <xdr:rowOff>18303</xdr:rowOff>
    </xdr:from>
    <xdr:ext cx="1860550" cy="231215"/>
    <xdr:pic>
      <xdr:nvPicPr>
        <xdr:cNvPr id="5" name="Picture 4" descr="4T42-4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216" t="55437" r="25687" b="33511"/>
        <a:stretch>
          <a:fillRect/>
        </a:stretch>
      </xdr:blipFill>
      <xdr:spPr bwMode="auto">
        <a:xfrm>
          <a:off x="7811808" y="11153028"/>
          <a:ext cx="1860550" cy="231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VN-NPT\PECC5\110KV\TBA%20KVan\TKBVTC\MB%20D122-26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"/>
      <sheetName val="D122-38"/>
      <sheetName val="Tra"/>
      <sheetName val="ChiTiet"/>
      <sheetName val="TongHop"/>
      <sheetName val="CoCot"/>
      <sheetName val="bang tra k"/>
    </sheetNames>
    <sheetDataSet>
      <sheetData sheetId="0" refreshError="1"/>
      <sheetData sheetId="1" refreshError="1">
        <row r="7">
          <cell r="K7">
            <v>3.2</v>
          </cell>
        </row>
        <row r="9">
          <cell r="K9">
            <v>6</v>
          </cell>
          <cell r="L9" t="str">
            <v>(m)</v>
          </cell>
        </row>
        <row r="10">
          <cell r="K10">
            <v>8</v>
          </cell>
          <cell r="L10" t="str">
            <v>(m)</v>
          </cell>
        </row>
        <row r="25">
          <cell r="B25">
            <v>0.6</v>
          </cell>
          <cell r="K25">
            <v>1.0999999999999999</v>
          </cell>
        </row>
        <row r="27">
          <cell r="K27">
            <v>2.1</v>
          </cell>
        </row>
      </sheetData>
      <sheetData sheetId="2" refreshError="1">
        <row r="121">
          <cell r="C121">
            <v>3.2</v>
          </cell>
        </row>
        <row r="137">
          <cell r="G137">
            <v>6</v>
          </cell>
          <cell r="H137">
            <v>5</v>
          </cell>
          <cell r="I137">
            <v>5</v>
          </cell>
          <cell r="J137">
            <v>11</v>
          </cell>
          <cell r="K137">
            <v>5</v>
          </cell>
        </row>
        <row r="143">
          <cell r="I143">
            <v>1</v>
          </cell>
        </row>
        <row r="144">
          <cell r="I144">
            <v>2</v>
          </cell>
        </row>
        <row r="147">
          <cell r="J147">
            <v>16</v>
          </cell>
        </row>
        <row r="155">
          <cell r="I155" t="str">
            <v>5a</v>
          </cell>
          <cell r="J155">
            <v>12</v>
          </cell>
          <cell r="K155">
            <v>5.85</v>
          </cell>
          <cell r="L155">
            <v>18</v>
          </cell>
        </row>
        <row r="156">
          <cell r="I156" t="str">
            <v>5b</v>
          </cell>
          <cell r="J156">
            <v>12</v>
          </cell>
          <cell r="K156">
            <v>1.5</v>
          </cell>
          <cell r="L156">
            <v>0</v>
          </cell>
        </row>
        <row r="157">
          <cell r="I157" t="str">
            <v>5c</v>
          </cell>
          <cell r="J157">
            <v>12</v>
          </cell>
          <cell r="K157">
            <v>1.5</v>
          </cell>
          <cell r="L157">
            <v>0</v>
          </cell>
        </row>
        <row r="158">
          <cell r="I158" t="str">
            <v>5d</v>
          </cell>
          <cell r="J158">
            <v>12</v>
          </cell>
          <cell r="K158">
            <v>0</v>
          </cell>
          <cell r="L158">
            <v>0</v>
          </cell>
        </row>
        <row r="159">
          <cell r="I159" t="str">
            <v>5e</v>
          </cell>
          <cell r="J159">
            <v>12</v>
          </cell>
          <cell r="K159">
            <v>1</v>
          </cell>
          <cell r="L159">
            <v>0</v>
          </cell>
        </row>
        <row r="164">
          <cell r="I164" t="str">
            <v>9a</v>
          </cell>
          <cell r="J164">
            <v>10</v>
          </cell>
          <cell r="L164">
            <v>0</v>
          </cell>
          <cell r="N164">
            <v>0.35</v>
          </cell>
          <cell r="O164">
            <v>0.87</v>
          </cell>
        </row>
        <row r="165">
          <cell r="I165" t="str">
            <v>9b</v>
          </cell>
          <cell r="J165">
            <v>10</v>
          </cell>
          <cell r="L165">
            <v>0</v>
          </cell>
          <cell r="N165">
            <v>0.51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Microsoft_Visio_2003-2010_Drawing.vsd"/><Relationship Id="rId39" Type="http://schemas.openxmlformats.org/officeDocument/2006/relationships/image" Target="../media/image18.emf"/><Relationship Id="rId21" Type="http://schemas.openxmlformats.org/officeDocument/2006/relationships/oleObject" Target="../embeddings/oleObject11.bin"/><Relationship Id="rId34" Type="http://schemas.openxmlformats.org/officeDocument/2006/relationships/oleObject" Target="../embeddings/oleObject16.bin"/><Relationship Id="rId42" Type="http://schemas.openxmlformats.org/officeDocument/2006/relationships/comments" Target="../comments3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10.bin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6.emf"/><Relationship Id="rId24" Type="http://schemas.openxmlformats.org/officeDocument/2006/relationships/oleObject" Target="../embeddings/oleObject13.bin"/><Relationship Id="rId32" Type="http://schemas.openxmlformats.org/officeDocument/2006/relationships/oleObject" Target="../embeddings/oleObject15.bin"/><Relationship Id="rId37" Type="http://schemas.openxmlformats.org/officeDocument/2006/relationships/image" Target="../media/image17.emf"/><Relationship Id="rId40" Type="http://schemas.openxmlformats.org/officeDocument/2006/relationships/oleObject" Target="../embeddings/oleObject19.bin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0.wmf"/><Relationship Id="rId28" Type="http://schemas.openxmlformats.org/officeDocument/2006/relationships/oleObject" Target="../embeddings/Microsoft_Visio_2003-2010_Drawing1.vsd"/><Relationship Id="rId36" Type="http://schemas.openxmlformats.org/officeDocument/2006/relationships/oleObject" Target="../embeddings/oleObject17.bin"/><Relationship Id="rId10" Type="http://schemas.openxmlformats.org/officeDocument/2006/relationships/oleObject" Target="../embeddings/oleObject4.bin"/><Relationship Id="rId19" Type="http://schemas.openxmlformats.org/officeDocument/2006/relationships/oleObject" Target="../embeddings/oleObject9.bin"/><Relationship Id="rId31" Type="http://schemas.openxmlformats.org/officeDocument/2006/relationships/image" Target="../media/image14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5.e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2.bin"/><Relationship Id="rId27" Type="http://schemas.openxmlformats.org/officeDocument/2006/relationships/image" Target="../media/image12.emf"/><Relationship Id="rId30" Type="http://schemas.openxmlformats.org/officeDocument/2006/relationships/oleObject" Target="../embeddings/oleObject14.bin"/><Relationship Id="rId35" Type="http://schemas.openxmlformats.org/officeDocument/2006/relationships/image" Target="../media/image16.emf"/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9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18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oleObject" Target="../embeddings/oleObject27.bin"/><Relationship Id="rId26" Type="http://schemas.openxmlformats.org/officeDocument/2006/relationships/oleObject" Target="../embeddings/Microsoft_Visio_2003-2010_Drawing2.vsd"/><Relationship Id="rId39" Type="http://schemas.openxmlformats.org/officeDocument/2006/relationships/image" Target="../media/image18.emf"/><Relationship Id="rId21" Type="http://schemas.openxmlformats.org/officeDocument/2006/relationships/oleObject" Target="../embeddings/oleObject30.bin"/><Relationship Id="rId34" Type="http://schemas.openxmlformats.org/officeDocument/2006/relationships/oleObject" Target="../embeddings/oleObject35.bin"/><Relationship Id="rId42" Type="http://schemas.openxmlformats.org/officeDocument/2006/relationships/comments" Target="../comments4.x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26.bin"/><Relationship Id="rId20" Type="http://schemas.openxmlformats.org/officeDocument/2006/relationships/oleObject" Target="../embeddings/oleObject29.bin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21.bin"/><Relationship Id="rId11" Type="http://schemas.openxmlformats.org/officeDocument/2006/relationships/image" Target="../media/image6.emf"/><Relationship Id="rId24" Type="http://schemas.openxmlformats.org/officeDocument/2006/relationships/oleObject" Target="../embeddings/oleObject32.bin"/><Relationship Id="rId32" Type="http://schemas.openxmlformats.org/officeDocument/2006/relationships/oleObject" Target="../embeddings/oleObject34.bin"/><Relationship Id="rId37" Type="http://schemas.openxmlformats.org/officeDocument/2006/relationships/image" Target="../media/image17.emf"/><Relationship Id="rId40" Type="http://schemas.openxmlformats.org/officeDocument/2006/relationships/oleObject" Target="../embeddings/oleObject38.bin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0.wmf"/><Relationship Id="rId28" Type="http://schemas.openxmlformats.org/officeDocument/2006/relationships/oleObject" Target="../embeddings/Microsoft_Visio_2003-2010_Drawing3.vsd"/><Relationship Id="rId36" Type="http://schemas.openxmlformats.org/officeDocument/2006/relationships/oleObject" Target="../embeddings/oleObject36.bin"/><Relationship Id="rId10" Type="http://schemas.openxmlformats.org/officeDocument/2006/relationships/oleObject" Target="../embeddings/oleObject23.bin"/><Relationship Id="rId19" Type="http://schemas.openxmlformats.org/officeDocument/2006/relationships/oleObject" Target="../embeddings/oleObject28.bin"/><Relationship Id="rId31" Type="http://schemas.openxmlformats.org/officeDocument/2006/relationships/image" Target="../media/image14.emf"/><Relationship Id="rId4" Type="http://schemas.openxmlformats.org/officeDocument/2006/relationships/oleObject" Target="../embeddings/oleObject20.bin"/><Relationship Id="rId9" Type="http://schemas.openxmlformats.org/officeDocument/2006/relationships/image" Target="../media/image5.emf"/><Relationship Id="rId14" Type="http://schemas.openxmlformats.org/officeDocument/2006/relationships/oleObject" Target="../embeddings/oleObject25.bin"/><Relationship Id="rId22" Type="http://schemas.openxmlformats.org/officeDocument/2006/relationships/oleObject" Target="../embeddings/oleObject31.bin"/><Relationship Id="rId27" Type="http://schemas.openxmlformats.org/officeDocument/2006/relationships/image" Target="../media/image12.emf"/><Relationship Id="rId30" Type="http://schemas.openxmlformats.org/officeDocument/2006/relationships/oleObject" Target="../embeddings/oleObject33.bin"/><Relationship Id="rId35" Type="http://schemas.openxmlformats.org/officeDocument/2006/relationships/image" Target="../media/image16.emf"/><Relationship Id="rId8" Type="http://schemas.openxmlformats.org/officeDocument/2006/relationships/oleObject" Target="../embeddings/oleObject22.bin"/><Relationship Id="rId3" Type="http://schemas.openxmlformats.org/officeDocument/2006/relationships/vmlDrawing" Target="../drawings/vmlDrawing4.vml"/><Relationship Id="rId12" Type="http://schemas.openxmlformats.org/officeDocument/2006/relationships/oleObject" Target="../embeddings/oleObject24.bin"/><Relationship Id="rId17" Type="http://schemas.openxmlformats.org/officeDocument/2006/relationships/image" Target="../media/image9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37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oleObject" Target="../embeddings/oleObject46.bin"/><Relationship Id="rId26" Type="http://schemas.openxmlformats.org/officeDocument/2006/relationships/oleObject" Target="../embeddings/Microsoft_Visio_2003-2010_Drawing21.vsd"/><Relationship Id="rId39" Type="http://schemas.openxmlformats.org/officeDocument/2006/relationships/image" Target="../media/image18.emf"/><Relationship Id="rId21" Type="http://schemas.openxmlformats.org/officeDocument/2006/relationships/oleObject" Target="../embeddings/oleObject49.bin"/><Relationship Id="rId34" Type="http://schemas.openxmlformats.org/officeDocument/2006/relationships/oleObject" Target="../embeddings/oleObject54.bin"/><Relationship Id="rId42" Type="http://schemas.openxmlformats.org/officeDocument/2006/relationships/comments" Target="../comments5.x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45.bin"/><Relationship Id="rId20" Type="http://schemas.openxmlformats.org/officeDocument/2006/relationships/oleObject" Target="../embeddings/oleObject48.bin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7.bin"/><Relationship Id="rId6" Type="http://schemas.openxmlformats.org/officeDocument/2006/relationships/oleObject" Target="../embeddings/oleObject40.bin"/><Relationship Id="rId11" Type="http://schemas.openxmlformats.org/officeDocument/2006/relationships/image" Target="../media/image6.emf"/><Relationship Id="rId24" Type="http://schemas.openxmlformats.org/officeDocument/2006/relationships/oleObject" Target="../embeddings/oleObject51.bin"/><Relationship Id="rId32" Type="http://schemas.openxmlformats.org/officeDocument/2006/relationships/oleObject" Target="../embeddings/oleObject53.bin"/><Relationship Id="rId37" Type="http://schemas.openxmlformats.org/officeDocument/2006/relationships/image" Target="../media/image17.emf"/><Relationship Id="rId40" Type="http://schemas.openxmlformats.org/officeDocument/2006/relationships/oleObject" Target="../embeddings/oleObject57.bin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0.wmf"/><Relationship Id="rId28" Type="http://schemas.openxmlformats.org/officeDocument/2006/relationships/oleObject" Target="../embeddings/Microsoft_Visio_2003-2010_Drawing32.vsd"/><Relationship Id="rId36" Type="http://schemas.openxmlformats.org/officeDocument/2006/relationships/oleObject" Target="../embeddings/oleObject55.bin"/><Relationship Id="rId10" Type="http://schemas.openxmlformats.org/officeDocument/2006/relationships/oleObject" Target="../embeddings/oleObject42.bin"/><Relationship Id="rId19" Type="http://schemas.openxmlformats.org/officeDocument/2006/relationships/oleObject" Target="../embeddings/oleObject47.bin"/><Relationship Id="rId31" Type="http://schemas.openxmlformats.org/officeDocument/2006/relationships/image" Target="../media/image14.emf"/><Relationship Id="rId4" Type="http://schemas.openxmlformats.org/officeDocument/2006/relationships/oleObject" Target="../embeddings/oleObject39.bin"/><Relationship Id="rId9" Type="http://schemas.openxmlformats.org/officeDocument/2006/relationships/image" Target="../media/image5.emf"/><Relationship Id="rId14" Type="http://schemas.openxmlformats.org/officeDocument/2006/relationships/oleObject" Target="../embeddings/oleObject44.bin"/><Relationship Id="rId22" Type="http://schemas.openxmlformats.org/officeDocument/2006/relationships/oleObject" Target="../embeddings/oleObject50.bin"/><Relationship Id="rId27" Type="http://schemas.openxmlformats.org/officeDocument/2006/relationships/image" Target="../media/image12.emf"/><Relationship Id="rId30" Type="http://schemas.openxmlformats.org/officeDocument/2006/relationships/oleObject" Target="../embeddings/oleObject52.bin"/><Relationship Id="rId35" Type="http://schemas.openxmlformats.org/officeDocument/2006/relationships/image" Target="../media/image16.emf"/><Relationship Id="rId8" Type="http://schemas.openxmlformats.org/officeDocument/2006/relationships/oleObject" Target="../embeddings/oleObject41.bin"/><Relationship Id="rId3" Type="http://schemas.openxmlformats.org/officeDocument/2006/relationships/vmlDrawing" Target="../drawings/vmlDrawing5.vml"/><Relationship Id="rId12" Type="http://schemas.openxmlformats.org/officeDocument/2006/relationships/oleObject" Target="../embeddings/oleObject43.bin"/><Relationship Id="rId17" Type="http://schemas.openxmlformats.org/officeDocument/2006/relationships/image" Target="../media/image9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56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oleObject" Target="../embeddings/oleObject65.bin"/><Relationship Id="rId26" Type="http://schemas.openxmlformats.org/officeDocument/2006/relationships/oleObject" Target="../embeddings/Microsoft_Visio_2003-2010_Drawing23.vsd"/><Relationship Id="rId39" Type="http://schemas.openxmlformats.org/officeDocument/2006/relationships/image" Target="../media/image18.emf"/><Relationship Id="rId21" Type="http://schemas.openxmlformats.org/officeDocument/2006/relationships/oleObject" Target="../embeddings/oleObject68.bin"/><Relationship Id="rId34" Type="http://schemas.openxmlformats.org/officeDocument/2006/relationships/oleObject" Target="../embeddings/oleObject73.bin"/><Relationship Id="rId42" Type="http://schemas.openxmlformats.org/officeDocument/2006/relationships/comments" Target="../comments6.x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6" Type="http://schemas.openxmlformats.org/officeDocument/2006/relationships/oleObject" Target="../embeddings/oleObject64.bin"/><Relationship Id="rId20" Type="http://schemas.openxmlformats.org/officeDocument/2006/relationships/oleObject" Target="../embeddings/oleObject67.bin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59.bin"/><Relationship Id="rId11" Type="http://schemas.openxmlformats.org/officeDocument/2006/relationships/image" Target="../media/image6.emf"/><Relationship Id="rId24" Type="http://schemas.openxmlformats.org/officeDocument/2006/relationships/oleObject" Target="../embeddings/oleObject70.bin"/><Relationship Id="rId32" Type="http://schemas.openxmlformats.org/officeDocument/2006/relationships/oleObject" Target="../embeddings/oleObject72.bin"/><Relationship Id="rId37" Type="http://schemas.openxmlformats.org/officeDocument/2006/relationships/image" Target="../media/image17.emf"/><Relationship Id="rId40" Type="http://schemas.openxmlformats.org/officeDocument/2006/relationships/oleObject" Target="../embeddings/oleObject76.bin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0.wmf"/><Relationship Id="rId28" Type="http://schemas.openxmlformats.org/officeDocument/2006/relationships/oleObject" Target="../embeddings/Microsoft_Visio_2003-2010_Drawing34.vsd"/><Relationship Id="rId36" Type="http://schemas.openxmlformats.org/officeDocument/2006/relationships/oleObject" Target="../embeddings/oleObject74.bin"/><Relationship Id="rId10" Type="http://schemas.openxmlformats.org/officeDocument/2006/relationships/oleObject" Target="../embeddings/oleObject61.bin"/><Relationship Id="rId19" Type="http://schemas.openxmlformats.org/officeDocument/2006/relationships/oleObject" Target="../embeddings/oleObject66.bin"/><Relationship Id="rId31" Type="http://schemas.openxmlformats.org/officeDocument/2006/relationships/image" Target="../media/image14.emf"/><Relationship Id="rId4" Type="http://schemas.openxmlformats.org/officeDocument/2006/relationships/oleObject" Target="../embeddings/oleObject58.bin"/><Relationship Id="rId9" Type="http://schemas.openxmlformats.org/officeDocument/2006/relationships/image" Target="../media/image5.emf"/><Relationship Id="rId14" Type="http://schemas.openxmlformats.org/officeDocument/2006/relationships/oleObject" Target="../embeddings/oleObject63.bin"/><Relationship Id="rId22" Type="http://schemas.openxmlformats.org/officeDocument/2006/relationships/oleObject" Target="../embeddings/oleObject69.bin"/><Relationship Id="rId27" Type="http://schemas.openxmlformats.org/officeDocument/2006/relationships/image" Target="../media/image12.emf"/><Relationship Id="rId30" Type="http://schemas.openxmlformats.org/officeDocument/2006/relationships/oleObject" Target="../embeddings/oleObject71.bin"/><Relationship Id="rId35" Type="http://schemas.openxmlformats.org/officeDocument/2006/relationships/image" Target="../media/image16.emf"/><Relationship Id="rId8" Type="http://schemas.openxmlformats.org/officeDocument/2006/relationships/oleObject" Target="../embeddings/oleObject60.bin"/><Relationship Id="rId3" Type="http://schemas.openxmlformats.org/officeDocument/2006/relationships/vmlDrawing" Target="../drawings/vmlDrawing6.vml"/><Relationship Id="rId12" Type="http://schemas.openxmlformats.org/officeDocument/2006/relationships/oleObject" Target="../embeddings/oleObject62.bin"/><Relationship Id="rId17" Type="http://schemas.openxmlformats.org/officeDocument/2006/relationships/image" Target="../media/image9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7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oleObject" Target="../embeddings/Microsoft_Visio_2003-2010_Drawing5.vsd"/><Relationship Id="rId5" Type="http://schemas.openxmlformats.org/officeDocument/2006/relationships/image" Target="../media/image12.emf"/><Relationship Id="rId4" Type="http://schemas.openxmlformats.org/officeDocument/2006/relationships/oleObject" Target="../embeddings/Microsoft_Visio_2003-2010_Drawing4.vsd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Y178"/>
  <sheetViews>
    <sheetView topLeftCell="A37" workbookViewId="0">
      <selection activeCell="K11" sqref="K11"/>
    </sheetView>
  </sheetViews>
  <sheetFormatPr defaultColWidth="9.09765625" defaultRowHeight="13"/>
  <cols>
    <col min="1" max="1" width="11.296875" style="2" customWidth="1"/>
    <col min="2" max="2" width="9.09765625" style="2"/>
    <col min="3" max="3" width="9.09765625" style="10"/>
    <col min="4" max="11" width="9.09765625" style="2"/>
    <col min="12" max="12" width="12.296875" style="2" customWidth="1"/>
    <col min="13" max="13" width="8.59765625" style="2" customWidth="1"/>
    <col min="14" max="16384" width="9.09765625" style="2"/>
  </cols>
  <sheetData>
    <row r="3" spans="2:25">
      <c r="B3" s="2" t="s">
        <v>45</v>
      </c>
    </row>
    <row r="4" spans="2:25">
      <c r="C4" s="10" t="s">
        <v>46</v>
      </c>
      <c r="G4" s="8" t="s">
        <v>524</v>
      </c>
      <c r="H4" s="8"/>
      <c r="I4" s="8"/>
      <c r="L4" s="82" t="s">
        <v>132</v>
      </c>
      <c r="M4" s="82" t="s">
        <v>133</v>
      </c>
      <c r="N4" s="82" t="s">
        <v>134</v>
      </c>
      <c r="O4" s="82" t="s">
        <v>135</v>
      </c>
      <c r="P4" s="82" t="s">
        <v>136</v>
      </c>
      <c r="Q4" s="83" t="s">
        <v>439</v>
      </c>
      <c r="R4" s="83" t="s">
        <v>137</v>
      </c>
      <c r="S4" s="83" t="s">
        <v>138</v>
      </c>
      <c r="T4" s="83" t="s">
        <v>139</v>
      </c>
      <c r="U4" s="84" t="s">
        <v>132</v>
      </c>
      <c r="V4" s="84" t="s">
        <v>133</v>
      </c>
      <c r="W4" s="84" t="s">
        <v>134</v>
      </c>
      <c r="X4" s="84" t="s">
        <v>135</v>
      </c>
      <c r="Y4" s="84" t="s">
        <v>136</v>
      </c>
    </row>
    <row r="5" spans="2:25">
      <c r="D5" s="2" t="s">
        <v>47</v>
      </c>
      <c r="G5" s="2">
        <f>IF(G4="M200",90,IF(G4="M250",110,IF(G4="M300",130,"Maùc beâ toâng")))</f>
        <v>110</v>
      </c>
      <c r="J5" s="2" t="s">
        <v>52</v>
      </c>
      <c r="L5" s="82">
        <v>1</v>
      </c>
      <c r="M5" s="82">
        <v>9.9000000000000008E-3</v>
      </c>
      <c r="N5" s="82">
        <v>4.5699999999999998E-2</v>
      </c>
      <c r="O5" s="82">
        <v>5.0999999999999997E-2</v>
      </c>
      <c r="P5" s="82">
        <v>8.5300000000000001E-2</v>
      </c>
      <c r="Q5" s="83">
        <f>+(M6-M5)/(L6-L5)</f>
        <v>2.9999999999999966E-3</v>
      </c>
      <c r="R5" s="83">
        <f>+(N6-N5)/(L6-L5)</f>
        <v>3.5000000000000003E-2</v>
      </c>
      <c r="S5" s="83">
        <f>+(O6-O5)/(L6-L5)</f>
        <v>6.3999999999999974E-2</v>
      </c>
      <c r="T5" s="83">
        <f>+(P6-P5)/(L6-L5)</f>
        <v>7.6999999999999916E-2</v>
      </c>
      <c r="U5" s="84">
        <v>1</v>
      </c>
      <c r="V5" s="84">
        <f>+IF($U5&lt;=1.5,IF($U5&lt;=1.4,IF($U5&lt;=1.3,IF($U5&lt;=1.2,IF($U5&lt;=1.1,M$5+($U5-$L$5)*Q$5,M$6+($U5-$L$6)*Q$6),M$7+($U5-$L$7)*Q$7),M$8+($U5-$L$8)*Q$8),M$9+($U5-$L$9)*Q$9),M$10)</f>
        <v>9.9000000000000008E-3</v>
      </c>
      <c r="W5" s="84">
        <f>+IF($U5&lt;=1.5,IF($U5&lt;=1.4,IF($U5&lt;=1.3,IF($U5&lt;=1.2,IF($U5&lt;=1.1,N$5+($U5-$L$5)*R$5,N$6+($U5-$L$6)*R$6),N$7+($U5-$L$7)*R$7),N$8+($U5-$L$8)*R$8),N$9+($U5-$L$9)*R$9),N$10)</f>
        <v>4.5699999999999998E-2</v>
      </c>
      <c r="X5" s="84">
        <f>+IF($U5&lt;=1.5,IF($U5&lt;=1.4,IF($U5&lt;=1.3,IF($U5&lt;=1.2,IF($U5&lt;=1.1,O$5+($U5-$L$5)*S$5,O$6+($U5-$L$6)*S$6),O$7+($U5-$L$7)*S$7),O$8+($U5-$L$8)*S$8),O$9+($U5-$L$9)*S$9),O$10)</f>
        <v>5.0999999999999997E-2</v>
      </c>
      <c r="Y5" s="84">
        <f>+IF($U5&lt;=1.5,IF($U5&lt;=1.4,IF($U5&lt;=1.3,IF($U5&lt;=1.2,IF($U5&lt;=1.1,P$5+($U5-$L$5)*T$5,P$6+($U5-$L$6)*T$6),P$7+($U5-$L$7)*T$7),P$8+($U5-$L$8)*T$8),P$9+($U5-$L$9)*T$9),P$10)</f>
        <v>8.5300000000000001E-2</v>
      </c>
    </row>
    <row r="6" spans="2:25">
      <c r="D6" s="2" t="s">
        <v>49</v>
      </c>
      <c r="G6" s="2">
        <f>IF(G4="M200",7.5,IF(G4="M250",8.8,IF(G4="M300",10,"Maùc be toâng")))</f>
        <v>8.8000000000000007</v>
      </c>
      <c r="L6" s="82">
        <v>1.1000000000000001</v>
      </c>
      <c r="M6" s="82">
        <v>1.0200000000000001E-2</v>
      </c>
      <c r="N6" s="82">
        <v>4.9200000000000001E-2</v>
      </c>
      <c r="O6" s="82">
        <v>5.74E-2</v>
      </c>
      <c r="P6" s="82">
        <v>9.2999999999999999E-2</v>
      </c>
      <c r="Q6" s="83">
        <f>+(M7-M6)/(L7-L6)</f>
        <v>0</v>
      </c>
      <c r="R6" s="83">
        <f>+(N7-N6)/(L7-L6)</f>
        <v>2.7000000000000045E-2</v>
      </c>
      <c r="S6" s="83">
        <f>+(O7-O6)/(L7-L6)</f>
        <v>6.2000000000000124E-2</v>
      </c>
      <c r="T6" s="83">
        <f>+(P7-P6)/(L7-L6)</f>
        <v>7.0000000000000159E-2</v>
      </c>
      <c r="U6" s="84">
        <v>1.1000000000000001</v>
      </c>
      <c r="V6" s="84">
        <f t="shared" ref="V6:W10" si="0">+IF($U6&lt;=1.5,IF($U6&lt;=1.4,IF($U6&lt;=1.3,IF($U6&lt;=1.2,IF($U6&lt;=1.1,M$5+($U6-$L$5)*Q$5,M$6+($U6-$L$6)*Q$6),M$7+($U6-$L$7)*Q$7),M$8+($U6-$L$8)*Q$8),M$9+($U6-$L$9)*Q$9),M$10)</f>
        <v>1.0200000000000001E-2</v>
      </c>
      <c r="W6" s="84">
        <f t="shared" si="0"/>
        <v>4.9200000000000001E-2</v>
      </c>
      <c r="X6" s="84">
        <f t="shared" ref="X6:Y10" si="1">+IF($U6&lt;=1.5,IF($U6&lt;=1.4,IF($U6&lt;=1.3,IF($U6&lt;=1.2,IF($U6&lt;=1.1,O$5+($U6-$L$5)*S$5,O$6+($U6-$L$6)*S$6),O$7+($U6-$L$7)*S$7),O$8+($U6-$L$8)*S$8),O$9+($U6-$L$9)*S$9),O$10)</f>
        <v>5.74E-2</v>
      </c>
      <c r="Y6" s="84">
        <f t="shared" si="1"/>
        <v>9.2999999999999999E-2</v>
      </c>
    </row>
    <row r="7" spans="2:25">
      <c r="C7" s="10" t="s">
        <v>51</v>
      </c>
      <c r="G7" s="8" t="s">
        <v>50</v>
      </c>
      <c r="H7" s="8"/>
      <c r="I7" s="8"/>
      <c r="L7" s="82">
        <v>1.2</v>
      </c>
      <c r="M7" s="82">
        <v>1.0200000000000001E-2</v>
      </c>
      <c r="N7" s="82">
        <v>5.1900000000000002E-2</v>
      </c>
      <c r="O7" s="82">
        <v>6.3600000000000004E-2</v>
      </c>
      <c r="P7" s="82">
        <v>0.1</v>
      </c>
      <c r="Q7" s="83">
        <f>+(M8-M7)/(L8-L7)</f>
        <v>0.90799999999999925</v>
      </c>
      <c r="R7" s="83">
        <f>+(N8-N7)/(L8-L7)</f>
        <v>2.099999999999996E-2</v>
      </c>
      <c r="S7" s="83">
        <f>+(O8-O7)/(L8-L7)</f>
        <v>6.3999999999999974E-2</v>
      </c>
      <c r="T7" s="83">
        <f>+(P8-P7)/(L8-L7)</f>
        <v>6.1999999999999916E-2</v>
      </c>
      <c r="U7" s="84">
        <v>1.2</v>
      </c>
      <c r="V7" s="84">
        <f t="shared" si="0"/>
        <v>1.0200000000000001E-2</v>
      </c>
      <c r="W7" s="84">
        <f t="shared" si="0"/>
        <v>5.1900000000000002E-2</v>
      </c>
      <c r="X7" s="84">
        <f t="shared" si="1"/>
        <v>6.3600000000000004E-2</v>
      </c>
      <c r="Y7" s="84">
        <f t="shared" si="1"/>
        <v>0.1</v>
      </c>
    </row>
    <row r="8" spans="2:25">
      <c r="D8" s="2" t="s">
        <v>48</v>
      </c>
      <c r="G8" s="2">
        <f>IF(G7="AI",2200,IF(G7="AII",2800,IF(G7="AIII",3600,"Nhoùm coát theùp")))</f>
        <v>2800</v>
      </c>
      <c r="J8" s="2" t="s">
        <v>52</v>
      </c>
      <c r="L8" s="82">
        <v>1.3</v>
      </c>
      <c r="M8" s="82">
        <v>0.10100000000000001</v>
      </c>
      <c r="N8" s="82">
        <v>5.3999999999999999E-2</v>
      </c>
      <c r="O8" s="82">
        <v>7.0000000000000007E-2</v>
      </c>
      <c r="P8" s="82">
        <v>0.1062</v>
      </c>
      <c r="Q8" s="83">
        <f>+(M9-M8)/(L9-L8)</f>
        <v>-0.91300000000000125</v>
      </c>
      <c r="R8" s="83">
        <f>+(N9-N8)/(L9-L8)</f>
        <v>1.2000000000000012E-2</v>
      </c>
      <c r="S8" s="83">
        <f>+(O9-O8)/(L9-L8)</f>
        <v>6.1000000000000026E-2</v>
      </c>
      <c r="T8" s="83">
        <f>+(P9-P8)/(L9-L8)</f>
        <v>5.3000000000000061E-2</v>
      </c>
      <c r="U8" s="84">
        <v>1.3</v>
      </c>
      <c r="V8" s="84">
        <f t="shared" si="0"/>
        <v>0.10100000000000001</v>
      </c>
      <c r="W8" s="84">
        <f t="shared" si="0"/>
        <v>5.3999999999999999E-2</v>
      </c>
      <c r="X8" s="84">
        <f t="shared" si="1"/>
        <v>7.0000000000000007E-2</v>
      </c>
      <c r="Y8" s="84">
        <f t="shared" si="1"/>
        <v>0.1062</v>
      </c>
    </row>
    <row r="9" spans="2:25">
      <c r="D9" s="2" t="s">
        <v>53</v>
      </c>
      <c r="G9" s="2">
        <v>5</v>
      </c>
      <c r="J9" s="2" t="s">
        <v>54</v>
      </c>
      <c r="L9" s="82">
        <v>1.4</v>
      </c>
      <c r="M9" s="82">
        <v>9.7000000000000003E-3</v>
      </c>
      <c r="N9" s="82">
        <v>5.5199999999999999E-2</v>
      </c>
      <c r="O9" s="82">
        <v>7.6100000000000001E-2</v>
      </c>
      <c r="P9" s="82">
        <v>0.1115</v>
      </c>
      <c r="Q9" s="83">
        <f>+(M10-M9)/(L10-L9)</f>
        <v>-2.0000000000000035E-3</v>
      </c>
      <c r="R9" s="83">
        <f>+(N10-N9)/(L10-L9)</f>
        <v>3.9999999999999723E-3</v>
      </c>
      <c r="S9" s="83">
        <f>+(O10-O9)/(L10-L9)</f>
        <v>0.06</v>
      </c>
      <c r="T9" s="83">
        <f>+(P10-P9)/(L10-L9)</f>
        <v>0.04</v>
      </c>
      <c r="U9" s="84" t="e">
        <f>+#REF!</f>
        <v>#REF!</v>
      </c>
      <c r="V9" s="84" t="e">
        <f t="shared" si="0"/>
        <v>#REF!</v>
      </c>
      <c r="W9" s="84" t="e">
        <f t="shared" si="0"/>
        <v>#REF!</v>
      </c>
      <c r="X9" s="84" t="e">
        <f t="shared" si="1"/>
        <v>#REF!</v>
      </c>
      <c r="Y9" s="84" t="e">
        <f t="shared" si="1"/>
        <v>#REF!</v>
      </c>
    </row>
    <row r="10" spans="2:25">
      <c r="D10" s="2" t="s">
        <v>57</v>
      </c>
      <c r="G10" s="2">
        <v>12</v>
      </c>
      <c r="L10" s="82">
        <v>1.5</v>
      </c>
      <c r="M10" s="82">
        <v>9.4999999999999998E-3</v>
      </c>
      <c r="N10" s="82">
        <v>5.5599999999999997E-2</v>
      </c>
      <c r="O10" s="82">
        <v>8.2100000000000006E-2</v>
      </c>
      <c r="P10" s="82">
        <v>0.11550000000000001</v>
      </c>
      <c r="Q10" s="85"/>
      <c r="R10" s="85"/>
      <c r="S10" s="85"/>
      <c r="T10" s="85"/>
      <c r="U10" s="84">
        <v>1.091</v>
      </c>
      <c r="V10" s="84">
        <f t="shared" si="0"/>
        <v>1.0173E-2</v>
      </c>
      <c r="W10" s="84">
        <f t="shared" si="0"/>
        <v>4.8884999999999998E-2</v>
      </c>
      <c r="X10" s="84">
        <f t="shared" si="1"/>
        <v>5.6823999999999993E-2</v>
      </c>
      <c r="Y10" s="84">
        <f t="shared" si="1"/>
        <v>9.2306999999999986E-2</v>
      </c>
    </row>
    <row r="11" spans="2:25">
      <c r="C11" s="10" t="s">
        <v>55</v>
      </c>
      <c r="G11" s="8" t="s">
        <v>56</v>
      </c>
      <c r="H11" s="8"/>
      <c r="I11" s="8"/>
    </row>
    <row r="12" spans="2:25">
      <c r="D12" s="2" t="s">
        <v>48</v>
      </c>
      <c r="G12" s="2">
        <f>IF(G11="AI",2200,IF(G11="AII",2800,IF(G11="AIII",3600,"Nhoùm coát theùp")))</f>
        <v>3600</v>
      </c>
      <c r="J12" s="2" t="s">
        <v>52</v>
      </c>
    </row>
    <row r="13" spans="2:25">
      <c r="D13" s="2" t="s">
        <v>53</v>
      </c>
      <c r="G13" s="2">
        <v>5</v>
      </c>
      <c r="J13" s="2" t="s">
        <v>54</v>
      </c>
    </row>
    <row r="15" spans="2:25">
      <c r="C15" s="86" t="s">
        <v>36</v>
      </c>
      <c r="D15" s="87"/>
      <c r="E15" s="87"/>
      <c r="F15" s="87"/>
      <c r="G15" s="87"/>
      <c r="H15" s="87"/>
      <c r="I15" s="87"/>
    </row>
    <row r="16" spans="2:25">
      <c r="D16" s="2" t="s">
        <v>38</v>
      </c>
      <c r="G16" s="2" t="s">
        <v>37</v>
      </c>
    </row>
    <row r="17" spans="3:21">
      <c r="C17" s="88" t="s">
        <v>124</v>
      </c>
      <c r="D17" s="89" t="s">
        <v>125</v>
      </c>
      <c r="E17" s="89" t="s">
        <v>126</v>
      </c>
      <c r="F17" s="89" t="s">
        <v>127</v>
      </c>
      <c r="G17" s="89" t="s">
        <v>128</v>
      </c>
      <c r="H17" s="89" t="s">
        <v>129</v>
      </c>
      <c r="I17" s="89" t="s">
        <v>130</v>
      </c>
      <c r="J17" s="89" t="s">
        <v>131</v>
      </c>
    </row>
    <row r="18" spans="3:21">
      <c r="C18" s="90" t="s">
        <v>27</v>
      </c>
      <c r="D18" s="91">
        <v>1</v>
      </c>
      <c r="E18" s="91">
        <v>1.1000000000000001</v>
      </c>
      <c r="F18" s="91">
        <f>+G18/2+E18/2</f>
        <v>1.1499999999999999</v>
      </c>
      <c r="G18" s="91">
        <v>1.2</v>
      </c>
      <c r="H18" s="91">
        <f>+G18/2+I18/2</f>
        <v>1.25</v>
      </c>
      <c r="I18" s="91">
        <f>+G18/2+J18/2</f>
        <v>1.2999999999999998</v>
      </c>
      <c r="J18" s="92">
        <v>1.4</v>
      </c>
    </row>
    <row r="19" spans="3:21" ht="16.5" customHeight="1">
      <c r="C19" s="93">
        <v>0</v>
      </c>
      <c r="D19" s="94">
        <v>1</v>
      </c>
      <c r="E19" s="94">
        <f>+(D19+G19)/2</f>
        <v>1</v>
      </c>
      <c r="F19" s="94">
        <f>+E19/2+G19/2</f>
        <v>1</v>
      </c>
      <c r="G19" s="94">
        <v>1</v>
      </c>
      <c r="H19" s="94">
        <f>+G19/2+I19/2</f>
        <v>1</v>
      </c>
      <c r="I19" s="94">
        <f>+G19/2+J19/2</f>
        <v>1</v>
      </c>
      <c r="J19" s="95">
        <v>1</v>
      </c>
      <c r="L19" s="96"/>
      <c r="M19" s="96"/>
      <c r="N19" s="97"/>
      <c r="O19" s="97"/>
      <c r="P19" s="97"/>
      <c r="S19" s="97"/>
      <c r="T19" s="97"/>
    </row>
    <row r="20" spans="3:21" ht="15.5">
      <c r="C20" s="93">
        <f>+C19/2+C21/2</f>
        <v>0.05</v>
      </c>
      <c r="D20" s="94">
        <f t="shared" ref="D20:J20" si="2">+D19/2+D21/2</f>
        <v>0.995</v>
      </c>
      <c r="E20" s="94">
        <f t="shared" ref="E20:E81" si="3">+(D20+G20)/2</f>
        <v>0.99550000000000005</v>
      </c>
      <c r="F20" s="94">
        <f t="shared" ref="F20:F81" si="4">+E20/2+G20/2</f>
        <v>0.99575000000000002</v>
      </c>
      <c r="G20" s="94">
        <f t="shared" si="2"/>
        <v>0.996</v>
      </c>
      <c r="H20" s="94">
        <f t="shared" ref="H20:H81" si="5">+G20/2+I20/2</f>
        <v>0.99612499999999993</v>
      </c>
      <c r="I20" s="94">
        <f t="shared" ref="I20:I81" si="6">+G20/2+J20/2</f>
        <v>0.99624999999999997</v>
      </c>
      <c r="J20" s="95">
        <f t="shared" si="2"/>
        <v>0.99649999999999994</v>
      </c>
      <c r="L20" s="96"/>
      <c r="M20" s="96"/>
      <c r="N20" s="98"/>
      <c r="O20" s="98"/>
      <c r="P20" s="4"/>
      <c r="T20" s="4"/>
      <c r="U20" s="4"/>
    </row>
    <row r="21" spans="3:21" ht="15.5">
      <c r="C21" s="93">
        <v>0.1</v>
      </c>
      <c r="D21" s="94">
        <f>+(D19+D23)/2</f>
        <v>0.99</v>
      </c>
      <c r="E21" s="94">
        <f t="shared" si="3"/>
        <v>0.99099999999999999</v>
      </c>
      <c r="F21" s="94">
        <f t="shared" si="4"/>
        <v>0.99150000000000005</v>
      </c>
      <c r="G21" s="94">
        <f>+(G19+G23)/2</f>
        <v>0.99199999999999999</v>
      </c>
      <c r="H21" s="94">
        <f t="shared" si="5"/>
        <v>0.99224999999999997</v>
      </c>
      <c r="I21" s="94">
        <f t="shared" si="6"/>
        <v>0.99249999999999994</v>
      </c>
      <c r="J21" s="95">
        <f>+(J19+J23)/2</f>
        <v>0.99299999999999999</v>
      </c>
      <c r="L21" s="98"/>
      <c r="M21" s="98"/>
      <c r="N21" s="99"/>
      <c r="O21" s="99"/>
      <c r="T21" s="98"/>
      <c r="U21" s="10"/>
    </row>
    <row r="22" spans="3:21" ht="15.5">
      <c r="C22" s="93">
        <v>0.15</v>
      </c>
      <c r="D22" s="94">
        <f t="shared" ref="D22:J22" si="7">+D21/2+D23/2</f>
        <v>0.98499999999999999</v>
      </c>
      <c r="E22" s="94">
        <f t="shared" si="3"/>
        <v>0.98649999999999993</v>
      </c>
      <c r="F22" s="94">
        <f t="shared" si="4"/>
        <v>0.98724999999999996</v>
      </c>
      <c r="G22" s="94">
        <f t="shared" si="7"/>
        <v>0.98799999999999999</v>
      </c>
      <c r="H22" s="94">
        <f t="shared" si="5"/>
        <v>0.988375</v>
      </c>
      <c r="I22" s="94">
        <f t="shared" si="6"/>
        <v>0.98875000000000002</v>
      </c>
      <c r="J22" s="95">
        <f t="shared" si="7"/>
        <v>0.98950000000000005</v>
      </c>
      <c r="L22" s="98"/>
      <c r="M22" s="98"/>
      <c r="N22" s="99"/>
      <c r="O22" s="99"/>
      <c r="T22" s="98"/>
      <c r="U22" s="10"/>
    </row>
    <row r="23" spans="3:21" ht="15.5">
      <c r="C23" s="93">
        <v>0.2</v>
      </c>
      <c r="D23" s="94">
        <f>+D27/2+D19/2</f>
        <v>0.98</v>
      </c>
      <c r="E23" s="94">
        <f t="shared" si="3"/>
        <v>0.98199999999999998</v>
      </c>
      <c r="F23" s="94">
        <f t="shared" si="4"/>
        <v>0.98299999999999998</v>
      </c>
      <c r="G23" s="94">
        <f>+G27/2+G19/2</f>
        <v>0.98399999999999999</v>
      </c>
      <c r="H23" s="94">
        <f t="shared" si="5"/>
        <v>0.98449999999999993</v>
      </c>
      <c r="I23" s="94">
        <f t="shared" si="6"/>
        <v>0.98499999999999999</v>
      </c>
      <c r="J23" s="95">
        <f>+J27/2+J19/2</f>
        <v>0.98599999999999999</v>
      </c>
      <c r="L23" s="98"/>
      <c r="M23" s="98"/>
      <c r="N23" s="99"/>
      <c r="O23" s="99"/>
      <c r="T23" s="98"/>
      <c r="U23" s="10"/>
    </row>
    <row r="24" spans="3:21" ht="15.5">
      <c r="C24" s="93">
        <f>+C23/2+C25/2</f>
        <v>0.25</v>
      </c>
      <c r="D24" s="94">
        <f>+D23/2+D25/2</f>
        <v>0.97499999999999998</v>
      </c>
      <c r="E24" s="94">
        <f t="shared" si="3"/>
        <v>0.97750000000000004</v>
      </c>
      <c r="F24" s="94">
        <f t="shared" si="4"/>
        <v>0.97875000000000001</v>
      </c>
      <c r="G24" s="94">
        <f>+G23/2+G25/2</f>
        <v>0.98</v>
      </c>
      <c r="H24" s="94">
        <f t="shared" si="5"/>
        <v>0.98062499999999997</v>
      </c>
      <c r="I24" s="94">
        <f t="shared" si="6"/>
        <v>0.98124999999999996</v>
      </c>
      <c r="J24" s="95">
        <f>+J23/2+J25/2</f>
        <v>0.98249999999999993</v>
      </c>
      <c r="L24" s="98"/>
      <c r="M24" s="98"/>
      <c r="N24" s="99"/>
      <c r="O24" s="99"/>
      <c r="T24" s="98"/>
      <c r="U24" s="10"/>
    </row>
    <row r="25" spans="3:21" ht="15.5">
      <c r="C25" s="93">
        <v>0.3</v>
      </c>
      <c r="D25" s="94">
        <f>+(D23+D27)/2</f>
        <v>0.97</v>
      </c>
      <c r="E25" s="94">
        <f t="shared" si="3"/>
        <v>0.97299999999999998</v>
      </c>
      <c r="F25" s="94">
        <f t="shared" si="4"/>
        <v>0.97449999999999992</v>
      </c>
      <c r="G25" s="94">
        <f>+(G23+G27)/2</f>
        <v>0.97599999999999998</v>
      </c>
      <c r="H25" s="94">
        <f t="shared" si="5"/>
        <v>0.97675000000000001</v>
      </c>
      <c r="I25" s="94">
        <f t="shared" si="6"/>
        <v>0.97750000000000004</v>
      </c>
      <c r="J25" s="95">
        <f>+(J23+J27)/2</f>
        <v>0.97899999999999998</v>
      </c>
      <c r="L25" s="98"/>
      <c r="M25" s="98"/>
      <c r="N25" s="99"/>
      <c r="O25" s="99"/>
      <c r="T25" s="98"/>
      <c r="U25" s="10"/>
    </row>
    <row r="26" spans="3:21" ht="15.5">
      <c r="C26" s="93">
        <f>+C25/2+C27/2</f>
        <v>0.35</v>
      </c>
      <c r="D26" s="94">
        <f>+D25/2+D27/2</f>
        <v>0.96499999999999997</v>
      </c>
      <c r="E26" s="94">
        <f t="shared" si="3"/>
        <v>0.96849999999999992</v>
      </c>
      <c r="F26" s="94">
        <f t="shared" si="4"/>
        <v>0.97024999999999995</v>
      </c>
      <c r="G26" s="94">
        <f>+G25/2+G27/2</f>
        <v>0.97199999999999998</v>
      </c>
      <c r="H26" s="94">
        <f t="shared" si="5"/>
        <v>0.97287499999999993</v>
      </c>
      <c r="I26" s="94">
        <f t="shared" si="6"/>
        <v>0.97375</v>
      </c>
      <c r="J26" s="95">
        <f>+J25/2+J27/2</f>
        <v>0.97550000000000003</v>
      </c>
      <c r="L26" s="98"/>
      <c r="M26" s="98"/>
      <c r="N26" s="99"/>
      <c r="O26" s="99"/>
      <c r="T26" s="98"/>
      <c r="U26" s="10"/>
    </row>
    <row r="27" spans="3:21">
      <c r="C27" s="93">
        <v>0.4</v>
      </c>
      <c r="D27" s="94">
        <v>0.96</v>
      </c>
      <c r="E27" s="94">
        <f t="shared" si="3"/>
        <v>0.96399999999999997</v>
      </c>
      <c r="F27" s="94">
        <f t="shared" si="4"/>
        <v>0.96599999999999997</v>
      </c>
      <c r="G27" s="94">
        <v>0.96799999999999997</v>
      </c>
      <c r="H27" s="94">
        <f t="shared" si="5"/>
        <v>0.96899999999999997</v>
      </c>
      <c r="I27" s="94">
        <f t="shared" si="6"/>
        <v>0.97</v>
      </c>
      <c r="J27" s="95">
        <v>0.97199999999999998</v>
      </c>
      <c r="R27" s="100"/>
      <c r="T27" s="10"/>
      <c r="U27" s="10"/>
    </row>
    <row r="28" spans="3:21">
      <c r="C28" s="93">
        <f>+C27/2+C29/2</f>
        <v>0.45</v>
      </c>
      <c r="D28" s="94">
        <f>+D27/2+D29/2</f>
        <v>0.94</v>
      </c>
      <c r="E28" s="94">
        <f t="shared" si="3"/>
        <v>0.94537499999999997</v>
      </c>
      <c r="F28" s="94">
        <f t="shared" si="4"/>
        <v>0.94806250000000003</v>
      </c>
      <c r="G28" s="94">
        <f>+G27/2+G29/2</f>
        <v>0.95074999999999998</v>
      </c>
      <c r="H28" s="94">
        <f t="shared" si="5"/>
        <v>0.95218749999999996</v>
      </c>
      <c r="I28" s="94">
        <f t="shared" si="6"/>
        <v>0.95362499999999994</v>
      </c>
      <c r="J28" s="95">
        <f>+J27/2+J29/2</f>
        <v>0.95649999999999991</v>
      </c>
      <c r="T28" s="10"/>
      <c r="U28" s="10"/>
    </row>
    <row r="29" spans="3:21">
      <c r="C29" s="93">
        <v>0.5</v>
      </c>
      <c r="D29" s="94">
        <f>+D27/2+D31/2</f>
        <v>0.91999999999999993</v>
      </c>
      <c r="E29" s="94">
        <f t="shared" si="3"/>
        <v>0.92674999999999996</v>
      </c>
      <c r="F29" s="94">
        <f t="shared" si="4"/>
        <v>0.93012499999999998</v>
      </c>
      <c r="G29" s="94">
        <f>+G27/2+G31/2</f>
        <v>0.9335</v>
      </c>
      <c r="H29" s="94">
        <f t="shared" si="5"/>
        <v>0.93537499999999996</v>
      </c>
      <c r="I29" s="94">
        <f t="shared" si="6"/>
        <v>0.93724999999999992</v>
      </c>
      <c r="J29" s="95">
        <f>+J27/2+J31/2</f>
        <v>0.94099999999999995</v>
      </c>
      <c r="T29" s="10"/>
      <c r="U29" s="10"/>
    </row>
    <row r="30" spans="3:21">
      <c r="C30" s="93">
        <f>+C29/2+C31/2</f>
        <v>0.55000000000000004</v>
      </c>
      <c r="D30" s="94">
        <f>+D29/2+D31/2</f>
        <v>0.89999999999999991</v>
      </c>
      <c r="E30" s="94">
        <f t="shared" si="3"/>
        <v>0.90812499999999996</v>
      </c>
      <c r="F30" s="94">
        <f t="shared" si="4"/>
        <v>0.91218749999999993</v>
      </c>
      <c r="G30" s="94">
        <f>+G29/2+G31/2</f>
        <v>0.91625000000000001</v>
      </c>
      <c r="H30" s="94">
        <f t="shared" si="5"/>
        <v>0.91856249999999995</v>
      </c>
      <c r="I30" s="94">
        <f t="shared" si="6"/>
        <v>0.920875</v>
      </c>
      <c r="J30" s="95">
        <f>+J29/2+J31/2</f>
        <v>0.92549999999999999</v>
      </c>
    </row>
    <row r="31" spans="3:21">
      <c r="C31" s="93">
        <v>0.6</v>
      </c>
      <c r="D31" s="94">
        <f>+D27/2+D35/2</f>
        <v>0.88</v>
      </c>
      <c r="E31" s="94">
        <f t="shared" si="3"/>
        <v>0.88949999999999996</v>
      </c>
      <c r="F31" s="94">
        <f t="shared" si="4"/>
        <v>0.89424999999999999</v>
      </c>
      <c r="G31" s="94">
        <f>+G27/2+G35/2</f>
        <v>0.89900000000000002</v>
      </c>
      <c r="H31" s="94">
        <f t="shared" si="5"/>
        <v>0.90175000000000005</v>
      </c>
      <c r="I31" s="94">
        <f t="shared" si="6"/>
        <v>0.90449999999999997</v>
      </c>
      <c r="J31" s="94">
        <f>+J27/2+J35/2</f>
        <v>0.90999999999999992</v>
      </c>
    </row>
    <row r="32" spans="3:21">
      <c r="C32" s="93">
        <v>0.65</v>
      </c>
      <c r="D32" s="94">
        <f>+D31/2+D33/2</f>
        <v>0.8600000000000001</v>
      </c>
      <c r="E32" s="94">
        <f t="shared" si="3"/>
        <v>0.87087500000000007</v>
      </c>
      <c r="F32" s="94">
        <f t="shared" si="4"/>
        <v>0.87631250000000005</v>
      </c>
      <c r="G32" s="94">
        <f>+G31/2+G33/2</f>
        <v>0.88175000000000003</v>
      </c>
      <c r="H32" s="94">
        <f t="shared" si="5"/>
        <v>0.88493750000000004</v>
      </c>
      <c r="I32" s="94">
        <f t="shared" si="6"/>
        <v>0.88812500000000005</v>
      </c>
      <c r="J32" s="94">
        <f>+J31/2+J33/2</f>
        <v>0.89449999999999996</v>
      </c>
    </row>
    <row r="33" spans="3:10">
      <c r="C33" s="93">
        <v>0.7</v>
      </c>
      <c r="D33" s="94">
        <f>+D31/2+D35/2</f>
        <v>0.84000000000000008</v>
      </c>
      <c r="E33" s="94">
        <f t="shared" si="3"/>
        <v>0.85225000000000006</v>
      </c>
      <c r="F33" s="94">
        <f t="shared" si="4"/>
        <v>0.85837500000000011</v>
      </c>
      <c r="G33" s="94">
        <f>+G31/2+G35/2</f>
        <v>0.86450000000000005</v>
      </c>
      <c r="H33" s="94">
        <f t="shared" si="5"/>
        <v>0.86812500000000004</v>
      </c>
      <c r="I33" s="94">
        <f t="shared" si="6"/>
        <v>0.87175000000000002</v>
      </c>
      <c r="J33" s="94">
        <f>+J31/2+J35/2</f>
        <v>0.879</v>
      </c>
    </row>
    <row r="34" spans="3:10">
      <c r="C34" s="93">
        <f>+C33/2+C35/2</f>
        <v>0.75</v>
      </c>
      <c r="D34" s="94">
        <f>+D33/2+D35/2</f>
        <v>0.82000000000000006</v>
      </c>
      <c r="E34" s="94">
        <f t="shared" si="3"/>
        <v>0.83362500000000006</v>
      </c>
      <c r="F34" s="94">
        <f t="shared" si="4"/>
        <v>0.84043750000000006</v>
      </c>
      <c r="G34" s="94">
        <f>+G33/2+G35/2</f>
        <v>0.84725000000000006</v>
      </c>
      <c r="H34" s="94">
        <f t="shared" si="5"/>
        <v>0.85131250000000003</v>
      </c>
      <c r="I34" s="94">
        <f t="shared" si="6"/>
        <v>0.855375</v>
      </c>
      <c r="J34" s="94">
        <f>+J33/2+J35/2</f>
        <v>0.86349999999999993</v>
      </c>
    </row>
    <row r="35" spans="3:10">
      <c r="C35" s="93">
        <v>0.8</v>
      </c>
      <c r="D35" s="94">
        <v>0.8</v>
      </c>
      <c r="E35" s="94">
        <f t="shared" si="3"/>
        <v>0.81499999999999995</v>
      </c>
      <c r="F35" s="94">
        <f t="shared" si="4"/>
        <v>0.82250000000000001</v>
      </c>
      <c r="G35" s="94">
        <v>0.83</v>
      </c>
      <c r="H35" s="94">
        <f t="shared" si="5"/>
        <v>0.83450000000000002</v>
      </c>
      <c r="I35" s="94">
        <f t="shared" si="6"/>
        <v>0.83899999999999997</v>
      </c>
      <c r="J35" s="94">
        <v>0.84799999999999998</v>
      </c>
    </row>
    <row r="36" spans="3:10">
      <c r="C36" s="93">
        <v>0.85</v>
      </c>
      <c r="D36" s="94">
        <f>+D35/2+D37/2</f>
        <v>0.77575000000000005</v>
      </c>
      <c r="E36" s="94">
        <f t="shared" si="3"/>
        <v>0.79174999999999995</v>
      </c>
      <c r="F36" s="94">
        <f t="shared" si="4"/>
        <v>0.79974999999999996</v>
      </c>
      <c r="G36" s="94">
        <f>+G35/2+G37/2</f>
        <v>0.80774999999999997</v>
      </c>
      <c r="H36" s="94">
        <f t="shared" si="5"/>
        <v>0.81262499999999993</v>
      </c>
      <c r="I36" s="94">
        <f t="shared" si="6"/>
        <v>0.8175</v>
      </c>
      <c r="J36" s="94">
        <f>+J35/2+J37/2</f>
        <v>0.82725000000000004</v>
      </c>
    </row>
    <row r="37" spans="3:10">
      <c r="C37" s="93">
        <v>0.9</v>
      </c>
      <c r="D37" s="94">
        <f>+D35/2+D39/2</f>
        <v>0.75150000000000006</v>
      </c>
      <c r="E37" s="94">
        <f t="shared" si="3"/>
        <v>0.76849999999999996</v>
      </c>
      <c r="F37" s="94">
        <f t="shared" si="4"/>
        <v>0.77699999999999991</v>
      </c>
      <c r="G37" s="94">
        <f>+G35/2+G39/2</f>
        <v>0.78549999999999998</v>
      </c>
      <c r="H37" s="94">
        <f t="shared" si="5"/>
        <v>0.79075000000000006</v>
      </c>
      <c r="I37" s="94">
        <f t="shared" si="6"/>
        <v>0.79600000000000004</v>
      </c>
      <c r="J37" s="94">
        <f>+J35/2+J39/2</f>
        <v>0.80649999999999999</v>
      </c>
    </row>
    <row r="38" spans="3:10">
      <c r="C38" s="93">
        <f>+C37/2+C39/2</f>
        <v>0.95</v>
      </c>
      <c r="D38" s="94">
        <f>+D37/2+D39/2</f>
        <v>0.72725000000000006</v>
      </c>
      <c r="E38" s="94">
        <f t="shared" si="3"/>
        <v>0.74524999999999997</v>
      </c>
      <c r="F38" s="94">
        <f t="shared" si="4"/>
        <v>0.75424999999999998</v>
      </c>
      <c r="G38" s="94">
        <f>+G37/2+G39/2</f>
        <v>0.76324999999999998</v>
      </c>
      <c r="H38" s="94">
        <f t="shared" si="5"/>
        <v>0.76887499999999998</v>
      </c>
      <c r="I38" s="94">
        <f t="shared" si="6"/>
        <v>0.77449999999999997</v>
      </c>
      <c r="J38" s="94">
        <f>+J37/2+J39/2</f>
        <v>0.78574999999999995</v>
      </c>
    </row>
    <row r="39" spans="3:10">
      <c r="C39" s="93">
        <v>1</v>
      </c>
      <c r="D39" s="94">
        <f>+D43/2+D35/2</f>
        <v>0.70300000000000007</v>
      </c>
      <c r="E39" s="94">
        <f t="shared" si="3"/>
        <v>0.72199999999999998</v>
      </c>
      <c r="F39" s="94">
        <f t="shared" si="4"/>
        <v>0.73150000000000004</v>
      </c>
      <c r="G39" s="94">
        <f>+G43/2+G35/2</f>
        <v>0.74099999999999999</v>
      </c>
      <c r="H39" s="94">
        <f t="shared" si="5"/>
        <v>0.747</v>
      </c>
      <c r="I39" s="94">
        <f t="shared" si="6"/>
        <v>0.753</v>
      </c>
      <c r="J39" s="94">
        <f>+J43/2+J35/2</f>
        <v>0.76500000000000001</v>
      </c>
    </row>
    <row r="40" spans="3:10">
      <c r="C40" s="93">
        <f>+C39/2+C41/2</f>
        <v>1.05</v>
      </c>
      <c r="D40" s="94">
        <f>+D39/2+D41/2</f>
        <v>0.67875000000000008</v>
      </c>
      <c r="E40" s="94">
        <f t="shared" si="3"/>
        <v>0.69874999999999998</v>
      </c>
      <c r="F40" s="94">
        <f t="shared" si="4"/>
        <v>0.70874999999999999</v>
      </c>
      <c r="G40" s="94">
        <f>+G39/2+G41/2</f>
        <v>0.71875</v>
      </c>
      <c r="H40" s="94">
        <f t="shared" si="5"/>
        <v>0.72512500000000002</v>
      </c>
      <c r="I40" s="94">
        <f t="shared" si="6"/>
        <v>0.73150000000000004</v>
      </c>
      <c r="J40" s="94">
        <f>+J39/2+J41/2</f>
        <v>0.74425000000000008</v>
      </c>
    </row>
    <row r="41" spans="3:10">
      <c r="C41" s="93">
        <v>1.1000000000000001</v>
      </c>
      <c r="D41" s="94">
        <f>+D39/2+D43/2</f>
        <v>0.65450000000000008</v>
      </c>
      <c r="E41" s="94">
        <f t="shared" si="3"/>
        <v>0.67549999999999999</v>
      </c>
      <c r="F41" s="94">
        <f t="shared" si="4"/>
        <v>0.68599999999999994</v>
      </c>
      <c r="G41" s="94">
        <f>+G39/2+G43/2</f>
        <v>0.69650000000000001</v>
      </c>
      <c r="H41" s="94">
        <f t="shared" si="5"/>
        <v>0.70324999999999993</v>
      </c>
      <c r="I41" s="94">
        <f t="shared" si="6"/>
        <v>0.71</v>
      </c>
      <c r="J41" s="94">
        <f>+J39/2+J43/2</f>
        <v>0.72350000000000003</v>
      </c>
    </row>
    <row r="42" spans="3:10">
      <c r="C42" s="93">
        <f>+C41/2+C43/2</f>
        <v>1.1499999999999999</v>
      </c>
      <c r="D42" s="94">
        <f>+D41/2+D43/2</f>
        <v>0.63024999999999998</v>
      </c>
      <c r="E42" s="94">
        <f t="shared" si="3"/>
        <v>0.65225</v>
      </c>
      <c r="F42" s="94">
        <f t="shared" si="4"/>
        <v>0.66325000000000001</v>
      </c>
      <c r="G42" s="94">
        <f>+G41/2+G43/2</f>
        <v>0.67425000000000002</v>
      </c>
      <c r="H42" s="94">
        <f t="shared" si="5"/>
        <v>0.68137500000000006</v>
      </c>
      <c r="I42" s="94">
        <f t="shared" si="6"/>
        <v>0.6885</v>
      </c>
      <c r="J42" s="94">
        <f>+J41/2+J43/2</f>
        <v>0.70274999999999999</v>
      </c>
    </row>
    <row r="43" spans="3:10">
      <c r="C43" s="93">
        <v>1.2</v>
      </c>
      <c r="D43" s="94">
        <v>0.60599999999999998</v>
      </c>
      <c r="E43" s="94">
        <f t="shared" si="3"/>
        <v>0.629</v>
      </c>
      <c r="F43" s="94">
        <f t="shared" si="4"/>
        <v>0.64050000000000007</v>
      </c>
      <c r="G43" s="94">
        <v>0.65200000000000002</v>
      </c>
      <c r="H43" s="94">
        <f t="shared" si="5"/>
        <v>0.65949999999999998</v>
      </c>
      <c r="I43" s="94">
        <f t="shared" si="6"/>
        <v>0.66700000000000004</v>
      </c>
      <c r="J43" s="94">
        <v>0.68200000000000005</v>
      </c>
    </row>
    <row r="44" spans="3:10">
      <c r="C44" s="93">
        <f>+C43/2+C45/2</f>
        <v>1.25</v>
      </c>
      <c r="D44" s="94">
        <f>+D43/2+D45/2</f>
        <v>0.58637499999999998</v>
      </c>
      <c r="E44" s="94">
        <f t="shared" si="3"/>
        <v>0.60943750000000008</v>
      </c>
      <c r="F44" s="94">
        <f t="shared" si="4"/>
        <v>0.62096875000000007</v>
      </c>
      <c r="G44" s="94">
        <f>+G43/2+G45/2</f>
        <v>0.63250000000000006</v>
      </c>
      <c r="H44" s="94">
        <f t="shared" si="5"/>
        <v>0.64018750000000013</v>
      </c>
      <c r="I44" s="94">
        <f t="shared" si="6"/>
        <v>0.64787500000000009</v>
      </c>
      <c r="J44" s="94">
        <f>+J43/2+J45/2</f>
        <v>0.66325000000000012</v>
      </c>
    </row>
    <row r="45" spans="3:10">
      <c r="C45" s="93">
        <v>1.3</v>
      </c>
      <c r="D45" s="94">
        <f>+D43/2+D47/2</f>
        <v>0.56674999999999998</v>
      </c>
      <c r="E45" s="94">
        <f t="shared" si="3"/>
        <v>0.58987499999999993</v>
      </c>
      <c r="F45" s="94">
        <f t="shared" si="4"/>
        <v>0.60143749999999996</v>
      </c>
      <c r="G45" s="94">
        <f>+G43/2+G47/2</f>
        <v>0.61299999999999999</v>
      </c>
      <c r="H45" s="94">
        <f t="shared" si="5"/>
        <v>0.62087500000000007</v>
      </c>
      <c r="I45" s="94">
        <f t="shared" si="6"/>
        <v>0.62875000000000003</v>
      </c>
      <c r="J45" s="94">
        <f>+J43/2+J47/2</f>
        <v>0.64450000000000007</v>
      </c>
    </row>
    <row r="46" spans="3:10">
      <c r="C46" s="93">
        <v>1.35</v>
      </c>
      <c r="D46" s="94">
        <f>+D45/2+D47/2</f>
        <v>0.54712499999999997</v>
      </c>
      <c r="E46" s="94">
        <f t="shared" ref="E46:J46" si="8">+E45/2+E47/2</f>
        <v>0.5703125</v>
      </c>
      <c r="F46" s="94">
        <f t="shared" si="8"/>
        <v>0.58190625000000007</v>
      </c>
      <c r="G46" s="94">
        <f t="shared" si="8"/>
        <v>0.59350000000000003</v>
      </c>
      <c r="H46" s="94">
        <f t="shared" si="8"/>
        <v>0.6015625</v>
      </c>
      <c r="I46" s="94">
        <f t="shared" si="8"/>
        <v>0.60962500000000008</v>
      </c>
      <c r="J46" s="94">
        <f t="shared" si="8"/>
        <v>0.62575000000000003</v>
      </c>
    </row>
    <row r="47" spans="3:10">
      <c r="C47" s="93">
        <v>1.4</v>
      </c>
      <c r="D47" s="94">
        <f>+D43/2+D51/2</f>
        <v>0.52749999999999997</v>
      </c>
      <c r="E47" s="94">
        <f t="shared" si="3"/>
        <v>0.55075000000000007</v>
      </c>
      <c r="F47" s="94">
        <f t="shared" si="4"/>
        <v>0.56237500000000007</v>
      </c>
      <c r="G47" s="94">
        <f>+G43/2+G51/2</f>
        <v>0.57400000000000007</v>
      </c>
      <c r="H47" s="94">
        <f t="shared" si="5"/>
        <v>0.58225000000000005</v>
      </c>
      <c r="I47" s="94">
        <f t="shared" si="6"/>
        <v>0.59050000000000002</v>
      </c>
      <c r="J47" s="94">
        <f>+J43/2+J51/2</f>
        <v>0.60699999999999998</v>
      </c>
    </row>
    <row r="48" spans="3:10">
      <c r="C48" s="93">
        <f>+C47/2+C49/2</f>
        <v>1.45</v>
      </c>
      <c r="D48" s="94">
        <f>+D47/2+D49/2</f>
        <v>0.50787499999999997</v>
      </c>
      <c r="E48" s="94">
        <f t="shared" si="3"/>
        <v>0.53118749999999992</v>
      </c>
      <c r="F48" s="94">
        <f t="shared" si="4"/>
        <v>0.54284374999999996</v>
      </c>
      <c r="G48" s="94">
        <f>+G47/2+G49/2</f>
        <v>0.55449999999999999</v>
      </c>
      <c r="H48" s="94">
        <f t="shared" si="5"/>
        <v>0.56293749999999998</v>
      </c>
      <c r="I48" s="94">
        <f t="shared" si="6"/>
        <v>0.57137499999999997</v>
      </c>
      <c r="J48" s="94">
        <f>+J47/2+J49/2</f>
        <v>0.58824999999999994</v>
      </c>
    </row>
    <row r="49" spans="3:10">
      <c r="C49" s="93">
        <v>1.5</v>
      </c>
      <c r="D49" s="94">
        <f>+D47/2+D51/2</f>
        <v>0.48824999999999996</v>
      </c>
      <c r="E49" s="94">
        <f t="shared" si="3"/>
        <v>0.511625</v>
      </c>
      <c r="F49" s="94">
        <f t="shared" si="4"/>
        <v>0.52331250000000007</v>
      </c>
      <c r="G49" s="94">
        <f>+G47/2+G51/2</f>
        <v>0.53500000000000003</v>
      </c>
      <c r="H49" s="94">
        <f t="shared" si="5"/>
        <v>0.54362500000000002</v>
      </c>
      <c r="I49" s="94">
        <f t="shared" si="6"/>
        <v>0.55225000000000002</v>
      </c>
      <c r="J49" s="94">
        <f>+J47/2+J51/2</f>
        <v>0.56950000000000001</v>
      </c>
    </row>
    <row r="50" spans="3:10">
      <c r="C50" s="93">
        <f>+C49/2+C51/2</f>
        <v>1.55</v>
      </c>
      <c r="D50" s="94">
        <f>+D49/2+D51/2</f>
        <v>0.46862499999999996</v>
      </c>
      <c r="E50" s="94">
        <f t="shared" si="3"/>
        <v>0.49206250000000001</v>
      </c>
      <c r="F50" s="94">
        <f t="shared" si="4"/>
        <v>0.50378125000000007</v>
      </c>
      <c r="G50" s="94">
        <f>+G49/2+G51/2</f>
        <v>0.51550000000000007</v>
      </c>
      <c r="H50" s="94">
        <f t="shared" si="5"/>
        <v>0.52431250000000007</v>
      </c>
      <c r="I50" s="94">
        <f t="shared" si="6"/>
        <v>0.53312500000000007</v>
      </c>
      <c r="J50" s="94">
        <f>+J49/2+J51/2</f>
        <v>0.55075000000000007</v>
      </c>
    </row>
    <row r="51" spans="3:10">
      <c r="C51" s="93">
        <v>1.6</v>
      </c>
      <c r="D51" s="94">
        <v>0.44900000000000001</v>
      </c>
      <c r="E51" s="94">
        <f t="shared" si="3"/>
        <v>0.47250000000000003</v>
      </c>
      <c r="F51" s="94">
        <f t="shared" si="4"/>
        <v>0.48425000000000001</v>
      </c>
      <c r="G51" s="94">
        <v>0.496</v>
      </c>
      <c r="H51" s="94">
        <f t="shared" si="5"/>
        <v>0.505</v>
      </c>
      <c r="I51" s="94">
        <f t="shared" si="6"/>
        <v>0.51400000000000001</v>
      </c>
      <c r="J51" s="94">
        <v>0.53200000000000003</v>
      </c>
    </row>
    <row r="52" spans="3:10">
      <c r="C52" s="93">
        <f>+C51/2+C53/2</f>
        <v>1.65</v>
      </c>
      <c r="D52" s="94">
        <f>+D51/2+D53/2</f>
        <v>0.43487500000000001</v>
      </c>
      <c r="E52" s="94">
        <f t="shared" si="3"/>
        <v>0.458125</v>
      </c>
      <c r="F52" s="94">
        <f t="shared" si="4"/>
        <v>0.46975</v>
      </c>
      <c r="G52" s="94">
        <f>+G51/2+G53/2</f>
        <v>0.481375</v>
      </c>
      <c r="H52" s="94">
        <f t="shared" si="5"/>
        <v>0.49034374999999997</v>
      </c>
      <c r="I52" s="94">
        <f t="shared" si="6"/>
        <v>0.49931249999999999</v>
      </c>
      <c r="J52" s="94">
        <f>+J51/2+J53/2</f>
        <v>0.51724999999999999</v>
      </c>
    </row>
    <row r="53" spans="3:10">
      <c r="C53" s="93">
        <v>1.7</v>
      </c>
      <c r="D53" s="94">
        <f>+D51/2+D55/2</f>
        <v>0.42075000000000001</v>
      </c>
      <c r="E53" s="94">
        <f t="shared" si="3"/>
        <v>0.44374999999999998</v>
      </c>
      <c r="F53" s="94">
        <f t="shared" si="4"/>
        <v>0.45524999999999999</v>
      </c>
      <c r="G53" s="94">
        <f>+G51/2+G55/2</f>
        <v>0.46675</v>
      </c>
      <c r="H53" s="94">
        <f t="shared" si="5"/>
        <v>0.47568749999999999</v>
      </c>
      <c r="I53" s="94">
        <f t="shared" si="6"/>
        <v>0.48462499999999997</v>
      </c>
      <c r="J53" s="94">
        <f>+J51/2+J55/2</f>
        <v>0.50249999999999995</v>
      </c>
    </row>
    <row r="54" spans="3:10">
      <c r="C54" s="93">
        <f>+C53/2+C55/2</f>
        <v>1.75</v>
      </c>
      <c r="D54" s="94">
        <f>+D53/2+D55/2</f>
        <v>0.40662500000000001</v>
      </c>
      <c r="E54" s="94">
        <f t="shared" si="3"/>
        <v>0.42937500000000001</v>
      </c>
      <c r="F54" s="94">
        <f t="shared" si="4"/>
        <v>0.44074999999999998</v>
      </c>
      <c r="G54" s="94">
        <f>+G53/2+G55/2</f>
        <v>0.452125</v>
      </c>
      <c r="H54" s="94">
        <f t="shared" si="5"/>
        <v>0.46103125</v>
      </c>
      <c r="I54" s="94">
        <f t="shared" si="6"/>
        <v>0.46993750000000001</v>
      </c>
      <c r="J54" s="94">
        <f>+J53/2+J55/2</f>
        <v>0.48774999999999996</v>
      </c>
    </row>
    <row r="55" spans="3:10">
      <c r="C55" s="93">
        <v>1.8</v>
      </c>
      <c r="D55" s="94">
        <f>+D51/2+D59/2</f>
        <v>0.39250000000000002</v>
      </c>
      <c r="E55" s="94">
        <f t="shared" si="3"/>
        <v>0.41500000000000004</v>
      </c>
      <c r="F55" s="94">
        <f t="shared" si="4"/>
        <v>0.42625000000000002</v>
      </c>
      <c r="G55" s="94">
        <f>+G51/2+G59/2</f>
        <v>0.4375</v>
      </c>
      <c r="H55" s="94">
        <f t="shared" si="5"/>
        <v>0.44637499999999997</v>
      </c>
      <c r="I55" s="94">
        <f t="shared" si="6"/>
        <v>0.45524999999999999</v>
      </c>
      <c r="J55" s="94">
        <f>+J51/2+J59/2</f>
        <v>0.47299999999999998</v>
      </c>
    </row>
    <row r="56" spans="3:10">
      <c r="C56" s="93">
        <f>+C55/2+C57/2</f>
        <v>1.85</v>
      </c>
      <c r="D56" s="94">
        <f>+D55/2+D57/2</f>
        <v>0.37837500000000002</v>
      </c>
      <c r="E56" s="94">
        <f t="shared" si="3"/>
        <v>0.40062500000000001</v>
      </c>
      <c r="F56" s="94">
        <f t="shared" si="4"/>
        <v>0.41175</v>
      </c>
      <c r="G56" s="94">
        <f>+G55/2+G57/2</f>
        <v>0.422875</v>
      </c>
      <c r="H56" s="94">
        <f t="shared" si="5"/>
        <v>0.43171874999999998</v>
      </c>
      <c r="I56" s="94">
        <f t="shared" si="6"/>
        <v>0.44056249999999997</v>
      </c>
      <c r="J56" s="94">
        <f>+J55/2+J57/2</f>
        <v>0.45824999999999999</v>
      </c>
    </row>
    <row r="57" spans="3:10">
      <c r="C57" s="93">
        <v>1.9</v>
      </c>
      <c r="D57" s="94">
        <f>+D55/2+D59/2</f>
        <v>0.36425000000000002</v>
      </c>
      <c r="E57" s="94">
        <f t="shared" si="3"/>
        <v>0.38624999999999998</v>
      </c>
      <c r="F57" s="94">
        <f t="shared" si="4"/>
        <v>0.39724999999999999</v>
      </c>
      <c r="G57" s="94">
        <f>+G55/2+G59/2</f>
        <v>0.40825</v>
      </c>
      <c r="H57" s="94">
        <f t="shared" si="5"/>
        <v>0.4170625</v>
      </c>
      <c r="I57" s="94">
        <f t="shared" si="6"/>
        <v>0.425875</v>
      </c>
      <c r="J57" s="94">
        <f>+J55/2+J59/2</f>
        <v>0.44350000000000001</v>
      </c>
    </row>
    <row r="58" spans="3:10">
      <c r="C58" s="93">
        <f>+C57/2+C59/2</f>
        <v>1.95</v>
      </c>
      <c r="D58" s="94">
        <f>+D57/2+D59/2</f>
        <v>0.35012500000000002</v>
      </c>
      <c r="E58" s="94">
        <f t="shared" si="3"/>
        <v>0.37187500000000001</v>
      </c>
      <c r="F58" s="94">
        <f t="shared" si="4"/>
        <v>0.38275000000000003</v>
      </c>
      <c r="G58" s="94">
        <f>+G57/2+G59/2</f>
        <v>0.393625</v>
      </c>
      <c r="H58" s="94">
        <f t="shared" si="5"/>
        <v>0.40240624999999997</v>
      </c>
      <c r="I58" s="94">
        <f t="shared" si="6"/>
        <v>0.41118749999999998</v>
      </c>
      <c r="J58" s="94">
        <f>+J57/2+J59/2</f>
        <v>0.42874999999999996</v>
      </c>
    </row>
    <row r="59" spans="3:10">
      <c r="C59" s="93">
        <v>2</v>
      </c>
      <c r="D59" s="94">
        <v>0.33600000000000002</v>
      </c>
      <c r="E59" s="94">
        <f t="shared" si="3"/>
        <v>0.35750000000000004</v>
      </c>
      <c r="F59" s="94">
        <f t="shared" si="4"/>
        <v>0.36825000000000002</v>
      </c>
      <c r="G59" s="94">
        <v>0.379</v>
      </c>
      <c r="H59" s="94">
        <f t="shared" si="5"/>
        <v>0.38774999999999998</v>
      </c>
      <c r="I59" s="94">
        <f t="shared" si="6"/>
        <v>0.39649999999999996</v>
      </c>
      <c r="J59" s="94">
        <v>0.41399999999999998</v>
      </c>
    </row>
    <row r="60" spans="3:10">
      <c r="C60" s="93">
        <f>+C59/2+C61/2</f>
        <v>2.0499999999999998</v>
      </c>
      <c r="D60" s="94">
        <f>+D59/2+D61/2</f>
        <v>0.326125</v>
      </c>
      <c r="E60" s="94">
        <f t="shared" si="3"/>
        <v>0.34725</v>
      </c>
      <c r="F60" s="94">
        <f t="shared" si="4"/>
        <v>0.35781249999999998</v>
      </c>
      <c r="G60" s="94">
        <f>+G59/2+G61/2</f>
        <v>0.36837500000000001</v>
      </c>
      <c r="H60" s="94">
        <f t="shared" si="5"/>
        <v>0.377</v>
      </c>
      <c r="I60" s="94">
        <f t="shared" si="6"/>
        <v>0.385625</v>
      </c>
      <c r="J60" s="94">
        <f>+J59/2+J61/2</f>
        <v>0.40287499999999998</v>
      </c>
    </row>
    <row r="61" spans="3:10">
      <c r="C61" s="93">
        <v>2.1</v>
      </c>
      <c r="D61" s="94">
        <f>+D59/2+D63/2</f>
        <v>0.31625000000000003</v>
      </c>
      <c r="E61" s="94">
        <f t="shared" si="3"/>
        <v>0.33700000000000002</v>
      </c>
      <c r="F61" s="94">
        <f t="shared" si="4"/>
        <v>0.34737499999999999</v>
      </c>
      <c r="G61" s="94">
        <f>+G59/2+G63/2</f>
        <v>0.35775000000000001</v>
      </c>
      <c r="H61" s="94">
        <f t="shared" si="5"/>
        <v>0.36625000000000002</v>
      </c>
      <c r="I61" s="94">
        <f t="shared" si="6"/>
        <v>0.37475000000000003</v>
      </c>
      <c r="J61" s="94">
        <f>+J59/2+J63/2</f>
        <v>0.39174999999999999</v>
      </c>
    </row>
    <row r="62" spans="3:10">
      <c r="C62" s="93">
        <v>2.15</v>
      </c>
      <c r="D62" s="94">
        <f>+D61/2+D63/2</f>
        <v>0.30637500000000001</v>
      </c>
      <c r="E62" s="94">
        <f t="shared" si="3"/>
        <v>0.32674999999999998</v>
      </c>
      <c r="F62" s="94">
        <f t="shared" si="4"/>
        <v>0.3369375</v>
      </c>
      <c r="G62" s="94">
        <f>+G61/2+G63/2</f>
        <v>0.34712500000000002</v>
      </c>
      <c r="H62" s="94">
        <f t="shared" si="5"/>
        <v>0.35550000000000004</v>
      </c>
      <c r="I62" s="94">
        <f t="shared" si="6"/>
        <v>0.363875</v>
      </c>
      <c r="J62" s="94">
        <f>+J61/2+J63/2</f>
        <v>0.38062499999999999</v>
      </c>
    </row>
    <row r="63" spans="3:10">
      <c r="C63" s="93">
        <v>2.2000000000000002</v>
      </c>
      <c r="D63" s="94">
        <f>+D59/2+D67/2</f>
        <v>0.29649999999999999</v>
      </c>
      <c r="E63" s="94">
        <f t="shared" si="3"/>
        <v>0.3165</v>
      </c>
      <c r="F63" s="94">
        <f t="shared" si="4"/>
        <v>0.32650000000000001</v>
      </c>
      <c r="G63" s="94">
        <f>+G59/2+G67/2</f>
        <v>0.33650000000000002</v>
      </c>
      <c r="H63" s="94">
        <f t="shared" si="5"/>
        <v>0.34475</v>
      </c>
      <c r="I63" s="94">
        <f t="shared" si="6"/>
        <v>0.35299999999999998</v>
      </c>
      <c r="J63" s="94">
        <f>+J59/2+J67/2</f>
        <v>0.3695</v>
      </c>
    </row>
    <row r="64" spans="3:10">
      <c r="C64" s="93">
        <f>+C63/2+C65/2</f>
        <v>2.25</v>
      </c>
      <c r="D64" s="94">
        <f>+D63/2+D65/2</f>
        <v>0.28662500000000002</v>
      </c>
      <c r="E64" s="94">
        <f t="shared" si="3"/>
        <v>0.30625000000000002</v>
      </c>
      <c r="F64" s="94">
        <f t="shared" si="4"/>
        <v>0.31606250000000002</v>
      </c>
      <c r="G64" s="94">
        <f>+G63/2+G65/2</f>
        <v>0.32587500000000003</v>
      </c>
      <c r="H64" s="94">
        <f t="shared" si="5"/>
        <v>0.33400000000000002</v>
      </c>
      <c r="I64" s="94">
        <f t="shared" si="6"/>
        <v>0.34212500000000001</v>
      </c>
      <c r="J64" s="94">
        <f>+J63/2+J65/2</f>
        <v>0.358375</v>
      </c>
    </row>
    <row r="65" spans="3:10">
      <c r="C65" s="93">
        <v>2.2999999999999998</v>
      </c>
      <c r="D65" s="94">
        <f>+D63/2+D67/2</f>
        <v>0.27675</v>
      </c>
      <c r="E65" s="94">
        <f t="shared" si="3"/>
        <v>0.29600000000000004</v>
      </c>
      <c r="F65" s="94">
        <f t="shared" si="4"/>
        <v>0.30562500000000004</v>
      </c>
      <c r="G65" s="94">
        <f>+G63/2+G67/2</f>
        <v>0.31525000000000003</v>
      </c>
      <c r="H65" s="94">
        <f t="shared" si="5"/>
        <v>0.32325000000000004</v>
      </c>
      <c r="I65" s="94">
        <f t="shared" si="6"/>
        <v>0.33125000000000004</v>
      </c>
      <c r="J65" s="94">
        <f>+J63/2+J67/2</f>
        <v>0.34725</v>
      </c>
    </row>
    <row r="66" spans="3:10">
      <c r="C66" s="93">
        <v>2.35</v>
      </c>
      <c r="D66" s="94">
        <f>+D65/2+D67/2</f>
        <v>0.26687499999999997</v>
      </c>
      <c r="E66" s="94">
        <f t="shared" si="3"/>
        <v>0.28575</v>
      </c>
      <c r="F66" s="94">
        <f t="shared" si="4"/>
        <v>0.29518750000000005</v>
      </c>
      <c r="G66" s="94">
        <f>+G65/2+G67/2</f>
        <v>0.30462500000000003</v>
      </c>
      <c r="H66" s="94">
        <f t="shared" si="5"/>
        <v>0.3125</v>
      </c>
      <c r="I66" s="94">
        <f t="shared" si="6"/>
        <v>0.32037500000000002</v>
      </c>
      <c r="J66" s="94">
        <f>+J65/2+J67/2</f>
        <v>0.33612500000000001</v>
      </c>
    </row>
    <row r="67" spans="3:10">
      <c r="C67" s="93">
        <v>2.4</v>
      </c>
      <c r="D67" s="94">
        <v>0.25700000000000001</v>
      </c>
      <c r="E67" s="94">
        <f t="shared" si="3"/>
        <v>0.27549999999999997</v>
      </c>
      <c r="F67" s="94">
        <f t="shared" si="4"/>
        <v>0.28474999999999995</v>
      </c>
      <c r="G67" s="94">
        <v>0.29399999999999998</v>
      </c>
      <c r="H67" s="94">
        <f t="shared" si="5"/>
        <v>0.30174999999999996</v>
      </c>
      <c r="I67" s="94">
        <f t="shared" si="6"/>
        <v>0.3095</v>
      </c>
      <c r="J67" s="94">
        <v>0.32500000000000001</v>
      </c>
    </row>
    <row r="68" spans="3:10">
      <c r="C68" s="93">
        <f>+C67/2+C69/2</f>
        <v>2.4500000000000002</v>
      </c>
      <c r="D68" s="94">
        <f>+D67/2+D69/2</f>
        <v>0.25</v>
      </c>
      <c r="E68" s="94">
        <f t="shared" si="3"/>
        <v>0.268125</v>
      </c>
      <c r="F68" s="94">
        <f t="shared" si="4"/>
        <v>0.27718750000000003</v>
      </c>
      <c r="G68" s="94">
        <f>+G67/2+G69/2</f>
        <v>0.28625</v>
      </c>
      <c r="H68" s="94">
        <f t="shared" si="5"/>
        <v>0.29390625000000004</v>
      </c>
      <c r="I68" s="94">
        <f t="shared" si="6"/>
        <v>0.30156250000000001</v>
      </c>
      <c r="J68" s="94">
        <f>+J67/2+J69/2</f>
        <v>0.31687500000000002</v>
      </c>
    </row>
    <row r="69" spans="3:10">
      <c r="C69" s="93">
        <v>2.5</v>
      </c>
      <c r="D69" s="94">
        <f>+D67/2+D71/2</f>
        <v>0.24299999999999999</v>
      </c>
      <c r="E69" s="94">
        <f t="shared" si="3"/>
        <v>0.26074999999999998</v>
      </c>
      <c r="F69" s="94">
        <f t="shared" si="4"/>
        <v>0.269625</v>
      </c>
      <c r="G69" s="94">
        <f>+G67/2+G71/2</f>
        <v>0.27849999999999997</v>
      </c>
      <c r="H69" s="94">
        <f t="shared" si="5"/>
        <v>0.2860625</v>
      </c>
      <c r="I69" s="94">
        <f t="shared" si="6"/>
        <v>0.29362499999999997</v>
      </c>
      <c r="J69" s="94">
        <f>+J67/2+J71/2</f>
        <v>0.30874999999999997</v>
      </c>
    </row>
    <row r="70" spans="3:10">
      <c r="C70" s="93">
        <f>+C69/2+C71/2</f>
        <v>2.5499999999999998</v>
      </c>
      <c r="D70" s="94">
        <f>+D69/2+D71/2</f>
        <v>0.23599999999999999</v>
      </c>
      <c r="E70" s="94">
        <f t="shared" si="3"/>
        <v>0.25337500000000002</v>
      </c>
      <c r="F70" s="94">
        <f t="shared" si="4"/>
        <v>0.26206249999999998</v>
      </c>
      <c r="G70" s="94">
        <f>+G69/2+G71/2</f>
        <v>0.27074999999999999</v>
      </c>
      <c r="H70" s="94">
        <f t="shared" si="5"/>
        <v>0.27821874999999996</v>
      </c>
      <c r="I70" s="94">
        <f t="shared" si="6"/>
        <v>0.28568749999999998</v>
      </c>
      <c r="J70" s="94">
        <f>+J69/2+J71/2</f>
        <v>0.30062499999999998</v>
      </c>
    </row>
    <row r="71" spans="3:10">
      <c r="C71" s="93">
        <v>2.6</v>
      </c>
      <c r="D71" s="94">
        <f>+D67/2+D75/2</f>
        <v>0.22900000000000001</v>
      </c>
      <c r="E71" s="94">
        <f t="shared" si="3"/>
        <v>0.246</v>
      </c>
      <c r="F71" s="94">
        <f t="shared" si="4"/>
        <v>0.2545</v>
      </c>
      <c r="G71" s="94">
        <f>+G67/2+G75/2</f>
        <v>0.26300000000000001</v>
      </c>
      <c r="H71" s="94">
        <f t="shared" si="5"/>
        <v>0.27037500000000003</v>
      </c>
      <c r="I71" s="94">
        <f t="shared" si="6"/>
        <v>0.27775</v>
      </c>
      <c r="J71" s="94">
        <f>+J67/2+J75/2</f>
        <v>0.29249999999999998</v>
      </c>
    </row>
    <row r="72" spans="3:10">
      <c r="C72" s="93">
        <v>2.65</v>
      </c>
      <c r="D72" s="94">
        <f>+D71/2+D73/2</f>
        <v>0.22200000000000003</v>
      </c>
      <c r="E72" s="94">
        <f t="shared" si="3"/>
        <v>0.238625</v>
      </c>
      <c r="F72" s="94">
        <f t="shared" si="4"/>
        <v>0.24693749999999998</v>
      </c>
      <c r="G72" s="94">
        <f>+G71/2+G73/2</f>
        <v>0.25524999999999998</v>
      </c>
      <c r="H72" s="94">
        <f t="shared" si="5"/>
        <v>0.26253124999999999</v>
      </c>
      <c r="I72" s="94">
        <f t="shared" si="6"/>
        <v>0.26981250000000001</v>
      </c>
      <c r="J72" s="94">
        <f>+J71/2+J73/2</f>
        <v>0.28437499999999999</v>
      </c>
    </row>
    <row r="73" spans="3:10">
      <c r="C73" s="93">
        <v>2.7</v>
      </c>
      <c r="D73" s="94">
        <f>+D71/2+D75/2</f>
        <v>0.21500000000000002</v>
      </c>
      <c r="E73" s="94">
        <f t="shared" si="3"/>
        <v>0.23125000000000001</v>
      </c>
      <c r="F73" s="94">
        <f t="shared" si="4"/>
        <v>0.239375</v>
      </c>
      <c r="G73" s="94">
        <f>+G71/2+G75/2</f>
        <v>0.2475</v>
      </c>
      <c r="H73" s="94">
        <f t="shared" si="5"/>
        <v>0.25468749999999996</v>
      </c>
      <c r="I73" s="94">
        <f t="shared" si="6"/>
        <v>0.26187499999999997</v>
      </c>
      <c r="J73" s="94">
        <f>+J71/2+J75/2</f>
        <v>0.27625</v>
      </c>
    </row>
    <row r="74" spans="3:10">
      <c r="C74" s="93">
        <f>+C73/2+C75/2</f>
        <v>2.75</v>
      </c>
      <c r="D74" s="94">
        <f>+D73/2+D75/2</f>
        <v>0.20800000000000002</v>
      </c>
      <c r="E74" s="94">
        <f t="shared" si="3"/>
        <v>0.22387500000000002</v>
      </c>
      <c r="F74" s="94">
        <f t="shared" si="4"/>
        <v>0.23181250000000003</v>
      </c>
      <c r="G74" s="94">
        <f>+G73/2+G75/2</f>
        <v>0.23975000000000002</v>
      </c>
      <c r="H74" s="94">
        <f t="shared" si="5"/>
        <v>0.24684375000000003</v>
      </c>
      <c r="I74" s="94">
        <f t="shared" si="6"/>
        <v>0.25393750000000004</v>
      </c>
      <c r="J74" s="94">
        <f>+J73/2+J75/2</f>
        <v>0.268125</v>
      </c>
    </row>
    <row r="75" spans="3:10">
      <c r="C75" s="93">
        <v>2.8</v>
      </c>
      <c r="D75" s="94">
        <v>0.20100000000000001</v>
      </c>
      <c r="E75" s="94">
        <f t="shared" si="3"/>
        <v>0.21650000000000003</v>
      </c>
      <c r="F75" s="94">
        <f t="shared" si="4"/>
        <v>0.22425</v>
      </c>
      <c r="G75" s="94">
        <v>0.23200000000000001</v>
      </c>
      <c r="H75" s="94">
        <f t="shared" si="5"/>
        <v>0.23899999999999999</v>
      </c>
      <c r="I75" s="94">
        <f t="shared" si="6"/>
        <v>0.246</v>
      </c>
      <c r="J75" s="94">
        <v>0.26</v>
      </c>
    </row>
    <row r="76" spans="3:10">
      <c r="C76" s="93">
        <v>2.85</v>
      </c>
      <c r="D76" s="94">
        <f>+D75/2+D77/2</f>
        <v>0.19587500000000002</v>
      </c>
      <c r="E76" s="94">
        <f t="shared" si="3"/>
        <v>0.21112500000000001</v>
      </c>
      <c r="F76" s="94">
        <f t="shared" si="4"/>
        <v>0.21875</v>
      </c>
      <c r="G76" s="94">
        <f>+G75/2+G77/2</f>
        <v>0.22637499999999999</v>
      </c>
      <c r="H76" s="94">
        <f t="shared" si="5"/>
        <v>0.23321875</v>
      </c>
      <c r="I76" s="94">
        <f t="shared" si="6"/>
        <v>0.24006250000000001</v>
      </c>
      <c r="J76" s="94">
        <f>+J75/2+J77/2</f>
        <v>0.25375000000000003</v>
      </c>
    </row>
    <row r="77" spans="3:10">
      <c r="C77" s="93">
        <v>2.9</v>
      </c>
      <c r="D77" s="94">
        <f>+D75/2+D79/2</f>
        <v>0.19075</v>
      </c>
      <c r="E77" s="94">
        <f t="shared" si="3"/>
        <v>0.20574999999999999</v>
      </c>
      <c r="F77" s="94">
        <f t="shared" si="4"/>
        <v>0.21325</v>
      </c>
      <c r="G77" s="94">
        <f>+G75/2+G79/2</f>
        <v>0.22075</v>
      </c>
      <c r="H77" s="94">
        <f t="shared" si="5"/>
        <v>0.22743750000000001</v>
      </c>
      <c r="I77" s="94">
        <f t="shared" si="6"/>
        <v>0.234125</v>
      </c>
      <c r="J77" s="94">
        <f>+J75/2+J79/2</f>
        <v>0.2475</v>
      </c>
    </row>
    <row r="78" spans="3:10">
      <c r="C78" s="93">
        <f>+C77/2+C79/2</f>
        <v>2.95</v>
      </c>
      <c r="D78" s="94">
        <f>+D77/2+D79/2</f>
        <v>0.18562499999999998</v>
      </c>
      <c r="E78" s="94">
        <f t="shared" si="3"/>
        <v>0.200375</v>
      </c>
      <c r="F78" s="94">
        <f t="shared" si="4"/>
        <v>0.20774999999999999</v>
      </c>
      <c r="G78" s="94">
        <f>+G77/2+G79/2</f>
        <v>0.21512500000000001</v>
      </c>
      <c r="H78" s="94">
        <f t="shared" si="5"/>
        <v>0.22165625</v>
      </c>
      <c r="I78" s="94">
        <f t="shared" si="6"/>
        <v>0.22818749999999999</v>
      </c>
      <c r="J78" s="94">
        <f>+J77/2+J79/2</f>
        <v>0.24124999999999999</v>
      </c>
    </row>
    <row r="79" spans="3:10">
      <c r="C79" s="93">
        <v>3</v>
      </c>
      <c r="D79" s="94">
        <f>+D75/2+D83/2</f>
        <v>0.18049999999999999</v>
      </c>
      <c r="E79" s="94">
        <f t="shared" si="3"/>
        <v>0.19500000000000001</v>
      </c>
      <c r="F79" s="94">
        <f t="shared" si="4"/>
        <v>0.20225000000000001</v>
      </c>
      <c r="G79" s="94">
        <f>+G75/2+G83/2</f>
        <v>0.20950000000000002</v>
      </c>
      <c r="H79" s="94">
        <f t="shared" si="5"/>
        <v>0.21587500000000001</v>
      </c>
      <c r="I79" s="94">
        <f t="shared" si="6"/>
        <v>0.22225</v>
      </c>
      <c r="J79" s="94">
        <f>+J75/2+J83/2</f>
        <v>0.23499999999999999</v>
      </c>
    </row>
    <row r="80" spans="3:10">
      <c r="C80" s="93">
        <f>+C79/2+C81/2</f>
        <v>3.05</v>
      </c>
      <c r="D80" s="94">
        <f>+D79/2+D81/2</f>
        <v>0.175375</v>
      </c>
      <c r="E80" s="94">
        <f t="shared" si="3"/>
        <v>0.18962500000000002</v>
      </c>
      <c r="F80" s="94">
        <f t="shared" si="4"/>
        <v>0.19675000000000004</v>
      </c>
      <c r="G80" s="94">
        <f>+G79/2+G81/2</f>
        <v>0.20387500000000003</v>
      </c>
      <c r="H80" s="94">
        <f t="shared" si="5"/>
        <v>0.21009375000000002</v>
      </c>
      <c r="I80" s="94">
        <f t="shared" si="6"/>
        <v>0.21631250000000002</v>
      </c>
      <c r="J80" s="94">
        <f>+J79/2+J81/2</f>
        <v>0.22874999999999998</v>
      </c>
    </row>
    <row r="81" spans="3:10">
      <c r="C81" s="93">
        <v>3.1</v>
      </c>
      <c r="D81" s="94">
        <f>+D79/2+D83/2</f>
        <v>0.17025000000000001</v>
      </c>
      <c r="E81" s="94">
        <f t="shared" si="3"/>
        <v>0.18425000000000002</v>
      </c>
      <c r="F81" s="94">
        <f t="shared" si="4"/>
        <v>0.19125000000000003</v>
      </c>
      <c r="G81" s="94">
        <f>+G79/2+G83/2</f>
        <v>0.19825000000000001</v>
      </c>
      <c r="H81" s="94">
        <f t="shared" si="5"/>
        <v>0.20431250000000001</v>
      </c>
      <c r="I81" s="94">
        <f t="shared" si="6"/>
        <v>0.21037499999999998</v>
      </c>
      <c r="J81" s="94">
        <f>+J79/2+J83/2</f>
        <v>0.22249999999999998</v>
      </c>
    </row>
    <row r="82" spans="3:10">
      <c r="C82" s="93">
        <v>3.15</v>
      </c>
      <c r="D82" s="94">
        <f>+D81/2+D83/2</f>
        <v>0.16512500000000002</v>
      </c>
      <c r="E82" s="94">
        <f t="shared" ref="E82:E115" si="9">+(D82+G82)/2</f>
        <v>0.17887500000000001</v>
      </c>
      <c r="F82" s="94">
        <f t="shared" ref="F82:F115" si="10">+E82/2+G82/2</f>
        <v>0.18575</v>
      </c>
      <c r="G82" s="94">
        <f>+G81/2+G83/2</f>
        <v>0.19262499999999999</v>
      </c>
      <c r="H82" s="94">
        <f t="shared" ref="H82:H115" si="11">+G82/2+I82/2</f>
        <v>0.19853124999999999</v>
      </c>
      <c r="I82" s="94">
        <f t="shared" ref="I82:I115" si="12">+G82/2+J82/2</f>
        <v>0.20443749999999999</v>
      </c>
      <c r="J82" s="94">
        <f>+J81/2+J83/2</f>
        <v>0.21625</v>
      </c>
    </row>
    <row r="83" spans="3:10">
      <c r="C83" s="93">
        <v>3.2</v>
      </c>
      <c r="D83" s="94">
        <v>0.16</v>
      </c>
      <c r="E83" s="94">
        <f t="shared" si="9"/>
        <v>0.17349999999999999</v>
      </c>
      <c r="F83" s="94">
        <f t="shared" si="10"/>
        <v>0.18024999999999999</v>
      </c>
      <c r="G83" s="94">
        <v>0.187</v>
      </c>
      <c r="H83" s="94">
        <f t="shared" si="11"/>
        <v>0.19275</v>
      </c>
      <c r="I83" s="94">
        <f t="shared" si="12"/>
        <v>0.19850000000000001</v>
      </c>
      <c r="J83" s="94">
        <v>0.21</v>
      </c>
    </row>
    <row r="84" spans="3:10">
      <c r="C84" s="93">
        <f>+C83/2+C85/2</f>
        <v>3.25</v>
      </c>
      <c r="D84" s="94">
        <f>+D83/2+D85/2</f>
        <v>0.15625</v>
      </c>
      <c r="E84" s="94">
        <f t="shared" si="9"/>
        <v>0.16949999999999998</v>
      </c>
      <c r="F84" s="94">
        <f t="shared" si="10"/>
        <v>0.17612499999999998</v>
      </c>
      <c r="G84" s="94">
        <f>+G83/2+G85/2</f>
        <v>0.18275</v>
      </c>
      <c r="H84" s="94">
        <f t="shared" si="11"/>
        <v>0.18840625</v>
      </c>
      <c r="I84" s="94">
        <f t="shared" si="12"/>
        <v>0.19406249999999997</v>
      </c>
      <c r="J84" s="94">
        <f>+J83/2+J85/2</f>
        <v>0.20537499999999997</v>
      </c>
    </row>
    <row r="85" spans="3:10">
      <c r="C85" s="93">
        <v>3.3</v>
      </c>
      <c r="D85" s="94">
        <f>+D83/2+D87/2</f>
        <v>0.15250000000000002</v>
      </c>
      <c r="E85" s="94">
        <f t="shared" si="9"/>
        <v>0.16550000000000001</v>
      </c>
      <c r="F85" s="94">
        <f t="shared" si="10"/>
        <v>0.17199999999999999</v>
      </c>
      <c r="G85" s="94">
        <f>+G83/2+G87/2</f>
        <v>0.17849999999999999</v>
      </c>
      <c r="H85" s="94">
        <f t="shared" si="11"/>
        <v>0.18406249999999999</v>
      </c>
      <c r="I85" s="94">
        <f t="shared" si="12"/>
        <v>0.18962499999999999</v>
      </c>
      <c r="J85" s="94">
        <f>+J83/2+J87/2</f>
        <v>0.20074999999999998</v>
      </c>
    </row>
    <row r="86" spans="3:10">
      <c r="C86" s="93">
        <v>3.35</v>
      </c>
      <c r="D86" s="94">
        <f>+D85/2+D87/2</f>
        <v>0.14875000000000002</v>
      </c>
      <c r="E86" s="94">
        <f t="shared" si="9"/>
        <v>0.1615</v>
      </c>
      <c r="F86" s="94">
        <f t="shared" si="10"/>
        <v>0.167875</v>
      </c>
      <c r="G86" s="94">
        <f>+G85/2+G87/2</f>
        <v>0.17424999999999999</v>
      </c>
      <c r="H86" s="94">
        <f t="shared" si="11"/>
        <v>0.17971874999999998</v>
      </c>
      <c r="I86" s="94">
        <f t="shared" si="12"/>
        <v>0.1851875</v>
      </c>
      <c r="J86" s="94">
        <f>+J85/2+J87/2</f>
        <v>0.19612499999999999</v>
      </c>
    </row>
    <row r="87" spans="3:10">
      <c r="C87" s="93">
        <v>3.4</v>
      </c>
      <c r="D87" s="94">
        <f>+D83/2+D91/2</f>
        <v>0.14500000000000002</v>
      </c>
      <c r="E87" s="94">
        <f t="shared" si="9"/>
        <v>0.1575</v>
      </c>
      <c r="F87" s="94">
        <f t="shared" si="10"/>
        <v>0.16375000000000001</v>
      </c>
      <c r="G87" s="94">
        <f>+G83/2+G91/2</f>
        <v>0.16999999999999998</v>
      </c>
      <c r="H87" s="94">
        <f t="shared" si="11"/>
        <v>0.175375</v>
      </c>
      <c r="I87" s="94">
        <f t="shared" si="12"/>
        <v>0.18074999999999999</v>
      </c>
      <c r="J87" s="94">
        <f>+J83/2+J91/2</f>
        <v>0.1915</v>
      </c>
    </row>
    <row r="88" spans="3:10">
      <c r="C88" s="93">
        <f>+C87/2+C89/2</f>
        <v>3.45</v>
      </c>
      <c r="D88" s="94">
        <f>+D87/2+D89/2</f>
        <v>0.14125000000000001</v>
      </c>
      <c r="E88" s="94">
        <f t="shared" si="9"/>
        <v>0.1535</v>
      </c>
      <c r="F88" s="94">
        <f t="shared" si="10"/>
        <v>0.15962499999999999</v>
      </c>
      <c r="G88" s="94">
        <f>+G87/2+G89/2</f>
        <v>0.16574999999999998</v>
      </c>
      <c r="H88" s="94">
        <f t="shared" si="11"/>
        <v>0.17103124999999997</v>
      </c>
      <c r="I88" s="94">
        <f t="shared" si="12"/>
        <v>0.17631249999999998</v>
      </c>
      <c r="J88" s="94">
        <f>+J87/2+J89/2</f>
        <v>0.18687500000000001</v>
      </c>
    </row>
    <row r="89" spans="3:10">
      <c r="C89" s="93">
        <v>3.5</v>
      </c>
      <c r="D89" s="94">
        <f>+D87/2+D91/2</f>
        <v>0.13750000000000001</v>
      </c>
      <c r="E89" s="94">
        <f t="shared" si="9"/>
        <v>0.14949999999999999</v>
      </c>
      <c r="F89" s="94">
        <f t="shared" si="10"/>
        <v>0.15549999999999997</v>
      </c>
      <c r="G89" s="94">
        <f>+G87/2+G91/2</f>
        <v>0.16149999999999998</v>
      </c>
      <c r="H89" s="94">
        <f t="shared" si="11"/>
        <v>0.16668749999999999</v>
      </c>
      <c r="I89" s="94">
        <f t="shared" si="12"/>
        <v>0.171875</v>
      </c>
      <c r="J89" s="94">
        <f>+J87/2+J91/2</f>
        <v>0.18225</v>
      </c>
    </row>
    <row r="90" spans="3:10">
      <c r="C90" s="93">
        <f>+C89/2+C91/2</f>
        <v>3.55</v>
      </c>
      <c r="D90" s="94">
        <f>+D89/2+D91/2</f>
        <v>0.13375000000000001</v>
      </c>
      <c r="E90" s="94">
        <f t="shared" si="9"/>
        <v>0.14550000000000002</v>
      </c>
      <c r="F90" s="94">
        <f t="shared" si="10"/>
        <v>0.15137500000000001</v>
      </c>
      <c r="G90" s="94">
        <f>+G89/2+G91/2</f>
        <v>0.15725</v>
      </c>
      <c r="H90" s="94">
        <f t="shared" si="11"/>
        <v>0.16234375000000001</v>
      </c>
      <c r="I90" s="94">
        <f t="shared" si="12"/>
        <v>0.16743749999999999</v>
      </c>
      <c r="J90" s="94">
        <f>+J89/2+J91/2</f>
        <v>0.17762499999999998</v>
      </c>
    </row>
    <row r="91" spans="3:10">
      <c r="C91" s="93">
        <v>3.6</v>
      </c>
      <c r="D91" s="94">
        <v>0.13</v>
      </c>
      <c r="E91" s="94">
        <f t="shared" si="9"/>
        <v>0.14150000000000001</v>
      </c>
      <c r="F91" s="94">
        <f t="shared" si="10"/>
        <v>0.14724999999999999</v>
      </c>
      <c r="G91" s="94">
        <v>0.153</v>
      </c>
      <c r="H91" s="94">
        <f t="shared" si="11"/>
        <v>0.15799999999999997</v>
      </c>
      <c r="I91" s="94">
        <f t="shared" si="12"/>
        <v>0.16299999999999998</v>
      </c>
      <c r="J91" s="94">
        <v>0.17299999999999999</v>
      </c>
    </row>
    <row r="92" spans="3:10">
      <c r="C92" s="93">
        <v>3.65</v>
      </c>
      <c r="D92" s="94">
        <f>+D91/2+D93/2</f>
        <v>0.12725</v>
      </c>
      <c r="E92" s="94">
        <f t="shared" si="9"/>
        <v>0.13850000000000001</v>
      </c>
      <c r="F92" s="94">
        <f t="shared" si="10"/>
        <v>0.144125</v>
      </c>
      <c r="G92" s="94">
        <f>+G91/2+G93/2</f>
        <v>0.14974999999999999</v>
      </c>
      <c r="H92" s="94">
        <f t="shared" si="11"/>
        <v>0.15468749999999998</v>
      </c>
      <c r="I92" s="94">
        <f t="shared" si="12"/>
        <v>0.15962499999999999</v>
      </c>
      <c r="J92" s="94">
        <f>+J91/2+J93/2</f>
        <v>0.16949999999999998</v>
      </c>
    </row>
    <row r="93" spans="3:10">
      <c r="C93" s="93">
        <v>3.7</v>
      </c>
      <c r="D93" s="94">
        <f>+D91/2+D95/2</f>
        <v>0.1245</v>
      </c>
      <c r="E93" s="94">
        <f t="shared" si="9"/>
        <v>0.13550000000000001</v>
      </c>
      <c r="F93" s="94">
        <f t="shared" si="10"/>
        <v>0.14100000000000001</v>
      </c>
      <c r="G93" s="94">
        <f>+G91/2+G95/2</f>
        <v>0.14650000000000002</v>
      </c>
      <c r="H93" s="94">
        <f t="shared" si="11"/>
        <v>0.15137500000000001</v>
      </c>
      <c r="I93" s="94">
        <f t="shared" si="12"/>
        <v>0.15625</v>
      </c>
      <c r="J93" s="94">
        <f>+J91/2+J95/2</f>
        <v>0.16599999999999998</v>
      </c>
    </row>
    <row r="94" spans="3:10">
      <c r="C94" s="93">
        <f>+C93/2+C95/2</f>
        <v>3.75</v>
      </c>
      <c r="D94" s="94">
        <f>+D93/2+D95/2</f>
        <v>0.12175</v>
      </c>
      <c r="E94" s="94">
        <f t="shared" si="9"/>
        <v>0.13250000000000001</v>
      </c>
      <c r="F94" s="94">
        <f t="shared" si="10"/>
        <v>0.13787500000000003</v>
      </c>
      <c r="G94" s="94">
        <f>+G93/2+G95/2</f>
        <v>0.14325000000000002</v>
      </c>
      <c r="H94" s="94">
        <f t="shared" si="11"/>
        <v>0.14806249999999999</v>
      </c>
      <c r="I94" s="94">
        <f t="shared" si="12"/>
        <v>0.15287499999999998</v>
      </c>
      <c r="J94" s="94">
        <f>+J93/2+J95/2</f>
        <v>0.16249999999999998</v>
      </c>
    </row>
    <row r="95" spans="3:10">
      <c r="C95" s="93">
        <v>3.8</v>
      </c>
      <c r="D95" s="94">
        <f>+D91/2+D99/2</f>
        <v>0.11899999999999999</v>
      </c>
      <c r="E95" s="94">
        <f t="shared" si="9"/>
        <v>0.1295</v>
      </c>
      <c r="F95" s="94">
        <f t="shared" si="10"/>
        <v>0.13475000000000001</v>
      </c>
      <c r="G95" s="94">
        <f>+G91/2+G99/2</f>
        <v>0.14000000000000001</v>
      </c>
      <c r="H95" s="94">
        <f t="shared" si="11"/>
        <v>0.14474999999999999</v>
      </c>
      <c r="I95" s="94">
        <f t="shared" si="12"/>
        <v>0.14949999999999999</v>
      </c>
      <c r="J95" s="94">
        <f>+J91/2+J99/2</f>
        <v>0.15899999999999997</v>
      </c>
    </row>
    <row r="96" spans="3:10">
      <c r="C96" s="93">
        <v>3.85</v>
      </c>
      <c r="D96" s="94">
        <f>+D95/2+D97/2</f>
        <v>0.11624999999999999</v>
      </c>
      <c r="E96" s="94">
        <f t="shared" si="9"/>
        <v>0.1265</v>
      </c>
      <c r="F96" s="94">
        <f t="shared" si="10"/>
        <v>0.13162499999999999</v>
      </c>
      <c r="G96" s="94">
        <f>+G95/2+G97/2</f>
        <v>0.13675000000000001</v>
      </c>
      <c r="H96" s="94">
        <f t="shared" si="11"/>
        <v>0.14143749999999999</v>
      </c>
      <c r="I96" s="94">
        <f t="shared" si="12"/>
        <v>0.146125</v>
      </c>
      <c r="J96" s="94">
        <f>+J95/2+J97/2</f>
        <v>0.15549999999999997</v>
      </c>
    </row>
    <row r="97" spans="3:10">
      <c r="C97" s="93">
        <v>3.9</v>
      </c>
      <c r="D97" s="94">
        <f>+D95/2+D99/2</f>
        <v>0.11349999999999999</v>
      </c>
      <c r="E97" s="94">
        <f t="shared" si="9"/>
        <v>0.1235</v>
      </c>
      <c r="F97" s="94">
        <f t="shared" si="10"/>
        <v>0.1285</v>
      </c>
      <c r="G97" s="94">
        <f>+G95/2+G99/2</f>
        <v>0.13350000000000001</v>
      </c>
      <c r="H97" s="94">
        <f t="shared" si="11"/>
        <v>0.138125</v>
      </c>
      <c r="I97" s="94">
        <f t="shared" si="12"/>
        <v>0.14274999999999999</v>
      </c>
      <c r="J97" s="94">
        <f>+J95/2+J99/2</f>
        <v>0.15199999999999997</v>
      </c>
    </row>
    <row r="98" spans="3:10">
      <c r="C98" s="93">
        <f>+C97/2+C99/2</f>
        <v>3.95</v>
      </c>
      <c r="D98" s="94">
        <f>+D97/2+D99/2</f>
        <v>0.11074999999999999</v>
      </c>
      <c r="E98" s="94">
        <f t="shared" si="9"/>
        <v>0.1205</v>
      </c>
      <c r="F98" s="94">
        <f t="shared" si="10"/>
        <v>0.12537500000000001</v>
      </c>
      <c r="G98" s="94">
        <f>+G97/2+G99/2</f>
        <v>0.13025</v>
      </c>
      <c r="H98" s="94">
        <f t="shared" si="11"/>
        <v>0.1348125</v>
      </c>
      <c r="I98" s="94">
        <f t="shared" si="12"/>
        <v>0.13937499999999997</v>
      </c>
      <c r="J98" s="94">
        <f>+J97/2+J99/2</f>
        <v>0.14849999999999997</v>
      </c>
    </row>
    <row r="99" spans="3:10">
      <c r="C99" s="93">
        <v>4</v>
      </c>
      <c r="D99" s="94">
        <v>0.108</v>
      </c>
      <c r="E99" s="94">
        <f t="shared" si="9"/>
        <v>0.11749999999999999</v>
      </c>
      <c r="F99" s="94">
        <f t="shared" si="10"/>
        <v>0.12225</v>
      </c>
      <c r="G99" s="94">
        <v>0.127</v>
      </c>
      <c r="H99" s="94">
        <f t="shared" si="11"/>
        <v>0.13150000000000001</v>
      </c>
      <c r="I99" s="94">
        <f t="shared" si="12"/>
        <v>0.13600000000000001</v>
      </c>
      <c r="J99" s="94">
        <v>0.14499999999999999</v>
      </c>
    </row>
    <row r="100" spans="3:10">
      <c r="C100" s="93">
        <f>+C99/2+C101/2</f>
        <v>4.05</v>
      </c>
      <c r="D100" s="94">
        <f>+D99/2+D101/2</f>
        <v>0.105875</v>
      </c>
      <c r="E100" s="94">
        <f t="shared" si="9"/>
        <v>0.1151875</v>
      </c>
      <c r="F100" s="94">
        <f t="shared" si="10"/>
        <v>0.11984375</v>
      </c>
      <c r="G100" s="94">
        <f>+G99/2+G101/2</f>
        <v>0.1245</v>
      </c>
      <c r="H100" s="94">
        <f t="shared" si="11"/>
        <v>0.12890625</v>
      </c>
      <c r="I100" s="94">
        <f t="shared" si="12"/>
        <v>0.1333125</v>
      </c>
      <c r="J100" s="94">
        <f>+J99/2+J101/2</f>
        <v>0.142125</v>
      </c>
    </row>
    <row r="101" spans="3:10">
      <c r="C101" s="93">
        <v>4.0999999999999996</v>
      </c>
      <c r="D101" s="94">
        <f>+D99/2+D103/2</f>
        <v>0.10375000000000001</v>
      </c>
      <c r="E101" s="94">
        <f t="shared" si="9"/>
        <v>0.112875</v>
      </c>
      <c r="F101" s="94">
        <f t="shared" si="10"/>
        <v>0.1174375</v>
      </c>
      <c r="G101" s="94">
        <f>+G99/2+G103/2</f>
        <v>0.122</v>
      </c>
      <c r="H101" s="94">
        <f t="shared" si="11"/>
        <v>0.12631249999999999</v>
      </c>
      <c r="I101" s="94">
        <f t="shared" si="12"/>
        <v>0.13062499999999999</v>
      </c>
      <c r="J101" s="94">
        <f>+J99/2+J103/2</f>
        <v>0.13924999999999998</v>
      </c>
    </row>
    <row r="102" spans="3:10">
      <c r="C102" s="93">
        <f>+C101/2+C103/2</f>
        <v>4.1500000000000004</v>
      </c>
      <c r="D102" s="94">
        <f>+D101/2+D103/2</f>
        <v>0.10162500000000001</v>
      </c>
      <c r="E102" s="94">
        <f t="shared" si="9"/>
        <v>0.11056250000000001</v>
      </c>
      <c r="F102" s="94">
        <f t="shared" si="10"/>
        <v>0.11503125</v>
      </c>
      <c r="G102" s="94">
        <f>+G101/2+G103/2</f>
        <v>0.1195</v>
      </c>
      <c r="H102" s="94">
        <f t="shared" si="11"/>
        <v>0.12371874999999999</v>
      </c>
      <c r="I102" s="94">
        <f t="shared" si="12"/>
        <v>0.12793749999999998</v>
      </c>
      <c r="J102" s="94">
        <f>+J101/2+J103/2</f>
        <v>0.136375</v>
      </c>
    </row>
    <row r="103" spans="3:10">
      <c r="C103" s="93">
        <v>4.2</v>
      </c>
      <c r="D103" s="94">
        <f>+D99/2+D107/2</f>
        <v>9.9500000000000005E-2</v>
      </c>
      <c r="E103" s="94">
        <f t="shared" si="9"/>
        <v>0.10825</v>
      </c>
      <c r="F103" s="94">
        <f t="shared" si="10"/>
        <v>0.112625</v>
      </c>
      <c r="G103" s="94">
        <f>+G99/2+G107/2</f>
        <v>0.11699999999999999</v>
      </c>
      <c r="H103" s="94">
        <f t="shared" si="11"/>
        <v>0.121125</v>
      </c>
      <c r="I103" s="94">
        <f t="shared" si="12"/>
        <v>0.12525</v>
      </c>
      <c r="J103" s="94">
        <f>+J99/2+J107/2</f>
        <v>0.13350000000000001</v>
      </c>
    </row>
    <row r="104" spans="3:10">
      <c r="C104" s="93">
        <f>+C103/2+C105/2</f>
        <v>4.25</v>
      </c>
      <c r="D104" s="94">
        <f>+D103/2+D105/2</f>
        <v>9.7375000000000003E-2</v>
      </c>
      <c r="E104" s="94">
        <f t="shared" si="9"/>
        <v>0.10593749999999999</v>
      </c>
      <c r="F104" s="94">
        <f t="shared" si="10"/>
        <v>0.11021874999999999</v>
      </c>
      <c r="G104" s="94">
        <f>+G103/2+G105/2</f>
        <v>0.11449999999999999</v>
      </c>
      <c r="H104" s="94">
        <f t="shared" si="11"/>
        <v>0.11853124999999999</v>
      </c>
      <c r="I104" s="94">
        <f t="shared" si="12"/>
        <v>0.12256249999999999</v>
      </c>
      <c r="J104" s="94">
        <f>+J103/2+J105/2</f>
        <v>0.13062499999999999</v>
      </c>
    </row>
    <row r="105" spans="3:10">
      <c r="C105" s="93">
        <v>4.3</v>
      </c>
      <c r="D105" s="94">
        <f>+D103/2+D107/2</f>
        <v>9.5250000000000001E-2</v>
      </c>
      <c r="E105" s="94">
        <f t="shared" si="9"/>
        <v>0.10362499999999999</v>
      </c>
      <c r="F105" s="94">
        <f t="shared" si="10"/>
        <v>0.10781249999999999</v>
      </c>
      <c r="G105" s="94">
        <f>+G103/2+G107/2</f>
        <v>0.11199999999999999</v>
      </c>
      <c r="H105" s="94">
        <f t="shared" si="11"/>
        <v>0.1159375</v>
      </c>
      <c r="I105" s="94">
        <f t="shared" si="12"/>
        <v>0.119875</v>
      </c>
      <c r="J105" s="94">
        <f>+J103/2+J107/2</f>
        <v>0.12775</v>
      </c>
    </row>
    <row r="106" spans="3:10">
      <c r="C106" s="93">
        <f>+C105/2+C107/2</f>
        <v>4.3499999999999996</v>
      </c>
      <c r="D106" s="94">
        <f>+D105/2+D107/2</f>
        <v>9.3124999999999999E-2</v>
      </c>
      <c r="E106" s="94">
        <f t="shared" si="9"/>
        <v>0.1013125</v>
      </c>
      <c r="F106" s="94">
        <f t="shared" si="10"/>
        <v>0.10540624999999999</v>
      </c>
      <c r="G106" s="94">
        <f>+G105/2+G107/2</f>
        <v>0.10949999999999999</v>
      </c>
      <c r="H106" s="94">
        <f t="shared" si="11"/>
        <v>0.11334374999999999</v>
      </c>
      <c r="I106" s="94">
        <f t="shared" si="12"/>
        <v>0.1171875</v>
      </c>
      <c r="J106" s="94">
        <f>+J105/2+J107/2</f>
        <v>0.124875</v>
      </c>
    </row>
    <row r="107" spans="3:10">
      <c r="C107" s="93">
        <v>4.4000000000000004</v>
      </c>
      <c r="D107" s="94">
        <v>9.0999999999999998E-2</v>
      </c>
      <c r="E107" s="94">
        <f t="shared" si="9"/>
        <v>9.9000000000000005E-2</v>
      </c>
      <c r="F107" s="94">
        <f t="shared" si="10"/>
        <v>0.10300000000000001</v>
      </c>
      <c r="G107" s="94">
        <v>0.107</v>
      </c>
      <c r="H107" s="94">
        <f t="shared" si="11"/>
        <v>0.11074999999999999</v>
      </c>
      <c r="I107" s="94">
        <f t="shared" si="12"/>
        <v>0.11449999999999999</v>
      </c>
      <c r="J107" s="94">
        <v>0.122</v>
      </c>
    </row>
    <row r="108" spans="3:10">
      <c r="C108" s="93">
        <f>+C107/2+C109/2</f>
        <v>4.45</v>
      </c>
      <c r="D108" s="94">
        <f>+D107/2+D109/2</f>
        <v>8.9249999999999996E-2</v>
      </c>
      <c r="E108" s="94">
        <f t="shared" si="9"/>
        <v>9.7187499999999996E-2</v>
      </c>
      <c r="F108" s="94">
        <f t="shared" si="10"/>
        <v>0.10115625</v>
      </c>
      <c r="G108" s="94">
        <f>+G107/2+G109/2</f>
        <v>0.105125</v>
      </c>
      <c r="H108" s="94">
        <f t="shared" si="11"/>
        <v>0.10881249999999999</v>
      </c>
      <c r="I108" s="94">
        <f t="shared" si="12"/>
        <v>0.11249999999999999</v>
      </c>
      <c r="J108" s="94">
        <f>+J107/2+J109/2</f>
        <v>0.119875</v>
      </c>
    </row>
    <row r="109" spans="3:10">
      <c r="C109" s="93">
        <v>4.5</v>
      </c>
      <c r="D109" s="94">
        <f>+D107/2+D111/2</f>
        <v>8.7499999999999994E-2</v>
      </c>
      <c r="E109" s="94">
        <f t="shared" si="9"/>
        <v>9.5375000000000001E-2</v>
      </c>
      <c r="F109" s="94">
        <f t="shared" si="10"/>
        <v>9.9312499999999998E-2</v>
      </c>
      <c r="G109" s="94">
        <f>+G107/2+G111/2</f>
        <v>0.10325000000000001</v>
      </c>
      <c r="H109" s="94">
        <f t="shared" si="11"/>
        <v>0.106875</v>
      </c>
      <c r="I109" s="94">
        <f t="shared" si="12"/>
        <v>0.1105</v>
      </c>
      <c r="J109" s="94">
        <f>+J107/2+J111/2</f>
        <v>0.11774999999999999</v>
      </c>
    </row>
    <row r="110" spans="3:10">
      <c r="C110" s="93">
        <f>+C109/2+C111/2</f>
        <v>4.55</v>
      </c>
      <c r="D110" s="94">
        <f>+D109/2+D111/2</f>
        <v>8.5749999999999993E-2</v>
      </c>
      <c r="E110" s="94">
        <f t="shared" si="9"/>
        <v>9.3562499999999993E-2</v>
      </c>
      <c r="F110" s="94">
        <f t="shared" si="10"/>
        <v>9.7468749999999993E-2</v>
      </c>
      <c r="G110" s="94">
        <f>+G109/2+G111/2</f>
        <v>0.10137500000000001</v>
      </c>
      <c r="H110" s="94">
        <f t="shared" si="11"/>
        <v>0.1049375</v>
      </c>
      <c r="I110" s="94">
        <f t="shared" si="12"/>
        <v>0.1085</v>
      </c>
      <c r="J110" s="94">
        <f>+J109/2+J111/2</f>
        <v>0.11562499999999999</v>
      </c>
    </row>
    <row r="111" spans="3:10">
      <c r="C111" s="93">
        <v>4.5999999999999996</v>
      </c>
      <c r="D111" s="94">
        <f>+D107/2+D115/2</f>
        <v>8.3999999999999991E-2</v>
      </c>
      <c r="E111" s="94">
        <f t="shared" si="9"/>
        <v>9.1749999999999998E-2</v>
      </c>
      <c r="F111" s="94">
        <f t="shared" si="10"/>
        <v>9.5625000000000002E-2</v>
      </c>
      <c r="G111" s="94">
        <f>+G107/2+G115/2</f>
        <v>9.9500000000000005E-2</v>
      </c>
      <c r="H111" s="94">
        <f t="shared" si="11"/>
        <v>0.10300000000000001</v>
      </c>
      <c r="I111" s="94">
        <f t="shared" si="12"/>
        <v>0.1065</v>
      </c>
      <c r="J111" s="94">
        <f>+J107/2+J115/2</f>
        <v>0.11349999999999999</v>
      </c>
    </row>
    <row r="112" spans="3:10">
      <c r="C112" s="93">
        <f>+C111/2+C113/2</f>
        <v>4.6500000000000004</v>
      </c>
      <c r="D112" s="94">
        <f>+D111/2+D113/2</f>
        <v>8.224999999999999E-2</v>
      </c>
      <c r="E112" s="94">
        <f t="shared" si="9"/>
        <v>8.9937500000000004E-2</v>
      </c>
      <c r="F112" s="94">
        <f t="shared" si="10"/>
        <v>9.378125000000001E-2</v>
      </c>
      <c r="G112" s="94">
        <f>+G111/2+G113/2</f>
        <v>9.7625000000000003E-2</v>
      </c>
      <c r="H112" s="94">
        <f t="shared" si="11"/>
        <v>0.1010625</v>
      </c>
      <c r="I112" s="94">
        <f t="shared" si="12"/>
        <v>0.1045</v>
      </c>
      <c r="J112" s="94">
        <f>+J111/2+J113/2</f>
        <v>0.11137499999999999</v>
      </c>
    </row>
    <row r="113" spans="1:21">
      <c r="C113" s="93">
        <v>4.7</v>
      </c>
      <c r="D113" s="94">
        <f>+D111/2+D115/2</f>
        <v>8.0499999999999988E-2</v>
      </c>
      <c r="E113" s="94">
        <f t="shared" si="9"/>
        <v>8.8124999999999995E-2</v>
      </c>
      <c r="F113" s="94">
        <f t="shared" si="10"/>
        <v>9.1937500000000005E-2</v>
      </c>
      <c r="G113" s="94">
        <f>+G111/2+G115/2</f>
        <v>9.5750000000000002E-2</v>
      </c>
      <c r="H113" s="94">
        <f t="shared" si="11"/>
        <v>9.9124999999999991E-2</v>
      </c>
      <c r="I113" s="94">
        <f t="shared" si="12"/>
        <v>0.10249999999999999</v>
      </c>
      <c r="J113" s="94">
        <f>+J111/2+J115/2</f>
        <v>0.10924999999999999</v>
      </c>
    </row>
    <row r="114" spans="1:21">
      <c r="C114" s="93">
        <f>+C113/2+C115/2</f>
        <v>4.75</v>
      </c>
      <c r="D114" s="94">
        <f>+D113/2+D115/2</f>
        <v>7.8749999999999987E-2</v>
      </c>
      <c r="E114" s="94">
        <f t="shared" si="9"/>
        <v>8.6312499999999986E-2</v>
      </c>
      <c r="F114" s="94">
        <f t="shared" si="10"/>
        <v>9.009375E-2</v>
      </c>
      <c r="G114" s="94">
        <f>+G113/2+G115/2</f>
        <v>9.3875E-2</v>
      </c>
      <c r="H114" s="94">
        <f t="shared" si="11"/>
        <v>9.718750000000001E-2</v>
      </c>
      <c r="I114" s="94">
        <f t="shared" si="12"/>
        <v>0.10050000000000001</v>
      </c>
      <c r="J114" s="94">
        <f>+J113/2+J115/2</f>
        <v>0.107125</v>
      </c>
    </row>
    <row r="115" spans="1:21">
      <c r="C115" s="101">
        <v>4.8</v>
      </c>
      <c r="D115" s="102">
        <v>7.6999999999999999E-2</v>
      </c>
      <c r="E115" s="102">
        <f t="shared" si="9"/>
        <v>8.4499999999999992E-2</v>
      </c>
      <c r="F115" s="94">
        <f t="shared" si="10"/>
        <v>8.8249999999999995E-2</v>
      </c>
      <c r="G115" s="102">
        <v>9.1999999999999998E-2</v>
      </c>
      <c r="H115" s="94">
        <f t="shared" si="11"/>
        <v>9.5250000000000001E-2</v>
      </c>
      <c r="I115" s="94">
        <f t="shared" si="12"/>
        <v>9.8500000000000004E-2</v>
      </c>
      <c r="J115" s="102">
        <v>0.105</v>
      </c>
    </row>
    <row r="116" spans="1:21">
      <c r="C116" s="103"/>
      <c r="D116" s="104"/>
      <c r="E116" s="104"/>
      <c r="F116" s="104"/>
      <c r="G116" s="104"/>
      <c r="H116" s="104"/>
      <c r="I116" s="104"/>
      <c r="J116" s="104"/>
    </row>
    <row r="117" spans="1:21" ht="13.5" thickBot="1"/>
    <row r="118" spans="1:21" ht="15.5" thickBot="1">
      <c r="A118" s="105"/>
      <c r="B118" s="106"/>
      <c r="C118" s="63"/>
      <c r="D118" s="63"/>
      <c r="E118" s="63"/>
      <c r="F118" s="63"/>
      <c r="G118" s="63"/>
      <c r="H118" s="63"/>
      <c r="I118" s="63"/>
      <c r="J118" s="63"/>
      <c r="K118" s="398"/>
      <c r="L118" s="398"/>
      <c r="M118" s="398"/>
      <c r="N118" s="398"/>
      <c r="O118" s="398"/>
      <c r="P118" s="398"/>
      <c r="Q118" s="398"/>
      <c r="R118" s="63"/>
      <c r="S118" s="63"/>
      <c r="T118" s="63"/>
      <c r="U118" s="108"/>
    </row>
    <row r="119" spans="1:21">
      <c r="A119" s="109"/>
      <c r="B119" s="110"/>
      <c r="C119" s="4"/>
      <c r="D119" s="111"/>
      <c r="E119" s="4"/>
      <c r="F119" s="4"/>
      <c r="G119" s="112" t="s">
        <v>440</v>
      </c>
      <c r="H119" s="113"/>
      <c r="I119" s="4"/>
      <c r="J119" s="4"/>
      <c r="R119" s="4"/>
      <c r="S119" s="4"/>
      <c r="T119" s="4"/>
      <c r="U119" s="117"/>
    </row>
    <row r="120" spans="1:21" ht="13.5" thickBot="1">
      <c r="A120" s="109"/>
      <c r="B120" s="110" t="s">
        <v>442</v>
      </c>
      <c r="C120" s="4"/>
      <c r="D120" s="118" t="e">
        <f>+C121&amp;" - "&amp;C122&amp;" x "&amp;E122</f>
        <v>#REF!</v>
      </c>
      <c r="E120" s="4"/>
      <c r="F120" s="119"/>
      <c r="G120" s="120" t="e">
        <f>+#REF!</f>
        <v>#REF!</v>
      </c>
      <c r="H120" s="121" t="e">
        <f>+#REF!</f>
        <v>#REF!</v>
      </c>
      <c r="I120" s="4"/>
      <c r="J120" s="4"/>
      <c r="R120" s="4"/>
      <c r="S120" s="4"/>
      <c r="T120" s="4"/>
      <c r="U120" s="117"/>
    </row>
    <row r="121" spans="1:21" ht="13.5" thickBot="1">
      <c r="A121" s="109"/>
      <c r="B121" s="124" t="s">
        <v>302</v>
      </c>
      <c r="C121" s="125" t="e">
        <f>+#REF!</f>
        <v>#REF!</v>
      </c>
      <c r="D121" s="126" t="s">
        <v>35</v>
      </c>
      <c r="E121" s="127" t="e">
        <f>+C121</f>
        <v>#REF!</v>
      </c>
      <c r="F121" s="128" t="s">
        <v>0</v>
      </c>
      <c r="I121" s="4"/>
      <c r="J121" s="4"/>
      <c r="R121" s="4"/>
      <c r="S121" s="119"/>
      <c r="T121" s="129"/>
      <c r="U121" s="117"/>
    </row>
    <row r="122" spans="1:21" ht="13.5" thickBot="1">
      <c r="A122" s="109"/>
      <c r="B122" s="130"/>
      <c r="C122" s="125" t="e">
        <f>+#REF!</f>
        <v>#REF!</v>
      </c>
      <c r="D122" s="126" t="s">
        <v>35</v>
      </c>
      <c r="E122" s="131" t="e">
        <f>+#REF!</f>
        <v>#REF!</v>
      </c>
      <c r="F122" s="132" t="s">
        <v>0</v>
      </c>
      <c r="J122" s="4"/>
      <c r="R122" s="4"/>
      <c r="S122" s="4"/>
      <c r="T122" s="4"/>
      <c r="U122" s="133"/>
    </row>
    <row r="123" spans="1:21" ht="13.5" thickBot="1">
      <c r="A123" s="109"/>
      <c r="B123" s="134"/>
      <c r="C123" s="125" t="e">
        <f>+#REF!</f>
        <v>#REF!</v>
      </c>
      <c r="D123" s="126" t="s">
        <v>35</v>
      </c>
      <c r="E123" s="131" t="e">
        <f>+C123</f>
        <v>#REF!</v>
      </c>
      <c r="F123" s="135" t="s">
        <v>0</v>
      </c>
      <c r="G123" s="136" t="s">
        <v>441</v>
      </c>
      <c r="H123" s="136" t="s">
        <v>306</v>
      </c>
      <c r="J123" s="4"/>
      <c r="R123" s="4"/>
      <c r="S123" s="4"/>
      <c r="T123" s="4"/>
      <c r="U123" s="137"/>
    </row>
    <row r="124" spans="1:21" ht="13.5">
      <c r="A124" s="109"/>
      <c r="B124" s="138" t="s">
        <v>443</v>
      </c>
      <c r="C124" s="139" t="e">
        <f>+#REF!</f>
        <v>#REF!</v>
      </c>
      <c r="D124" s="29" t="s">
        <v>0</v>
      </c>
      <c r="E124" s="140" t="s">
        <v>465</v>
      </c>
      <c r="F124" s="141"/>
      <c r="G124" s="142" t="s">
        <v>309</v>
      </c>
      <c r="H124" s="143" t="s">
        <v>310</v>
      </c>
      <c r="I124" s="4"/>
      <c r="J124" s="4"/>
      <c r="R124" s="4"/>
      <c r="S124" s="4"/>
      <c r="T124" s="4"/>
      <c r="U124" s="144"/>
    </row>
    <row r="125" spans="1:21">
      <c r="A125" s="109"/>
      <c r="B125" s="145" t="s">
        <v>444</v>
      </c>
      <c r="C125" s="146" t="e">
        <f>+#REF!</f>
        <v>#REF!</v>
      </c>
      <c r="D125" s="80" t="s">
        <v>0</v>
      </c>
      <c r="E125" s="147" t="s">
        <v>312</v>
      </c>
      <c r="F125" s="80" t="s">
        <v>313</v>
      </c>
      <c r="G125" s="145" t="e">
        <f>+IF(G120&lt;=85,G120*3/1000,IF(G120&lt;=125,G120*2/1000,G120/1000))</f>
        <v>#REF!</v>
      </c>
      <c r="H125" s="148" t="e">
        <f>+IF(H120&lt;=85,H120*3/1000,IF(H120&lt;=125,H120*2/1000,H120/1000))</f>
        <v>#REF!</v>
      </c>
      <c r="I125" s="4"/>
      <c r="J125" s="4"/>
      <c r="R125" s="4"/>
      <c r="S125" s="4"/>
      <c r="T125" s="4"/>
      <c r="U125" s="117"/>
    </row>
    <row r="126" spans="1:21">
      <c r="A126" s="109"/>
      <c r="B126" s="145" t="s">
        <v>445</v>
      </c>
      <c r="C126" s="146" t="e">
        <f>+#REF!</f>
        <v>#REF!</v>
      </c>
      <c r="D126" s="80" t="s">
        <v>0</v>
      </c>
      <c r="E126" s="147"/>
      <c r="F126" s="80" t="s">
        <v>315</v>
      </c>
      <c r="G126" s="145" t="e">
        <f>+G125</f>
        <v>#REF!</v>
      </c>
      <c r="H126" s="148" t="e">
        <f>+H125</f>
        <v>#REF!</v>
      </c>
      <c r="I126" s="3"/>
      <c r="J126" s="4"/>
      <c r="R126" s="4"/>
      <c r="S126" s="4"/>
      <c r="T126" s="4"/>
      <c r="U126" s="117"/>
    </row>
    <row r="127" spans="1:21">
      <c r="A127" s="109"/>
      <c r="B127" s="145" t="s">
        <v>446</v>
      </c>
      <c r="C127" s="404" t="e">
        <f>+#REF!</f>
        <v>#REF!</v>
      </c>
      <c r="D127" s="148" t="s">
        <v>0</v>
      </c>
      <c r="E127" s="149"/>
      <c r="F127" s="11"/>
      <c r="G127" s="150" t="e">
        <f>+IF(G120&lt;=125,1,0)</f>
        <v>#REF!</v>
      </c>
      <c r="H127" s="151" t="e">
        <f>+IF(H120&lt;=125,1,0)</f>
        <v>#REF!</v>
      </c>
      <c r="I127" s="3"/>
      <c r="J127" s="4"/>
      <c r="R127" s="4"/>
      <c r="S127" s="4"/>
      <c r="T127" s="4"/>
      <c r="U127" s="117"/>
    </row>
    <row r="128" spans="1:21" ht="13.5" thickBot="1">
      <c r="A128" s="109"/>
      <c r="B128" s="145" t="s">
        <v>447</v>
      </c>
      <c r="C128" s="146" t="e">
        <f>+#REF!</f>
        <v>#REF!</v>
      </c>
      <c r="D128" s="148" t="s">
        <v>0</v>
      </c>
      <c r="G128" s="152" t="e">
        <f>+IF(G120&lt;=85,1,0)</f>
        <v>#REF!</v>
      </c>
      <c r="H128" s="153" t="e">
        <f>+IF(H120&lt;=85,1,0)</f>
        <v>#REF!</v>
      </c>
      <c r="I128" s="4"/>
      <c r="J128" s="4"/>
      <c r="R128" s="4"/>
      <c r="S128" s="4"/>
      <c r="T128" s="4"/>
      <c r="U128" s="117"/>
    </row>
    <row r="129" spans="1:21">
      <c r="A129" s="109"/>
      <c r="B129" s="145" t="s">
        <v>448</v>
      </c>
      <c r="C129" s="146">
        <v>0.4</v>
      </c>
      <c r="D129" s="148" t="s">
        <v>0</v>
      </c>
      <c r="E129" s="154" t="s">
        <v>319</v>
      </c>
      <c r="F129" s="155"/>
      <c r="G129" s="156" t="e">
        <f>+IF(C128&lt;=1,IF(C128&lt;=0.8,IF(C128&lt;=0.6,IF(C128&lt;=0.5,IF(C128&lt;=0.4,IF(C128&lt;=0.35,0.115,0.14),0.19),0.25),0.335),0.435),"NO")</f>
        <v>#REF!</v>
      </c>
      <c r="H129" s="4" t="e">
        <f>+IF(OR(C125-C124=1,C125-C124=1.1,C125-C124=1.2),8,IF(OR(C125-C124=0.9,C125-C124=0.8,C125-C124=0.7,C125-C124=0.6),4,0))</f>
        <v>#REF!</v>
      </c>
      <c r="I129" s="4" t="s">
        <v>322</v>
      </c>
      <c r="J129" s="4"/>
      <c r="R129" s="4"/>
      <c r="S129" s="4"/>
      <c r="T129" s="4"/>
      <c r="U129" s="117"/>
    </row>
    <row r="130" spans="1:21" ht="13.5" thickBot="1">
      <c r="A130" s="109"/>
      <c r="B130" s="157" t="s">
        <v>53</v>
      </c>
      <c r="C130" s="158">
        <v>7.4999999999999997E-2</v>
      </c>
      <c r="D130" s="159" t="s">
        <v>0</v>
      </c>
      <c r="E130" s="160" t="s">
        <v>473</v>
      </c>
      <c r="F130" s="161"/>
      <c r="G130" s="162">
        <v>16</v>
      </c>
      <c r="H130" s="149"/>
      <c r="J130" s="4"/>
      <c r="M130" s="406" t="e">
        <f>+N130</f>
        <v>#REF!</v>
      </c>
      <c r="N130" s="407" t="e">
        <f>+D138</f>
        <v>#REF!</v>
      </c>
      <c r="O130" s="408" t="e">
        <f>+P130</f>
        <v>#REF!</v>
      </c>
      <c r="P130" s="409" t="e">
        <f>+F138</f>
        <v>#REF!</v>
      </c>
      <c r="Q130" s="406">
        <v>0</v>
      </c>
      <c r="R130" s="407">
        <v>0</v>
      </c>
      <c r="S130" s="408">
        <v>0</v>
      </c>
      <c r="T130" s="409">
        <v>0</v>
      </c>
      <c r="U130" s="117"/>
    </row>
    <row r="131" spans="1:21" ht="13.5" thickBot="1">
      <c r="A131" s="109"/>
      <c r="E131" s="163" t="s">
        <v>472</v>
      </c>
      <c r="F131" s="164">
        <v>0</v>
      </c>
      <c r="G131" s="165" t="e">
        <f>+((ROUND(((M141-K141)/2-2*C130-C128/2)/0.3-0.3,0)+1)*2+(ROUND((K141-C128-2*C130)/0.3-0.3,0)+1)+(ROUND(((L141-J141)/2-2*C130-C128/2)/0.3-0.3,0)+1)*2+(ROUND((J141-C128-2*C130)/0.3-0.3,0)+1))*2</f>
        <v>#REF!</v>
      </c>
      <c r="I131" s="4"/>
      <c r="J131" s="4"/>
      <c r="M131" s="406" t="e">
        <f>+ROUND((J141-2*C128)/4+C128/2,1)</f>
        <v>#REF!</v>
      </c>
      <c r="N131" s="407" t="e">
        <f>+ROUND((J141-2*C128)/4+C128/2,1)</f>
        <v>#REF!</v>
      </c>
      <c r="O131" s="408" t="e">
        <f>+N131</f>
        <v>#REF!</v>
      </c>
      <c r="P131" s="409" t="e">
        <f>+ROUND((J141-2*C128)/4+C128/2,1)</f>
        <v>#REF!</v>
      </c>
      <c r="Q131" s="406" t="e">
        <f>+M131+0.5</f>
        <v>#REF!</v>
      </c>
      <c r="R131" s="407" t="e">
        <f>+Q131</f>
        <v>#REF!</v>
      </c>
      <c r="S131" s="408" t="e">
        <f>+M131-0.7</f>
        <v>#REF!</v>
      </c>
      <c r="T131" s="409" t="e">
        <f>+S131</f>
        <v>#REF!</v>
      </c>
      <c r="U131" s="117"/>
    </row>
    <row r="132" spans="1:21" ht="13.5" thickBot="1">
      <c r="A132" s="109"/>
      <c r="B132" s="4"/>
      <c r="C132" s="4"/>
      <c r="D132" s="4"/>
      <c r="E132" s="163" t="s">
        <v>471</v>
      </c>
      <c r="F132" s="164" t="e">
        <f>+IF(C127=0.7,20,IF(C127=0.8,28,IF(C127=1,36,IF(C127=1.1,40,IF(C127=1.2,44,"kiem tra")))))</f>
        <v>#REF!</v>
      </c>
      <c r="G132" s="169"/>
      <c r="H132" s="126"/>
      <c r="I132" s="126"/>
      <c r="J132" s="126"/>
      <c r="K132" s="126"/>
      <c r="L132" s="127"/>
      <c r="M132" s="1444" t="s">
        <v>326</v>
      </c>
      <c r="N132" s="1445"/>
      <c r="O132" s="1445"/>
      <c r="P132" s="1446"/>
      <c r="Q132" s="1444" t="s">
        <v>327</v>
      </c>
      <c r="R132" s="1445"/>
      <c r="S132" s="1445"/>
      <c r="T132" s="1446"/>
      <c r="U132" s="133"/>
    </row>
    <row r="133" spans="1:21" ht="13.5" thickBot="1">
      <c r="A133" s="109"/>
      <c r="B133" s="4"/>
      <c r="C133" s="4"/>
      <c r="D133" s="4"/>
      <c r="E133" s="4"/>
      <c r="F133" s="4"/>
      <c r="G133" s="1461" t="s">
        <v>313</v>
      </c>
      <c r="H133" s="1462"/>
      <c r="I133" s="1463"/>
      <c r="J133" s="1464" t="s">
        <v>435</v>
      </c>
      <c r="K133" s="1462"/>
      <c r="L133" s="1463"/>
      <c r="M133" s="1465" t="s">
        <v>313</v>
      </c>
      <c r="N133" s="1466"/>
      <c r="O133" s="1449" t="s">
        <v>435</v>
      </c>
      <c r="P133" s="1450"/>
      <c r="Q133" s="1457" t="s">
        <v>313</v>
      </c>
      <c r="R133" s="1458"/>
      <c r="S133" s="1447" t="s">
        <v>435</v>
      </c>
      <c r="T133" s="1448"/>
      <c r="U133" s="117"/>
    </row>
    <row r="134" spans="1:21">
      <c r="A134" s="170"/>
      <c r="B134" s="171" t="s">
        <v>458</v>
      </c>
      <c r="C134" s="171" t="s">
        <v>455</v>
      </c>
      <c r="D134" s="171" t="s">
        <v>454</v>
      </c>
      <c r="E134" s="171" t="s">
        <v>456</v>
      </c>
      <c r="F134" s="172" t="s">
        <v>457</v>
      </c>
      <c r="G134" s="173">
        <v>1</v>
      </c>
      <c r="H134" s="26">
        <v>2</v>
      </c>
      <c r="I134" s="174">
        <v>3</v>
      </c>
      <c r="J134" s="173">
        <v>1</v>
      </c>
      <c r="K134" s="26">
        <v>2</v>
      </c>
      <c r="L134" s="174">
        <v>3</v>
      </c>
      <c r="M134" s="173" t="s">
        <v>334</v>
      </c>
      <c r="N134" s="174" t="s">
        <v>335</v>
      </c>
      <c r="O134" s="154" t="s">
        <v>336</v>
      </c>
      <c r="P134" s="174" t="s">
        <v>337</v>
      </c>
      <c r="Q134" s="154" t="s">
        <v>338</v>
      </c>
      <c r="R134" s="175" t="s">
        <v>339</v>
      </c>
      <c r="S134" s="155" t="s">
        <v>338</v>
      </c>
      <c r="T134" s="175" t="s">
        <v>339</v>
      </c>
      <c r="U134" s="117"/>
    </row>
    <row r="135" spans="1:21">
      <c r="A135" s="176" t="s">
        <v>452</v>
      </c>
      <c r="B135" s="12" t="e">
        <f>+VALUE(MID(#REF!,4,2))</f>
        <v>#REF!</v>
      </c>
      <c r="C135" s="12" t="e">
        <f>MID(#REF!,4,2)</f>
        <v>#REF!</v>
      </c>
      <c r="D135" s="12" t="e">
        <f>+C135</f>
        <v>#REF!</v>
      </c>
      <c r="E135" s="12" t="e">
        <f>+C135</f>
        <v>#REF!</v>
      </c>
      <c r="F135" s="80" t="e">
        <f>+C135</f>
        <v>#REF!</v>
      </c>
      <c r="G135" s="177" t="e">
        <f>+VALUE(LEFT(#REF!,2))</f>
        <v>#REF!</v>
      </c>
      <c r="H135" s="27" t="e">
        <f>+VALUE(LEFT(#REF!,2))</f>
        <v>#REF!</v>
      </c>
      <c r="I135" s="178" t="e">
        <f>+H135</f>
        <v>#REF!</v>
      </c>
      <c r="J135" s="177" t="e">
        <f>+G135</f>
        <v>#REF!</v>
      </c>
      <c r="K135" s="27" t="e">
        <f>+H135</f>
        <v>#REF!</v>
      </c>
      <c r="L135" s="178" t="e">
        <f>+K135</f>
        <v>#REF!</v>
      </c>
      <c r="M135" s="177" t="e">
        <f>+G135</f>
        <v>#REF!</v>
      </c>
      <c r="N135" s="178" t="e">
        <f>+H135</f>
        <v>#REF!</v>
      </c>
      <c r="O135" s="179" t="e">
        <f>+J135</f>
        <v>#REF!</v>
      </c>
      <c r="P135" s="178" t="e">
        <f>+K135</f>
        <v>#REF!</v>
      </c>
      <c r="Q135" s="179" t="e">
        <f>+M135</f>
        <v>#REF!</v>
      </c>
      <c r="R135" s="180" t="e">
        <f>+N135</f>
        <v>#REF!</v>
      </c>
      <c r="S135" s="181" t="e">
        <f>+O135</f>
        <v>#REF!</v>
      </c>
      <c r="T135" s="178" t="e">
        <f>+P135</f>
        <v>#REF!</v>
      </c>
      <c r="U135" s="117"/>
    </row>
    <row r="136" spans="1:21">
      <c r="A136" s="182" t="s">
        <v>340</v>
      </c>
      <c r="B136" s="183" t="e">
        <f>+LEFT(#REF!,2)</f>
        <v>#REF!</v>
      </c>
      <c r="C136" s="183" t="e">
        <f>+LEFT(#REF!,2)-D136</f>
        <v>#REF!</v>
      </c>
      <c r="D136" s="184">
        <v>0</v>
      </c>
      <c r="E136" s="183" t="e">
        <f>+C136</f>
        <v>#REF!</v>
      </c>
      <c r="F136" s="185">
        <f>+D136</f>
        <v>0</v>
      </c>
      <c r="G136" s="177" t="e">
        <f>+G125</f>
        <v>#REF!</v>
      </c>
      <c r="H136" s="27" t="e">
        <f>+H125</f>
        <v>#REF!</v>
      </c>
      <c r="I136" s="178" t="e">
        <f>+H136</f>
        <v>#REF!</v>
      </c>
      <c r="J136" s="177" t="e">
        <f>+G126</f>
        <v>#REF!</v>
      </c>
      <c r="K136" s="27" t="e">
        <f>+H126</f>
        <v>#REF!</v>
      </c>
      <c r="L136" s="178" t="e">
        <f>+K136</f>
        <v>#REF!</v>
      </c>
      <c r="M136" s="186"/>
      <c r="N136" s="178"/>
      <c r="O136" s="187"/>
      <c r="P136" s="178"/>
      <c r="Q136" s="187"/>
      <c r="R136" s="180"/>
      <c r="S136" s="188"/>
      <c r="T136" s="178"/>
      <c r="U136" s="117"/>
    </row>
    <row r="137" spans="1:21">
      <c r="A137" s="1459" t="s">
        <v>341</v>
      </c>
      <c r="B137" s="189" t="e">
        <f>+B136*4-4</f>
        <v>#REF!</v>
      </c>
      <c r="C137" s="189" t="e">
        <f>+C136*2</f>
        <v>#REF!</v>
      </c>
      <c r="D137" s="189">
        <f>+D136*2</f>
        <v>0</v>
      </c>
      <c r="E137" s="189" t="e">
        <f>+E136*2</f>
        <v>#REF!</v>
      </c>
      <c r="F137" s="190">
        <f>+F136*2</f>
        <v>0</v>
      </c>
      <c r="G137" s="177" t="e">
        <f>+ROUND(((C122-C121)/2-G129-C130)/G136,0)+1</f>
        <v>#REF!</v>
      </c>
      <c r="H137" s="27" t="e">
        <f>+ROUND(((C121-C123)/2-G129-C130)/H136,0)+1</f>
        <v>#REF!</v>
      </c>
      <c r="I137" s="178" t="e">
        <f>+ROUND((C123+2*C130)/I136,0)-1</f>
        <v>#REF!</v>
      </c>
      <c r="J137" s="177" t="e">
        <f>+ROUND(((E122-E121)/2-G129-C130)/J136,0)+1</f>
        <v>#REF!</v>
      </c>
      <c r="K137" s="27" t="e">
        <f>+ROUND(((E121-E123)/2-G129-C130)/K136,0)+1</f>
        <v>#REF!</v>
      </c>
      <c r="L137" s="178" t="e">
        <f>+ROUND((E123+2*C130)/L136,0)-1</f>
        <v>#REF!</v>
      </c>
      <c r="M137" s="186" t="e">
        <f>+(G137-1)*2*G127</f>
        <v>#REF!</v>
      </c>
      <c r="N137" s="178" t="e">
        <f>+((I137+1)+(H137-1)*2)*H127</f>
        <v>#REF!</v>
      </c>
      <c r="O137" s="187" t="e">
        <f>+(J137-1)*2*G127</f>
        <v>#REF!</v>
      </c>
      <c r="P137" s="178" t="e">
        <f>+((L137+1)+(K137-1)*2)*H127</f>
        <v>#REF!</v>
      </c>
      <c r="Q137" s="187" t="e">
        <f>+(G137-1)*2*G128</f>
        <v>#REF!</v>
      </c>
      <c r="R137" s="180" t="e">
        <f>+((I137+1)+(H137-1)*2)*H128</f>
        <v>#REF!</v>
      </c>
      <c r="S137" s="188" t="e">
        <f>+(J137-1)*2*G128</f>
        <v>#REF!</v>
      </c>
      <c r="T137" s="178" t="e">
        <f>+((L137+1)+(K137-1)*2)*H128</f>
        <v>#REF!</v>
      </c>
      <c r="U137" s="117"/>
    </row>
    <row r="138" spans="1:21">
      <c r="A138" s="1460"/>
      <c r="B138" s="191"/>
      <c r="C138" s="192" t="s">
        <v>342</v>
      </c>
      <c r="D138" s="193" t="e">
        <f>+ROUND(#REF!/2,1)+0.3</f>
        <v>#REF!</v>
      </c>
      <c r="E138" s="191"/>
      <c r="F138" s="194" t="e">
        <f>+ROUND(#REF!/2,1)+0.3</f>
        <v>#REF!</v>
      </c>
      <c r="G138" s="195" t="e">
        <f>+G137-1</f>
        <v>#REF!</v>
      </c>
      <c r="H138" s="191" t="e">
        <f>+H137-1</f>
        <v>#REF!</v>
      </c>
      <c r="I138" s="196"/>
      <c r="J138" s="195" t="e">
        <f>+J137-1</f>
        <v>#REF!</v>
      </c>
      <c r="K138" s="191" t="e">
        <f>+K137-1</f>
        <v>#REF!</v>
      </c>
      <c r="L138" s="196"/>
      <c r="M138" s="197" t="e">
        <f t="shared" ref="M138:T138" si="13">+M137</f>
        <v>#REF!</v>
      </c>
      <c r="N138" s="198" t="e">
        <f t="shared" si="13"/>
        <v>#REF!</v>
      </c>
      <c r="O138" s="199" t="e">
        <f t="shared" si="13"/>
        <v>#REF!</v>
      </c>
      <c r="P138" s="198" t="e">
        <f t="shared" si="13"/>
        <v>#REF!</v>
      </c>
      <c r="Q138" s="199" t="e">
        <f t="shared" si="13"/>
        <v>#REF!</v>
      </c>
      <c r="R138" s="200" t="e">
        <f t="shared" si="13"/>
        <v>#REF!</v>
      </c>
      <c r="S138" s="201" t="e">
        <f t="shared" si="13"/>
        <v>#REF!</v>
      </c>
      <c r="T138" s="198" t="e">
        <f t="shared" si="13"/>
        <v>#REF!</v>
      </c>
      <c r="U138" s="117"/>
    </row>
    <row r="139" spans="1:21" ht="13.5" thickBot="1">
      <c r="A139" s="202" t="s">
        <v>343</v>
      </c>
      <c r="B139" s="203" t="e">
        <f>+C126-2*C130+0.25</f>
        <v>#REF!</v>
      </c>
      <c r="C139" s="203" t="e">
        <f>+E122-2*C130</f>
        <v>#REF!</v>
      </c>
      <c r="D139" s="203" t="e">
        <f>+D138*2+C121</f>
        <v>#REF!</v>
      </c>
      <c r="E139" s="203" t="e">
        <f>+C122-2*C130</f>
        <v>#REF!</v>
      </c>
      <c r="F139" s="204" t="e">
        <f>+F138*2+C121</f>
        <v>#REF!</v>
      </c>
      <c r="G139" s="205" t="e">
        <f>+C139</f>
        <v>#REF!</v>
      </c>
      <c r="H139" s="206" t="e">
        <f>+G139</f>
        <v>#REF!</v>
      </c>
      <c r="I139" s="207" t="e">
        <f>+(E122/2-E123/2-2*C130)</f>
        <v>#REF!</v>
      </c>
      <c r="J139" s="205" t="e">
        <f>+E139</f>
        <v>#REF!</v>
      </c>
      <c r="K139" s="206" t="e">
        <f>+J139</f>
        <v>#REF!</v>
      </c>
      <c r="L139" s="207" t="e">
        <f>+(C122/2-C123/2-2*C130)</f>
        <v>#REF!</v>
      </c>
      <c r="M139" s="208" t="e">
        <f>+N139</f>
        <v>#REF!</v>
      </c>
      <c r="N139" s="209" t="e">
        <f>+N130+N131</f>
        <v>#REF!</v>
      </c>
      <c r="O139" s="208" t="e">
        <f>+P139</f>
        <v>#REF!</v>
      </c>
      <c r="P139" s="209" t="e">
        <f>+P130+P131</f>
        <v>#REF!</v>
      </c>
      <c r="Q139" s="210"/>
      <c r="R139" s="211"/>
      <c r="S139" s="212"/>
      <c r="T139" s="209"/>
      <c r="U139" s="117"/>
    </row>
    <row r="140" spans="1:21" ht="15.5" thickBot="1">
      <c r="A140" s="105"/>
      <c r="B140" s="63"/>
      <c r="C140" s="63"/>
      <c r="D140" s="63"/>
      <c r="E140" s="63"/>
      <c r="F140" s="63"/>
      <c r="G140" s="4"/>
      <c r="H140" s="4"/>
      <c r="I140" s="4"/>
      <c r="J140" s="4"/>
      <c r="K140" s="4"/>
      <c r="L140" s="4"/>
      <c r="M140" s="4"/>
      <c r="N140" s="4"/>
      <c r="O140" s="213"/>
      <c r="Q140" s="214"/>
      <c r="S140" s="214"/>
      <c r="T140" s="4"/>
      <c r="U140" s="117"/>
    </row>
    <row r="141" spans="1:21" ht="15.5" thickBot="1">
      <c r="A141" s="215" t="s">
        <v>442</v>
      </c>
      <c r="B141" s="216"/>
      <c r="C141" s="216"/>
      <c r="D141" s="216"/>
      <c r="E141" s="216"/>
      <c r="F141" s="216"/>
      <c r="G141" s="217"/>
      <c r="H141" s="4"/>
      <c r="I141" s="218" t="s">
        <v>302</v>
      </c>
      <c r="J141" s="219" t="e">
        <f>+C121</f>
        <v>#REF!</v>
      </c>
      <c r="K141" s="219" t="e">
        <f>+E121</f>
        <v>#REF!</v>
      </c>
      <c r="L141" s="220" t="e">
        <f>+C122</f>
        <v>#REF!</v>
      </c>
      <c r="M141" s="221" t="e">
        <f>+E122</f>
        <v>#REF!</v>
      </c>
      <c r="N141" s="222"/>
      <c r="Q141" s="129"/>
      <c r="T141" s="4"/>
      <c r="U141" s="117"/>
    </row>
    <row r="142" spans="1:21" ht="13.5" thickBot="1">
      <c r="A142" s="223"/>
      <c r="B142" s="224" t="s">
        <v>345</v>
      </c>
      <c r="C142" s="224" t="s">
        <v>346</v>
      </c>
      <c r="D142" s="224" t="s">
        <v>347</v>
      </c>
      <c r="E142" s="224" t="s">
        <v>348</v>
      </c>
      <c r="F142" s="225" t="s">
        <v>349</v>
      </c>
      <c r="G142" s="226" t="s">
        <v>350</v>
      </c>
      <c r="H142" s="227" t="s">
        <v>140</v>
      </c>
      <c r="I142" s="228" t="s">
        <v>451</v>
      </c>
      <c r="J142" s="224" t="s">
        <v>452</v>
      </c>
      <c r="K142" s="224" t="s">
        <v>352</v>
      </c>
      <c r="L142" s="224" t="s">
        <v>353</v>
      </c>
      <c r="M142" s="226" t="s">
        <v>354</v>
      </c>
      <c r="N142" s="229"/>
      <c r="O142" s="229"/>
      <c r="P142" s="4"/>
      <c r="Q142" s="4"/>
      <c r="R142" s="4"/>
      <c r="S142" s="4"/>
      <c r="T142" s="4"/>
      <c r="U142" s="117"/>
    </row>
    <row r="143" spans="1:21">
      <c r="A143" s="230" t="s">
        <v>355</v>
      </c>
      <c r="B143" s="231" t="e">
        <f>L141</f>
        <v>#REF!</v>
      </c>
      <c r="C143" s="231" t="e">
        <f>M141</f>
        <v>#REF!</v>
      </c>
      <c r="D143" s="231" t="e">
        <f>+C123</f>
        <v>#REF!</v>
      </c>
      <c r="E143" s="231" t="e">
        <f>+E123</f>
        <v>#REF!</v>
      </c>
      <c r="F143" s="231" t="e">
        <f>+C124</f>
        <v>#REF!</v>
      </c>
      <c r="G143" s="232" t="e">
        <f>(B143*C143-D143*E143)*F143</f>
        <v>#REF!</v>
      </c>
      <c r="H143" s="233"/>
      <c r="I143" s="234">
        <v>1</v>
      </c>
      <c r="J143" s="235" t="e">
        <f>+B135</f>
        <v>#REF!</v>
      </c>
      <c r="K143" s="236" t="e">
        <f>+B139</f>
        <v>#REF!</v>
      </c>
      <c r="L143" s="237" t="e">
        <f>+B137*4</f>
        <v>#REF!</v>
      </c>
      <c r="M143" s="238" t="e">
        <f t="shared" ref="M143:M168" si="14">K143*L143</f>
        <v>#REF!</v>
      </c>
      <c r="N143" s="239"/>
      <c r="O143" s="239"/>
      <c r="P143" s="3" t="s">
        <v>463</v>
      </c>
      <c r="Q143" s="4"/>
      <c r="R143" s="4"/>
      <c r="S143" s="4"/>
      <c r="T143" s="4"/>
      <c r="U143" s="117"/>
    </row>
    <row r="144" spans="1:21">
      <c r="A144" s="240" t="s">
        <v>357</v>
      </c>
      <c r="B144" s="241" t="e">
        <f>+C128</f>
        <v>#REF!</v>
      </c>
      <c r="C144" s="242" t="e">
        <f>F144-F143</f>
        <v>#REF!</v>
      </c>
      <c r="D144" s="242" t="e">
        <f>B143</f>
        <v>#REF!</v>
      </c>
      <c r="E144" s="242" t="e">
        <f>C143</f>
        <v>#REF!</v>
      </c>
      <c r="F144" s="241" t="e">
        <f>+C125</f>
        <v>#REF!</v>
      </c>
      <c r="G144" s="243" t="e">
        <f>(B144*C144*D144*2)+(B144*C144*(E144-B144*2))*2</f>
        <v>#REF!</v>
      </c>
      <c r="H144" s="244"/>
      <c r="I144" s="245">
        <v>2</v>
      </c>
      <c r="J144" s="241" t="e">
        <f>C135</f>
        <v>#REF!</v>
      </c>
      <c r="K144" s="246" t="e">
        <f>+C139</f>
        <v>#REF!</v>
      </c>
      <c r="L144" s="247" t="e">
        <f>+C137*2</f>
        <v>#REF!</v>
      </c>
      <c r="M144" s="248" t="e">
        <f t="shared" si="14"/>
        <v>#REF!</v>
      </c>
      <c r="N144" s="239"/>
      <c r="O144" s="239"/>
      <c r="P144" s="3" t="s">
        <v>464</v>
      </c>
      <c r="Q144" s="4"/>
      <c r="R144" s="4"/>
      <c r="S144" s="4"/>
      <c r="T144" s="4"/>
      <c r="U144" s="117"/>
    </row>
    <row r="145" spans="1:21">
      <c r="A145" s="240" t="s">
        <v>359</v>
      </c>
      <c r="B145" s="241">
        <f>+C129</f>
        <v>0.4</v>
      </c>
      <c r="C145" s="241">
        <f>B145</f>
        <v>0.4</v>
      </c>
      <c r="D145" s="241" t="e">
        <f>C144</f>
        <v>#REF!</v>
      </c>
      <c r="E145" s="241"/>
      <c r="F145" s="241"/>
      <c r="G145" s="243" t="e">
        <f>((B145*C145)/2)*D145*16</f>
        <v>#REF!</v>
      </c>
      <c r="H145" s="244"/>
      <c r="I145" s="245" t="s">
        <v>360</v>
      </c>
      <c r="J145" s="249" t="e">
        <f>+D135</f>
        <v>#REF!</v>
      </c>
      <c r="K145" s="250" t="e">
        <f>+D139</f>
        <v>#REF!</v>
      </c>
      <c r="L145" s="251">
        <f>+D137*2</f>
        <v>0</v>
      </c>
      <c r="M145" s="252" t="e">
        <f t="shared" si="14"/>
        <v>#REF!</v>
      </c>
      <c r="N145" s="253" t="e">
        <f>+M145+M147</f>
        <v>#REF!</v>
      </c>
      <c r="O145" s="254">
        <f>+L145+L147</f>
        <v>0</v>
      </c>
      <c r="P145" s="3" t="s">
        <v>361</v>
      </c>
      <c r="Q145" s="4"/>
      <c r="R145" s="4"/>
      <c r="S145" s="4"/>
      <c r="T145" s="4"/>
      <c r="U145" s="117"/>
    </row>
    <row r="146" spans="1:21" ht="13.5" thickBot="1">
      <c r="A146" s="255" t="s">
        <v>453</v>
      </c>
      <c r="B146" s="256" t="e">
        <f>+C127</f>
        <v>#REF!</v>
      </c>
      <c r="C146" s="256" t="e">
        <f>B146</f>
        <v>#REF!</v>
      </c>
      <c r="D146" s="256"/>
      <c r="E146" s="256"/>
      <c r="F146" s="257" t="e">
        <f>C126-(C144+F143)</f>
        <v>#REF!</v>
      </c>
      <c r="G146" s="258" t="e">
        <f>B146*C146*F146*4</f>
        <v>#REF!</v>
      </c>
      <c r="H146" s="244"/>
      <c r="I146" s="245" t="e">
        <f>+IF(OR(K146=0,L146=0),0,IF(I144=0,I143+1,I144+1))</f>
        <v>#REF!</v>
      </c>
      <c r="J146" s="241" t="e">
        <f>E135</f>
        <v>#REF!</v>
      </c>
      <c r="K146" s="246" t="e">
        <f>+E139</f>
        <v>#REF!</v>
      </c>
      <c r="L146" s="247" t="e">
        <f>+E137*2</f>
        <v>#REF!</v>
      </c>
      <c r="M146" s="248" t="e">
        <f t="shared" si="14"/>
        <v>#REF!</v>
      </c>
      <c r="N146" s="239"/>
      <c r="O146" s="239"/>
      <c r="P146" s="3"/>
      <c r="Q146" s="4"/>
      <c r="R146" s="4"/>
      <c r="S146" s="4"/>
      <c r="T146" s="4"/>
      <c r="U146" s="117"/>
    </row>
    <row r="147" spans="1:21" ht="13.5" thickBot="1">
      <c r="A147" s="259" t="s">
        <v>364</v>
      </c>
      <c r="B147" s="260"/>
      <c r="C147" s="260"/>
      <c r="D147" s="260"/>
      <c r="E147" s="260"/>
      <c r="F147" s="260"/>
      <c r="G147" s="261" t="e">
        <f>SUM(G143:G146)</f>
        <v>#REF!</v>
      </c>
      <c r="I147" s="245" t="s">
        <v>363</v>
      </c>
      <c r="J147" s="262" t="e">
        <f>+F135</f>
        <v>#REF!</v>
      </c>
      <c r="K147" s="263" t="e">
        <f>+F139</f>
        <v>#REF!</v>
      </c>
      <c r="L147" s="264">
        <f>+F137*2</f>
        <v>0</v>
      </c>
      <c r="M147" s="265" t="e">
        <f t="shared" si="14"/>
        <v>#REF!</v>
      </c>
      <c r="N147" s="266"/>
      <c r="O147" s="267"/>
      <c r="R147" s="4"/>
      <c r="S147" s="4"/>
      <c r="T147" s="4"/>
      <c r="U147" s="117"/>
    </row>
    <row r="148" spans="1:21" ht="16.5" customHeight="1" thickBot="1">
      <c r="A148" s="268" t="s">
        <v>365</v>
      </c>
      <c r="B148" s="269" t="e">
        <f>B143+0.1*2</f>
        <v>#REF!</v>
      </c>
      <c r="C148" s="224" t="e">
        <f>C143+0.1*2</f>
        <v>#REF!</v>
      </c>
      <c r="D148" s="224" t="e">
        <f>D143-0.1*2</f>
        <v>#REF!</v>
      </c>
      <c r="E148" s="224" t="e">
        <f>E143-0.1*2</f>
        <v>#REF!</v>
      </c>
      <c r="F148" s="226">
        <v>0.1</v>
      </c>
      <c r="G148" s="270" t="e">
        <f>(B148*C148-D148*E148)*F148</f>
        <v>#REF!</v>
      </c>
      <c r="H148" s="1451">
        <v>4</v>
      </c>
      <c r="I148" s="245">
        <v>4</v>
      </c>
      <c r="J148" s="271" t="e">
        <f>+G135</f>
        <v>#REF!</v>
      </c>
      <c r="K148" s="272" t="e">
        <f>+G139</f>
        <v>#REF!</v>
      </c>
      <c r="L148" s="273" t="e">
        <f>+(G138+G137)*2+G130</f>
        <v>#REF!</v>
      </c>
      <c r="M148" s="274" t="e">
        <f t="shared" si="14"/>
        <v>#REF!</v>
      </c>
      <c r="N148" s="253" t="e">
        <f>+M148+M149</f>
        <v>#REF!</v>
      </c>
      <c r="O148" s="254" t="e">
        <f>+L148+L149</f>
        <v>#REF!</v>
      </c>
      <c r="P148" s="275" t="s">
        <v>366</v>
      </c>
      <c r="Q148" s="276"/>
      <c r="R148" s="4"/>
      <c r="S148" s="4"/>
      <c r="T148" s="4"/>
      <c r="U148" s="117"/>
    </row>
    <row r="149" spans="1:21" ht="16.5" customHeight="1" thickBot="1">
      <c r="A149" s="277" t="s">
        <v>367</v>
      </c>
      <c r="B149" s="278" t="e">
        <f>B143+F149*2</f>
        <v>#REF!</v>
      </c>
      <c r="C149" s="278" t="e">
        <f>C143+F149*2</f>
        <v>#REF!</v>
      </c>
      <c r="D149" s="278" t="e">
        <f>B149+F149*2</f>
        <v>#REF!</v>
      </c>
      <c r="E149" s="278" t="e">
        <f>C149+F149*2</f>
        <v>#REF!</v>
      </c>
      <c r="F149" s="279" t="e">
        <f>+#REF!</f>
        <v>#REF!</v>
      </c>
      <c r="G149" s="280" t="e">
        <f>F149/6*((B149*C149)+(B149+D149)*(C149+E149)+(D149*E149))</f>
        <v>#REF!</v>
      </c>
      <c r="H149" s="1452"/>
      <c r="I149" s="245" t="s">
        <v>368</v>
      </c>
      <c r="J149" s="281" t="e">
        <f>+H135</f>
        <v>#REF!</v>
      </c>
      <c r="K149" s="282" t="e">
        <f>+H139</f>
        <v>#REF!</v>
      </c>
      <c r="L149" s="283" t="e">
        <f>+(H138+H137)*2</f>
        <v>#REF!</v>
      </c>
      <c r="M149" s="284" t="e">
        <f t="shared" si="14"/>
        <v>#REF!</v>
      </c>
      <c r="N149" s="266"/>
      <c r="O149" s="267"/>
      <c r="P149" s="275" t="s">
        <v>369</v>
      </c>
      <c r="Q149" s="276"/>
      <c r="R149" s="4"/>
      <c r="S149" s="4"/>
      <c r="T149" s="4"/>
      <c r="U149" s="117"/>
    </row>
    <row r="150" spans="1:21" ht="15" customHeight="1" thickBot="1">
      <c r="A150" s="285" t="s">
        <v>370</v>
      </c>
      <c r="B150" s="224" t="e">
        <f>B149</f>
        <v>#REF!</v>
      </c>
      <c r="C150" s="224" t="e">
        <f>C149</f>
        <v>#REF!</v>
      </c>
      <c r="D150" s="224" t="e">
        <f>B150+F150*2</f>
        <v>#REF!</v>
      </c>
      <c r="E150" s="224" t="e">
        <f>C150+F150*2</f>
        <v>#REF!</v>
      </c>
      <c r="F150" s="226" t="e">
        <f>+C126+F149+F148</f>
        <v>#REF!</v>
      </c>
      <c r="G150" s="286" t="e">
        <f>F150/6*((B150*C150)+(B150+D150)*(C150+E150)+(D150*E150))</f>
        <v>#REF!</v>
      </c>
      <c r="H150" s="1452"/>
      <c r="I150" s="245" t="s">
        <v>371</v>
      </c>
      <c r="J150" s="4" t="e">
        <f>+M135</f>
        <v>#REF!</v>
      </c>
      <c r="K150" s="246" t="e">
        <f>+M139</f>
        <v>#REF!</v>
      </c>
      <c r="L150" s="287" t="e">
        <f>+(M137+M138)*2</f>
        <v>#REF!</v>
      </c>
      <c r="M150" s="248" t="e">
        <f t="shared" si="14"/>
        <v>#REF!</v>
      </c>
      <c r="N150" s="253" t="e">
        <f>+M150+M151</f>
        <v>#REF!</v>
      </c>
      <c r="O150" s="254" t="e">
        <f>+L150+L151</f>
        <v>#REF!</v>
      </c>
      <c r="P150" s="288" t="s">
        <v>372</v>
      </c>
      <c r="Q150" s="289"/>
      <c r="R150" s="4"/>
      <c r="S150" s="4"/>
      <c r="T150" s="4"/>
      <c r="U150" s="117"/>
    </row>
    <row r="151" spans="1:21" ht="15" customHeight="1" thickBot="1">
      <c r="A151" s="290" t="s">
        <v>373</v>
      </c>
      <c r="B151" s="291" t="e">
        <f>B143</f>
        <v>#REF!</v>
      </c>
      <c r="C151" s="291" t="e">
        <f>C143</f>
        <v>#REF!</v>
      </c>
      <c r="D151" s="292" t="e">
        <f>B151+F151*2</f>
        <v>#REF!</v>
      </c>
      <c r="E151" s="292" t="e">
        <f>C151+F151*2</f>
        <v>#REF!</v>
      </c>
      <c r="F151" s="292">
        <v>0.5</v>
      </c>
      <c r="G151" s="286" t="e">
        <f>(F151/6*((B151*C151)+(B151+D151)*(C151+E151)+(D151*E151)))-(B146*C146*F151*4)</f>
        <v>#REF!</v>
      </c>
      <c r="H151" s="1452"/>
      <c r="I151" s="245" t="s">
        <v>374</v>
      </c>
      <c r="J151" s="27" t="e">
        <f>+N135</f>
        <v>#REF!</v>
      </c>
      <c r="K151" s="246" t="e">
        <f>+N139</f>
        <v>#REF!</v>
      </c>
      <c r="L151" s="247" t="e">
        <f>+(N137+N138)*2</f>
        <v>#REF!</v>
      </c>
      <c r="M151" s="248" t="e">
        <f t="shared" si="14"/>
        <v>#REF!</v>
      </c>
      <c r="N151" s="267"/>
      <c r="O151" s="267"/>
      <c r="P151" s="288" t="s">
        <v>375</v>
      </c>
      <c r="Q151" s="4"/>
      <c r="R151" s="4"/>
      <c r="S151" s="4"/>
      <c r="T151" s="4"/>
      <c r="U151" s="117"/>
    </row>
    <row r="152" spans="1:21" ht="16.5" customHeight="1" thickBot="1">
      <c r="A152" s="290" t="s">
        <v>376</v>
      </c>
      <c r="B152" s="292"/>
      <c r="C152" s="292"/>
      <c r="D152" s="292"/>
      <c r="E152" s="292"/>
      <c r="F152" s="292"/>
      <c r="G152" s="293" t="e">
        <f>G150-G149-G148-G147+G151+(B146*C146*(1-F151)*4)</f>
        <v>#REF!</v>
      </c>
      <c r="H152" s="1452"/>
      <c r="I152" s="245" t="s">
        <v>377</v>
      </c>
      <c r="J152" s="27" t="e">
        <f>+Q135</f>
        <v>#REF!</v>
      </c>
      <c r="K152" s="294">
        <f>+Q139</f>
        <v>0</v>
      </c>
      <c r="L152" s="247" t="e">
        <f>+(Q137+Q138)*2</f>
        <v>#REF!</v>
      </c>
      <c r="M152" s="248" t="e">
        <f t="shared" si="14"/>
        <v>#REF!</v>
      </c>
      <c r="N152" s="266"/>
      <c r="O152" s="267"/>
      <c r="P152" s="288" t="s">
        <v>378</v>
      </c>
      <c r="Q152" s="295"/>
      <c r="R152" s="4"/>
      <c r="S152" s="4"/>
      <c r="T152" s="4"/>
      <c r="U152" s="117"/>
    </row>
    <row r="153" spans="1:21" ht="15.75" customHeight="1">
      <c r="A153" s="296"/>
      <c r="B153" s="229"/>
      <c r="C153" s="229"/>
      <c r="D153" s="229"/>
      <c r="E153" s="229"/>
      <c r="F153" s="229"/>
      <c r="G153" s="297"/>
      <c r="H153" s="1453"/>
      <c r="I153" s="245" t="s">
        <v>379</v>
      </c>
      <c r="J153" s="27" t="e">
        <f>+R135</f>
        <v>#REF!</v>
      </c>
      <c r="K153" s="294">
        <f>+R139</f>
        <v>0</v>
      </c>
      <c r="L153" s="247" t="e">
        <f>+(R137+R138)*2</f>
        <v>#REF!</v>
      </c>
      <c r="M153" s="248" t="e">
        <f t="shared" si="14"/>
        <v>#REF!</v>
      </c>
      <c r="N153" s="266"/>
      <c r="O153" s="267"/>
      <c r="P153" s="288" t="s">
        <v>380</v>
      </c>
      <c r="Q153" s="295"/>
      <c r="R153" s="4"/>
      <c r="S153" s="4"/>
      <c r="T153" s="4"/>
      <c r="U153" s="117"/>
    </row>
    <row r="154" spans="1:21" ht="16.5" customHeight="1" thickBot="1">
      <c r="A154" s="298" t="s">
        <v>450</v>
      </c>
      <c r="B154" s="4"/>
      <c r="C154" s="4"/>
      <c r="D154" s="4"/>
      <c r="E154" s="4"/>
      <c r="F154" s="4"/>
      <c r="G154" s="289"/>
      <c r="H154" s="1454">
        <v>5</v>
      </c>
      <c r="I154" s="245">
        <v>5</v>
      </c>
      <c r="J154" s="271" t="e">
        <f>+J135</f>
        <v>#REF!</v>
      </c>
      <c r="K154" s="272" t="e">
        <f>+J139</f>
        <v>#REF!</v>
      </c>
      <c r="L154" s="273" t="e">
        <f>+(J138+J137)*2+G130</f>
        <v>#REF!</v>
      </c>
      <c r="M154" s="274" t="e">
        <f t="shared" si="14"/>
        <v>#REF!</v>
      </c>
      <c r="N154" s="253" t="e">
        <f>+M154+M155</f>
        <v>#REF!</v>
      </c>
      <c r="O154" s="254" t="e">
        <f>+L154+L155</f>
        <v>#REF!</v>
      </c>
      <c r="P154" s="275" t="s">
        <v>386</v>
      </c>
      <c r="Q154" s="276"/>
      <c r="R154" s="4"/>
      <c r="S154" s="4"/>
      <c r="T154" s="4"/>
      <c r="U154" s="117"/>
    </row>
    <row r="155" spans="1:21" ht="16.5" customHeight="1" thickBot="1">
      <c r="A155" s="299" t="s">
        <v>452</v>
      </c>
      <c r="B155" s="300" t="s">
        <v>352</v>
      </c>
      <c r="C155" s="300" t="s">
        <v>383</v>
      </c>
      <c r="D155" s="300" t="s">
        <v>384</v>
      </c>
      <c r="E155" s="301" t="s">
        <v>354</v>
      </c>
      <c r="F155" s="302" t="s">
        <v>449</v>
      </c>
      <c r="G155" s="289"/>
      <c r="H155" s="1455"/>
      <c r="I155" s="245" t="s">
        <v>510</v>
      </c>
      <c r="J155" s="281" t="e">
        <f>+K135</f>
        <v>#REF!</v>
      </c>
      <c r="K155" s="282" t="e">
        <f>+K139</f>
        <v>#REF!</v>
      </c>
      <c r="L155" s="283" t="e">
        <f>+(K138+K137)*2</f>
        <v>#REF!</v>
      </c>
      <c r="M155" s="284" t="e">
        <f t="shared" si="14"/>
        <v>#REF!</v>
      </c>
      <c r="N155" s="266"/>
      <c r="O155" s="267"/>
      <c r="P155" s="275" t="s">
        <v>387</v>
      </c>
      <c r="Q155" s="276"/>
      <c r="R155" s="4"/>
      <c r="S155" s="4"/>
      <c r="T155" s="4"/>
      <c r="U155" s="117"/>
    </row>
    <row r="156" spans="1:21" ht="16.5" customHeight="1" thickBot="1">
      <c r="A156" s="233">
        <v>25</v>
      </c>
      <c r="B156" s="303">
        <f t="shared" ref="B156:B164" si="15">+SUMIF($J$143:$J$168,A156,$M$143:$M$168)</f>
        <v>0</v>
      </c>
      <c r="C156" s="304">
        <f>+ROUND(A156^2*3.14/1000000*7850/4,3)</f>
        <v>3.851</v>
      </c>
      <c r="D156" s="305">
        <f t="shared" ref="D156:D164" si="16">+ROUND(B156*C156,2)</f>
        <v>0</v>
      </c>
      <c r="E156" s="306" t="e">
        <f>+SUM(D156:D164)</f>
        <v>#REF!</v>
      </c>
      <c r="F156" s="131" t="e">
        <f>+E156/G147</f>
        <v>#REF!</v>
      </c>
      <c r="G156" s="4"/>
      <c r="H156" s="1455"/>
      <c r="I156" s="245" t="s">
        <v>506</v>
      </c>
      <c r="J156" s="27" t="e">
        <f>+O135</f>
        <v>#REF!</v>
      </c>
      <c r="K156" s="294" t="e">
        <f>+O139</f>
        <v>#REF!</v>
      </c>
      <c r="L156" s="307" t="e">
        <f>+(O137+O138)*2</f>
        <v>#REF!</v>
      </c>
      <c r="M156" s="248" t="e">
        <f t="shared" si="14"/>
        <v>#REF!</v>
      </c>
      <c r="N156" s="253" t="e">
        <f>+M156+M157</f>
        <v>#REF!</v>
      </c>
      <c r="O156" s="254" t="e">
        <f>+L156+L157</f>
        <v>#REF!</v>
      </c>
      <c r="P156" s="288" t="s">
        <v>372</v>
      </c>
      <c r="Q156" s="276"/>
      <c r="R156" s="4"/>
      <c r="S156" s="4"/>
      <c r="T156" s="4"/>
      <c r="U156" s="117"/>
    </row>
    <row r="157" spans="1:21" ht="15.75" customHeight="1">
      <c r="A157" s="177">
        <v>22</v>
      </c>
      <c r="B157" s="308">
        <f t="shared" si="15"/>
        <v>0</v>
      </c>
      <c r="C157" s="309">
        <f t="shared" ref="C157:C164" si="17">+ROUND(A157^2*3.14/1000000*7850/4,3)</f>
        <v>2.9830000000000001</v>
      </c>
      <c r="D157" s="310">
        <f t="shared" si="16"/>
        <v>0</v>
      </c>
      <c r="E157" s="178"/>
      <c r="F157" s="4"/>
      <c r="G157" s="4"/>
      <c r="H157" s="1455"/>
      <c r="I157" s="245" t="s">
        <v>507</v>
      </c>
      <c r="J157" s="27" t="e">
        <f>+P135</f>
        <v>#REF!</v>
      </c>
      <c r="K157" s="294" t="e">
        <f>+P139</f>
        <v>#REF!</v>
      </c>
      <c r="L157" s="247" t="e">
        <f>+(P137+P138)*2</f>
        <v>#REF!</v>
      </c>
      <c r="M157" s="248" t="e">
        <f t="shared" si="14"/>
        <v>#REF!</v>
      </c>
      <c r="N157" s="267"/>
      <c r="O157" s="267"/>
      <c r="P157" s="288" t="s">
        <v>375</v>
      </c>
      <c r="Q157" s="276"/>
      <c r="R157" s="4"/>
      <c r="S157" s="4"/>
      <c r="T157" s="4"/>
      <c r="U157" s="117"/>
    </row>
    <row r="158" spans="1:21" ht="15.75" customHeight="1">
      <c r="A158" s="177">
        <v>20</v>
      </c>
      <c r="B158" s="308">
        <f t="shared" si="15"/>
        <v>0</v>
      </c>
      <c r="C158" s="309">
        <f t="shared" si="17"/>
        <v>2.4649999999999999</v>
      </c>
      <c r="D158" s="310">
        <f t="shared" si="16"/>
        <v>0</v>
      </c>
      <c r="E158" s="178"/>
      <c r="F158" s="9"/>
      <c r="G158" s="4"/>
      <c r="H158" s="1455"/>
      <c r="I158" s="245" t="s">
        <v>508</v>
      </c>
      <c r="J158" s="27" t="e">
        <f>+S135</f>
        <v>#REF!</v>
      </c>
      <c r="K158" s="294">
        <f>+S139</f>
        <v>0</v>
      </c>
      <c r="L158" s="247" t="e">
        <f>+(S137+S138)*2</f>
        <v>#REF!</v>
      </c>
      <c r="M158" s="248" t="e">
        <f t="shared" si="14"/>
        <v>#REF!</v>
      </c>
      <c r="N158" s="4"/>
      <c r="O158" s="4"/>
      <c r="P158" s="288" t="s">
        <v>378</v>
      </c>
      <c r="Q158" s="4"/>
      <c r="R158" s="4"/>
      <c r="S158" s="4"/>
      <c r="T158" s="4"/>
      <c r="U158" s="117"/>
    </row>
    <row r="159" spans="1:21" ht="15.75" customHeight="1">
      <c r="A159" s="177">
        <v>18</v>
      </c>
      <c r="B159" s="308">
        <f t="shared" si="15"/>
        <v>0</v>
      </c>
      <c r="C159" s="309">
        <f t="shared" si="17"/>
        <v>1.9970000000000001</v>
      </c>
      <c r="D159" s="310">
        <f t="shared" si="16"/>
        <v>0</v>
      </c>
      <c r="E159" s="178"/>
      <c r="F159" s="4"/>
      <c r="G159" s="4"/>
      <c r="H159" s="1456"/>
      <c r="I159" s="245" t="s">
        <v>509</v>
      </c>
      <c r="J159" s="27" t="e">
        <f>+T135</f>
        <v>#REF!</v>
      </c>
      <c r="K159" s="294">
        <f>+T139</f>
        <v>0</v>
      </c>
      <c r="L159" s="247" t="e">
        <f>+(T137+T138)*2</f>
        <v>#REF!</v>
      </c>
      <c r="M159" s="248" t="e">
        <f t="shared" si="14"/>
        <v>#REF!</v>
      </c>
      <c r="N159" s="4"/>
      <c r="O159" s="4"/>
      <c r="P159" s="288" t="s">
        <v>380</v>
      </c>
      <c r="Q159" s="276"/>
      <c r="R159" s="4"/>
      <c r="S159" s="4"/>
      <c r="T159" s="4"/>
      <c r="U159" s="117"/>
    </row>
    <row r="160" spans="1:21">
      <c r="A160" s="177">
        <v>16</v>
      </c>
      <c r="B160" s="308">
        <f t="shared" si="15"/>
        <v>0</v>
      </c>
      <c r="C160" s="309">
        <f t="shared" si="17"/>
        <v>1.5780000000000001</v>
      </c>
      <c r="D160" s="310">
        <f>+ROUND(B160*C160,2)</f>
        <v>0</v>
      </c>
      <c r="E160" s="178"/>
      <c r="F160" s="9"/>
      <c r="G160" s="4"/>
      <c r="H160" s="244"/>
      <c r="I160" s="245">
        <v>6</v>
      </c>
      <c r="J160" s="241" t="e">
        <f>+I135</f>
        <v>#REF!</v>
      </c>
      <c r="K160" s="246" t="e">
        <f>+I139</f>
        <v>#REF!</v>
      </c>
      <c r="L160" s="247" t="e">
        <f>+I137*4</f>
        <v>#REF!</v>
      </c>
      <c r="M160" s="248" t="e">
        <f t="shared" si="14"/>
        <v>#REF!</v>
      </c>
      <c r="N160" s="4"/>
      <c r="O160" s="4"/>
      <c r="P160" s="275" t="s">
        <v>382</v>
      </c>
      <c r="Q160" s="276"/>
      <c r="R160" s="4"/>
      <c r="S160" s="4"/>
      <c r="T160" s="4"/>
      <c r="U160" s="117"/>
    </row>
    <row r="161" spans="1:21">
      <c r="A161" s="177">
        <v>14</v>
      </c>
      <c r="B161" s="308">
        <f t="shared" si="15"/>
        <v>0</v>
      </c>
      <c r="C161" s="309">
        <f t="shared" si="17"/>
        <v>1.208</v>
      </c>
      <c r="D161" s="310">
        <f t="shared" si="16"/>
        <v>0</v>
      </c>
      <c r="E161" s="178"/>
      <c r="F161" s="9"/>
      <c r="G161" s="4"/>
      <c r="H161" s="244"/>
      <c r="I161" s="245">
        <v>7</v>
      </c>
      <c r="J161" s="27" t="e">
        <f>+L135</f>
        <v>#REF!</v>
      </c>
      <c r="K161" s="246" t="e">
        <f>+L139</f>
        <v>#REF!</v>
      </c>
      <c r="L161" s="247" t="e">
        <f>+L137*4</f>
        <v>#REF!</v>
      </c>
      <c r="M161" s="248" t="e">
        <f t="shared" si="14"/>
        <v>#REF!</v>
      </c>
      <c r="N161" s="4"/>
      <c r="O161" s="4"/>
      <c r="P161" s="275" t="s">
        <v>391</v>
      </c>
      <c r="R161" s="4"/>
      <c r="S161" s="4"/>
      <c r="T161" s="4"/>
      <c r="U161" s="117"/>
    </row>
    <row r="162" spans="1:21">
      <c r="A162" s="177">
        <v>12</v>
      </c>
      <c r="B162" s="308">
        <f t="shared" si="15"/>
        <v>0</v>
      </c>
      <c r="C162" s="309">
        <f t="shared" si="17"/>
        <v>0.88700000000000001</v>
      </c>
      <c r="D162" s="310">
        <f t="shared" si="16"/>
        <v>0</v>
      </c>
      <c r="E162" s="178"/>
      <c r="F162" s="4"/>
      <c r="G162" s="4"/>
      <c r="H162" s="244"/>
      <c r="I162" s="245">
        <v>8</v>
      </c>
      <c r="J162" s="27">
        <v>10</v>
      </c>
      <c r="K162" s="246" t="e">
        <f>+C124-2*C130-2*G135/1000+0.1</f>
        <v>#REF!</v>
      </c>
      <c r="L162" s="247" t="e">
        <f>+ROUND(G137/2-0.5,0)*ROUND(J137/2-0.5,0)*4+ROUND(G137/2-0.5,0)*ROUND(K137/2-0.5,0)*4+ROUND(H137/2-0.5,0)*ROUND(J137/2-0.5,0)*4+ROUND(H137/2-0.5,0)*ROUND(K137/2-0.5,0)*4+ROUND(I137/2-0.5,0)*(ROUND(J137/2-0.5,0)+ROUND(K137/2-0.5,0))*2+ROUND(L137/2-0.5,0)*(ROUND(G137/2-0.5,0)+ROUND(H137/2-0.5,0))*2</f>
        <v>#REF!</v>
      </c>
      <c r="M162" s="248" t="e">
        <f t="shared" si="14"/>
        <v>#REF!</v>
      </c>
      <c r="N162" s="81" t="e">
        <f>+C124-2*C130-2*G135/1000</f>
        <v>#REF!</v>
      </c>
      <c r="O162" s="4"/>
      <c r="P162" s="275" t="s">
        <v>392</v>
      </c>
      <c r="Q162" s="276"/>
      <c r="R162" s="4"/>
      <c r="S162" s="4"/>
      <c r="T162" s="4"/>
      <c r="U162" s="117"/>
    </row>
    <row r="163" spans="1:21" ht="15.75" customHeight="1">
      <c r="A163" s="177">
        <v>10</v>
      </c>
      <c r="B163" s="308" t="e">
        <f t="shared" si="15"/>
        <v>#REF!</v>
      </c>
      <c r="C163" s="309">
        <f t="shared" si="17"/>
        <v>0.61599999999999999</v>
      </c>
      <c r="D163" s="405" t="e">
        <f>+ROUND(B163*C163,2)+D166</f>
        <v>#REF!</v>
      </c>
      <c r="E163" s="178"/>
      <c r="F163" s="11"/>
      <c r="G163" s="4"/>
      <c r="H163" s="1454">
        <v>9</v>
      </c>
      <c r="I163" s="245">
        <v>9</v>
      </c>
      <c r="J163" s="311">
        <v>10</v>
      </c>
      <c r="K163" s="246" t="e">
        <f>+(C128-2*C130+0.02)*2+(C125-2*C130+0.02)*2+0.06*2</f>
        <v>#REF!</v>
      </c>
      <c r="L163" s="312" t="e">
        <f>+G131</f>
        <v>#REF!</v>
      </c>
      <c r="M163" s="248" t="e">
        <f t="shared" si="14"/>
        <v>#REF!</v>
      </c>
      <c r="N163" s="81" t="e">
        <f>+(C128-2*C130+0.02)</f>
        <v>#REF!</v>
      </c>
      <c r="O163" s="12" t="e">
        <f>+(C125-2*C130+0.02)</f>
        <v>#REF!</v>
      </c>
      <c r="P163" s="275" t="s">
        <v>469</v>
      </c>
      <c r="Q163" s="276"/>
      <c r="R163" s="4"/>
      <c r="S163" s="4"/>
      <c r="T163" s="4"/>
      <c r="U163" s="117"/>
    </row>
    <row r="164" spans="1:21" ht="16.5" customHeight="1" thickBot="1">
      <c r="A164" s="313">
        <v>8</v>
      </c>
      <c r="B164" s="314">
        <f t="shared" si="15"/>
        <v>0</v>
      </c>
      <c r="C164" s="315">
        <f t="shared" si="17"/>
        <v>0.39400000000000002</v>
      </c>
      <c r="D164" s="316">
        <f t="shared" si="16"/>
        <v>0</v>
      </c>
      <c r="E164" s="317"/>
      <c r="F164" s="4"/>
      <c r="G164" s="4"/>
      <c r="H164" s="1455"/>
      <c r="I164" s="245" t="s">
        <v>394</v>
      </c>
      <c r="J164" s="311">
        <v>10</v>
      </c>
      <c r="K164" s="246" t="e">
        <f>+O164*2+N164*2+0.2</f>
        <v>#REF!</v>
      </c>
      <c r="L164" s="312" t="e">
        <f>+L163-12*4</f>
        <v>#REF!</v>
      </c>
      <c r="M164" s="248" t="e">
        <f t="shared" si="14"/>
        <v>#REF!</v>
      </c>
      <c r="N164" s="321">
        <v>0.35</v>
      </c>
      <c r="O164" s="12" t="e">
        <f>+(C125-2*C130+0.02)</f>
        <v>#REF!</v>
      </c>
      <c r="P164" s="275" t="s">
        <v>470</v>
      </c>
      <c r="Q164" s="276"/>
      <c r="R164" s="4"/>
      <c r="S164" s="4"/>
      <c r="T164" s="4"/>
      <c r="U164" s="117"/>
    </row>
    <row r="165" spans="1:21" ht="16.5" customHeight="1">
      <c r="A165" s="109"/>
      <c r="B165" s="318"/>
      <c r="C165" s="318"/>
      <c r="D165" s="129"/>
      <c r="E165" s="319"/>
      <c r="F165" s="4"/>
      <c r="G165" s="4"/>
      <c r="H165" s="1456"/>
      <c r="I165" s="245" t="s">
        <v>396</v>
      </c>
      <c r="J165" s="311">
        <v>10</v>
      </c>
      <c r="K165" s="246" t="e">
        <f>+N165+O165</f>
        <v>#REF!</v>
      </c>
      <c r="L165" s="312" t="e">
        <f>+L164*2</f>
        <v>#REF!</v>
      </c>
      <c r="M165" s="248" t="e">
        <f t="shared" si="14"/>
        <v>#REF!</v>
      </c>
      <c r="N165" s="81" t="e">
        <f>+N163+0.04</f>
        <v>#REF!</v>
      </c>
      <c r="O165" s="12">
        <f>2*0.06</f>
        <v>0.12</v>
      </c>
      <c r="P165" s="275" t="s">
        <v>468</v>
      </c>
      <c r="Q165" s="276"/>
      <c r="R165" s="4"/>
      <c r="S165" s="4"/>
      <c r="T165" s="4"/>
      <c r="U165" s="117"/>
    </row>
    <row r="166" spans="1:21">
      <c r="A166" s="109"/>
      <c r="B166" s="4"/>
      <c r="C166" s="4"/>
      <c r="D166" s="9">
        <v>100</v>
      </c>
      <c r="E166" s="4"/>
      <c r="F166" s="4"/>
      <c r="G166" s="4"/>
      <c r="H166" s="244"/>
      <c r="I166" s="245">
        <v>10</v>
      </c>
      <c r="J166" s="311">
        <v>10</v>
      </c>
      <c r="K166" s="246" t="e">
        <f>+(C127-2*C130+0.02)*4+0.06*2</f>
        <v>#REF!</v>
      </c>
      <c r="L166" s="320" t="e">
        <f>+(ROUND((C126-0.175)/0.25-0.5,0)+2)*4</f>
        <v>#REF!</v>
      </c>
      <c r="M166" s="248" t="e">
        <f t="shared" si="14"/>
        <v>#REF!</v>
      </c>
      <c r="N166" s="81" t="e">
        <f>+C127-2*C130+0.02</f>
        <v>#REF!</v>
      </c>
      <c r="O166" s="12"/>
      <c r="P166" s="4"/>
      <c r="Q166" s="276"/>
      <c r="R166" s="4"/>
      <c r="S166" s="4"/>
      <c r="T166" s="4"/>
      <c r="U166" s="117"/>
    </row>
    <row r="167" spans="1:21">
      <c r="A167" s="109"/>
      <c r="B167" s="4"/>
      <c r="C167" s="4"/>
      <c r="D167" s="9"/>
      <c r="E167" s="4"/>
      <c r="F167" s="4"/>
      <c r="G167" s="4"/>
      <c r="H167" s="244"/>
      <c r="I167" s="245">
        <v>11</v>
      </c>
      <c r="J167" s="311">
        <v>10</v>
      </c>
      <c r="K167" s="246">
        <f>N167*4+O167*4+0.06*2</f>
        <v>3.72</v>
      </c>
      <c r="L167" s="247" t="e">
        <f>+L166-4*2</f>
        <v>#REF!</v>
      </c>
      <c r="M167" s="248" t="e">
        <f t="shared" si="14"/>
        <v>#REF!</v>
      </c>
      <c r="N167" s="321">
        <v>0.9</v>
      </c>
      <c r="O167" s="322">
        <v>0</v>
      </c>
      <c r="P167" s="4"/>
      <c r="Q167" s="4"/>
      <c r="R167" s="4"/>
      <c r="S167" s="4"/>
      <c r="T167" s="4"/>
      <c r="U167" s="117"/>
    </row>
    <row r="168" spans="1:21" ht="13.5" thickBot="1">
      <c r="A168" s="109"/>
      <c r="B168" s="4"/>
      <c r="C168" s="4"/>
      <c r="D168" s="4"/>
      <c r="E168" s="4"/>
      <c r="F168" s="4"/>
      <c r="G168" s="4"/>
      <c r="H168" s="323"/>
      <c r="I168" s="324">
        <v>12</v>
      </c>
      <c r="J168" s="28">
        <v>10</v>
      </c>
      <c r="K168" s="325" t="e">
        <f>+N168+2*O168</f>
        <v>#REF!</v>
      </c>
      <c r="L168" s="326" t="e">
        <f>+F132*4</f>
        <v>#REF!</v>
      </c>
      <c r="M168" s="327" t="e">
        <f t="shared" si="14"/>
        <v>#REF!</v>
      </c>
      <c r="N168" s="328" t="e">
        <f>+C127-2*C130+0.035*2</f>
        <v>#REF!</v>
      </c>
      <c r="O168" s="329">
        <v>0.06</v>
      </c>
      <c r="P168" s="4"/>
      <c r="Q168" s="4"/>
      <c r="R168" s="4"/>
      <c r="S168" s="4"/>
      <c r="T168" s="4"/>
      <c r="U168" s="117"/>
    </row>
    <row r="169" spans="1:21">
      <c r="A169" s="109"/>
      <c r="B169" s="4"/>
      <c r="C169" s="4"/>
      <c r="D169" s="4"/>
      <c r="E169" s="4"/>
      <c r="F169" s="4"/>
      <c r="G169" s="4"/>
      <c r="R169" s="4"/>
      <c r="S169" s="4"/>
      <c r="T169" s="4"/>
      <c r="U169" s="117"/>
    </row>
    <row r="170" spans="1:21">
      <c r="A170" s="109"/>
      <c r="B170" s="239"/>
      <c r="C170" s="318"/>
      <c r="D170" s="129"/>
      <c r="E170" s="4"/>
      <c r="F170" s="4"/>
      <c r="G170" s="4"/>
      <c r="H170" s="229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117"/>
    </row>
    <row r="171" spans="1:21">
      <c r="A171" s="109"/>
      <c r="B171" s="4"/>
      <c r="C171" s="4"/>
      <c r="D171" s="4"/>
      <c r="E171" s="4"/>
      <c r="F171" s="4"/>
      <c r="G171" s="4"/>
      <c r="H171" s="229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117"/>
    </row>
    <row r="172" spans="1:21">
      <c r="A172" s="109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117"/>
    </row>
    <row r="173" spans="1:21">
      <c r="A173" s="330" t="s">
        <v>398</v>
      </c>
      <c r="B173" s="399" t="e">
        <f>+#REF!</f>
        <v>#REF!</v>
      </c>
      <c r="C173" s="399" t="e">
        <f>+#REF!</f>
        <v>#REF!</v>
      </c>
      <c r="D173" s="331" t="e">
        <f>+C126-C124</f>
        <v>#REF!</v>
      </c>
      <c r="E173" s="189"/>
      <c r="F173" s="189"/>
      <c r="G173" s="400" t="e">
        <f>+(B173*B173+C173*C173+(B173+C173)*(B173+C173))*D173/6*4</f>
        <v>#REF!</v>
      </c>
      <c r="H173" s="229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117"/>
    </row>
    <row r="174" spans="1:21">
      <c r="A174" s="240" t="s">
        <v>466</v>
      </c>
      <c r="B174" s="242"/>
      <c r="C174" s="242"/>
      <c r="D174" s="242"/>
      <c r="E174" s="242"/>
      <c r="F174" s="242"/>
      <c r="G174" s="401" t="e">
        <f>+G143</f>
        <v>#REF!</v>
      </c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117"/>
    </row>
    <row r="175" spans="1:21">
      <c r="A175" s="332" t="s">
        <v>467</v>
      </c>
      <c r="B175" s="27" t="e">
        <f>+B144</f>
        <v>#REF!</v>
      </c>
      <c r="C175" s="333" t="e">
        <f>+C144</f>
        <v>#REF!</v>
      </c>
      <c r="D175" s="333" t="e">
        <f>+D144</f>
        <v>#REF!</v>
      </c>
      <c r="E175" s="333" t="e">
        <f>+E144</f>
        <v>#REF!</v>
      </c>
      <c r="F175" s="311">
        <v>0.3</v>
      </c>
      <c r="G175" s="402" t="e">
        <f>+(B175*C175*(D175-2*C173)+B175*C175*(E175-2*C173))*2</f>
        <v>#REF!</v>
      </c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117"/>
    </row>
    <row r="176" spans="1:21">
      <c r="A176" s="334"/>
      <c r="B176" s="191"/>
      <c r="C176" s="191"/>
      <c r="D176" s="191"/>
      <c r="E176" s="191"/>
      <c r="F176" s="191"/>
      <c r="G176" s="403" t="e">
        <f>+F175*C175/2*B175*8</f>
        <v>#REF!</v>
      </c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117"/>
    </row>
    <row r="177" spans="1:21">
      <c r="A177" s="109"/>
      <c r="B177" s="4"/>
      <c r="C177" s="4"/>
      <c r="D177" s="4"/>
      <c r="E177" s="4"/>
      <c r="F177" s="4" t="s">
        <v>401</v>
      </c>
      <c r="G177" s="129" t="e">
        <f>+SUM(G173:G176)</f>
        <v>#REF!</v>
      </c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117"/>
    </row>
    <row r="178" spans="1:21">
      <c r="A178" s="109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117"/>
    </row>
  </sheetData>
  <mergeCells count="12">
    <mergeCell ref="H163:H165"/>
    <mergeCell ref="Q133:R133"/>
    <mergeCell ref="A137:A138"/>
    <mergeCell ref="G133:I133"/>
    <mergeCell ref="J133:L133"/>
    <mergeCell ref="M133:N133"/>
    <mergeCell ref="H154:H159"/>
    <mergeCell ref="M132:P132"/>
    <mergeCell ref="Q132:T132"/>
    <mergeCell ref="S133:T133"/>
    <mergeCell ref="O133:P133"/>
    <mergeCell ref="H148:H153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T74"/>
  <sheetViews>
    <sheetView topLeftCell="A22" workbookViewId="0">
      <selection activeCell="F132" sqref="F132"/>
    </sheetView>
  </sheetViews>
  <sheetFormatPr defaultColWidth="9.09765625" defaultRowHeight="13"/>
  <cols>
    <col min="1" max="1" width="9.09765625" style="2"/>
    <col min="2" max="2" width="6" style="2" customWidth="1"/>
    <col min="3" max="3" width="3.09765625" style="2" customWidth="1"/>
    <col min="4" max="4" width="6.59765625" style="2" customWidth="1"/>
    <col min="5" max="5" width="2.3984375" style="10" customWidth="1"/>
    <col min="6" max="6" width="5" style="10" customWidth="1"/>
    <col min="7" max="7" width="2.3984375" style="10" customWidth="1"/>
    <col min="8" max="9" width="2.59765625" style="2" customWidth="1"/>
    <col min="10" max="10" width="2.8984375" style="2" customWidth="1"/>
    <col min="11" max="11" width="4.09765625" style="2" customWidth="1"/>
    <col min="12" max="12" width="5.296875" style="2" customWidth="1"/>
    <col min="13" max="13" width="12.8984375" style="2" customWidth="1"/>
    <col min="14" max="14" width="12.69921875" style="2" customWidth="1"/>
    <col min="15" max="15" width="13" style="2" customWidth="1"/>
    <col min="16" max="16" width="4.59765625" style="2" customWidth="1"/>
    <col min="17" max="17" width="4.8984375" style="2" customWidth="1"/>
    <col min="18" max="18" width="12.59765625" style="2" customWidth="1"/>
    <col min="19" max="19" width="12.296875" style="2" customWidth="1"/>
    <col min="20" max="20" width="17.296875" style="2" customWidth="1"/>
    <col min="21" max="21" width="11" style="2" customWidth="1"/>
    <col min="22" max="22" width="9.09765625" style="2"/>
    <col min="23" max="24" width="12" style="2" customWidth="1"/>
    <col min="25" max="27" width="16.09765625" style="2" customWidth="1"/>
    <col min="28" max="28" width="13.69921875" style="2" customWidth="1"/>
    <col min="29" max="29" width="13.59765625" style="2" customWidth="1"/>
    <col min="30" max="16384" width="9.09765625" style="2"/>
  </cols>
  <sheetData>
    <row r="1" spans="2:20" ht="16.5" customHeight="1">
      <c r="Q1" s="365"/>
      <c r="R1" s="365"/>
      <c r="S1" s="365"/>
    </row>
    <row r="2" spans="2:20" ht="30" customHeight="1">
      <c r="B2" s="1498" t="e">
        <f>+"BẢNG KÊ THÉP MÓNG  MB"&amp;Tra!C121&amp;"-"&amp;Tra!C122&amp;"x"&amp;Tra!E122</f>
        <v>#REF!</v>
      </c>
      <c r="C2" s="1498"/>
      <c r="D2" s="1498"/>
      <c r="E2" s="1498"/>
      <c r="F2" s="1498"/>
      <c r="G2" s="1498"/>
      <c r="H2" s="1498"/>
      <c r="I2" s="1498"/>
      <c r="J2" s="1498"/>
      <c r="K2" s="1498"/>
      <c r="L2" s="1498"/>
      <c r="M2" s="1498"/>
      <c r="N2" s="1498"/>
      <c r="O2" s="1498"/>
      <c r="P2" s="1498"/>
      <c r="Q2" s="1498"/>
      <c r="R2" s="1498"/>
      <c r="S2" s="1498"/>
      <c r="T2" s="1498"/>
    </row>
    <row r="3" spans="2:20" ht="20.25" customHeight="1">
      <c r="B3" s="1494" t="s">
        <v>500</v>
      </c>
      <c r="C3" s="1495" t="s">
        <v>501</v>
      </c>
      <c r="D3" s="1495"/>
      <c r="E3" s="1495"/>
      <c r="F3" s="1495"/>
      <c r="G3" s="1495"/>
      <c r="H3" s="1495"/>
      <c r="I3" s="1495"/>
      <c r="J3" s="1495"/>
      <c r="K3" s="1494" t="s">
        <v>503</v>
      </c>
      <c r="L3" s="1494"/>
      <c r="M3" s="1494" t="s">
        <v>504</v>
      </c>
      <c r="N3" s="1482" t="s">
        <v>502</v>
      </c>
      <c r="O3" s="1494" t="s">
        <v>505</v>
      </c>
      <c r="P3" s="1504" t="s">
        <v>513</v>
      </c>
      <c r="Q3" s="1505"/>
      <c r="R3" s="1505"/>
      <c r="S3" s="1505"/>
      <c r="T3" s="1506"/>
    </row>
    <row r="4" spans="2:20" ht="46.5" customHeight="1">
      <c r="B4" s="1494"/>
      <c r="C4" s="1495"/>
      <c r="D4" s="1495"/>
      <c r="E4" s="1495"/>
      <c r="F4" s="1495"/>
      <c r="G4" s="1495"/>
      <c r="H4" s="1495"/>
      <c r="I4" s="1495"/>
      <c r="J4" s="1495"/>
      <c r="K4" s="1494"/>
      <c r="L4" s="1494"/>
      <c r="M4" s="1494"/>
      <c r="N4" s="1482"/>
      <c r="O4" s="1494"/>
      <c r="P4" s="1507" t="s">
        <v>503</v>
      </c>
      <c r="Q4" s="1508"/>
      <c r="R4" s="394" t="s">
        <v>514</v>
      </c>
      <c r="S4" s="387" t="s">
        <v>511</v>
      </c>
      <c r="T4" s="387" t="s">
        <v>512</v>
      </c>
    </row>
    <row r="5" spans="2:20" ht="9" customHeight="1">
      <c r="B5" s="1475">
        <f>+Tra!I143</f>
        <v>1</v>
      </c>
      <c r="C5" s="367"/>
      <c r="D5" s="368"/>
      <c r="E5" s="369"/>
      <c r="F5" s="369"/>
      <c r="G5" s="369"/>
      <c r="H5" s="368"/>
      <c r="I5" s="368"/>
      <c r="J5" s="370"/>
      <c r="K5" s="1476" t="e">
        <f>+Tra!J143</f>
        <v>#REF!</v>
      </c>
      <c r="L5" s="1489" t="e">
        <f>+IF(K5&gt;=12,"AIII","AI")</f>
        <v>#REF!</v>
      </c>
      <c r="M5" s="1475" t="e">
        <f>+D6+C6</f>
        <v>#REF!</v>
      </c>
      <c r="N5" s="1472" t="e">
        <f>+Tra!L143</f>
        <v>#REF!</v>
      </c>
      <c r="O5" s="1474" t="e">
        <f>+N5*M5/1000</f>
        <v>#REF!</v>
      </c>
      <c r="P5" s="1476">
        <v>25</v>
      </c>
      <c r="Q5" s="1489" t="str">
        <f>+IF(P5&gt;=12,"AIII","AI")</f>
        <v>AIII</v>
      </c>
      <c r="R5" s="1501">
        <f>+SUMIF($K$5:$K$66,P5,$O$5:$O$66)</f>
        <v>0</v>
      </c>
      <c r="S5" s="1501">
        <f>+ROUND(ROUND(P5^2*3.14/4/1000000*7850,3)*R5,2)</f>
        <v>0</v>
      </c>
      <c r="T5" s="1501" t="e">
        <f>+SUM(S5:S17)</f>
        <v>#REF!</v>
      </c>
    </row>
    <row r="6" spans="2:20" ht="18.75" customHeight="1">
      <c r="B6" s="1470"/>
      <c r="C6" s="371">
        <v>250</v>
      </c>
      <c r="D6" s="1491" t="e">
        <f>+Tra!K143*1000-C6</f>
        <v>#REF!</v>
      </c>
      <c r="E6" s="1492"/>
      <c r="F6" s="1492"/>
      <c r="G6" s="1492"/>
      <c r="H6" s="1492"/>
      <c r="I6" s="1492"/>
      <c r="J6" s="376"/>
      <c r="K6" s="1477"/>
      <c r="L6" s="1509"/>
      <c r="M6" s="1470"/>
      <c r="N6" s="1487"/>
      <c r="O6" s="1467"/>
      <c r="P6" s="1477"/>
      <c r="Q6" s="1509"/>
      <c r="R6" s="1503"/>
      <c r="S6" s="1503"/>
      <c r="T6" s="1503"/>
    </row>
    <row r="7" spans="2:20" ht="9" customHeight="1">
      <c r="B7" s="1471"/>
      <c r="C7" s="372"/>
      <c r="D7" s="373"/>
      <c r="E7" s="374"/>
      <c r="F7" s="374"/>
      <c r="G7" s="374"/>
      <c r="H7" s="373"/>
      <c r="I7" s="373"/>
      <c r="J7" s="375"/>
      <c r="K7" s="1478"/>
      <c r="L7" s="1490"/>
      <c r="M7" s="1471"/>
      <c r="N7" s="1473"/>
      <c r="O7" s="1468"/>
      <c r="P7" s="1478"/>
      <c r="Q7" s="1490"/>
      <c r="R7" s="1502"/>
      <c r="S7" s="1502"/>
      <c r="T7" s="1503"/>
    </row>
    <row r="8" spans="2:20" ht="17.25" customHeight="1">
      <c r="B8" s="1470">
        <f>+Tra!I144</f>
        <v>2</v>
      </c>
      <c r="C8" s="367"/>
      <c r="D8" s="1488" t="e">
        <f>+Tra!K144*1000</f>
        <v>#REF!</v>
      </c>
      <c r="E8" s="1488"/>
      <c r="F8" s="1488"/>
      <c r="G8" s="1488"/>
      <c r="H8" s="1488"/>
      <c r="I8" s="1488"/>
      <c r="J8" s="370"/>
      <c r="K8" s="1477" t="e">
        <f>+Tra!J144</f>
        <v>#REF!</v>
      </c>
      <c r="L8" s="1489" t="e">
        <f>+IF(K8&gt;=12,"AIII","AI")</f>
        <v>#REF!</v>
      </c>
      <c r="M8" s="1470" t="e">
        <f>+D8</f>
        <v>#REF!</v>
      </c>
      <c r="N8" s="1472" t="e">
        <f>+Tra!L144</f>
        <v>#REF!</v>
      </c>
      <c r="O8" s="1467" t="e">
        <f>+N8*M8/1000</f>
        <v>#REF!</v>
      </c>
      <c r="P8" s="1499">
        <v>16</v>
      </c>
      <c r="Q8" s="1500" t="str">
        <f>+IF(P8&gt;=12,"AIII","AI")</f>
        <v>AIII</v>
      </c>
      <c r="R8" s="1501">
        <f>+SUMIF($K$5:$K$66,P8,$O$5:$O$66)</f>
        <v>0</v>
      </c>
      <c r="S8" s="1501">
        <f>+ROUND(ROUND(P8^2*3.14/4/1000000*7850,3)*R8,2)</f>
        <v>0</v>
      </c>
      <c r="T8" s="388"/>
    </row>
    <row r="9" spans="2:20" ht="9.75" customHeight="1">
      <c r="B9" s="1471"/>
      <c r="C9" s="372"/>
      <c r="D9" s="373"/>
      <c r="E9" s="374"/>
      <c r="F9" s="374"/>
      <c r="G9" s="374"/>
      <c r="H9" s="373"/>
      <c r="I9" s="373"/>
      <c r="J9" s="375"/>
      <c r="K9" s="1478"/>
      <c r="L9" s="1490"/>
      <c r="M9" s="1471"/>
      <c r="N9" s="1487"/>
      <c r="O9" s="1468"/>
      <c r="P9" s="1499"/>
      <c r="Q9" s="1500"/>
      <c r="R9" s="1502"/>
      <c r="S9" s="1502"/>
      <c r="T9" s="388"/>
    </row>
    <row r="10" spans="2:20" ht="17.25" customHeight="1">
      <c r="B10" s="1470" t="str">
        <f>+Tra!I145</f>
        <v>2a</v>
      </c>
      <c r="C10" s="367"/>
      <c r="D10" s="1488" t="e">
        <f>+Tra!K145*1000</f>
        <v>#REF!</v>
      </c>
      <c r="E10" s="1488"/>
      <c r="F10" s="1488"/>
      <c r="G10" s="1488"/>
      <c r="H10" s="1488"/>
      <c r="I10" s="1488"/>
      <c r="J10" s="370"/>
      <c r="K10" s="1477" t="e">
        <f>+Tra!J145</f>
        <v>#REF!</v>
      </c>
      <c r="L10" s="1489" t="e">
        <f>+IF(K10&gt;=12,"AIII","AI")</f>
        <v>#REF!</v>
      </c>
      <c r="M10" s="1470" t="e">
        <f>+D10</f>
        <v>#REF!</v>
      </c>
      <c r="N10" s="1472">
        <f>+Tra!L145</f>
        <v>0</v>
      </c>
      <c r="O10" s="1467" t="e">
        <f>+N10*M10/1000</f>
        <v>#REF!</v>
      </c>
      <c r="P10" s="1499">
        <v>14</v>
      </c>
      <c r="Q10" s="1500" t="str">
        <f>+IF(P10&gt;=12,"AIII","AI")</f>
        <v>AIII</v>
      </c>
      <c r="R10" s="1501">
        <f>+SUMIF($K$5:$K$66,P10,$O$5:$O$66)</f>
        <v>0</v>
      </c>
      <c r="S10" s="1501">
        <f>+ROUND(ROUND(P10^2*3.14/4/1000000*7850,3)*R10,2)</f>
        <v>0</v>
      </c>
      <c r="T10" s="388"/>
    </row>
    <row r="11" spans="2:20" ht="9.75" customHeight="1">
      <c r="B11" s="1471"/>
      <c r="C11" s="372"/>
      <c r="D11" s="373"/>
      <c r="E11" s="374"/>
      <c r="F11" s="374"/>
      <c r="G11" s="374"/>
      <c r="H11" s="373"/>
      <c r="I11" s="373"/>
      <c r="J11" s="375"/>
      <c r="K11" s="1478"/>
      <c r="L11" s="1490"/>
      <c r="M11" s="1471"/>
      <c r="N11" s="1487"/>
      <c r="O11" s="1468"/>
      <c r="P11" s="1499"/>
      <c r="Q11" s="1500"/>
      <c r="R11" s="1502"/>
      <c r="S11" s="1502"/>
      <c r="T11" s="388"/>
    </row>
    <row r="12" spans="2:20" ht="17.25" customHeight="1">
      <c r="B12" s="1470" t="e">
        <f>+Tra!I146</f>
        <v>#REF!</v>
      </c>
      <c r="C12" s="367"/>
      <c r="D12" s="1488" t="e">
        <f>+Tra!K146*1000</f>
        <v>#REF!</v>
      </c>
      <c r="E12" s="1488"/>
      <c r="F12" s="1488"/>
      <c r="G12" s="1488"/>
      <c r="H12" s="1488"/>
      <c r="I12" s="1488"/>
      <c r="J12" s="370"/>
      <c r="K12" s="1477" t="e">
        <f>+Tra!J146</f>
        <v>#REF!</v>
      </c>
      <c r="L12" s="1489" t="e">
        <f>+IF(K12&gt;=12,"AIII","AI")</f>
        <v>#REF!</v>
      </c>
      <c r="M12" s="1470" t="e">
        <f>+D12</f>
        <v>#REF!</v>
      </c>
      <c r="N12" s="1472" t="e">
        <f>+Tra!L146</f>
        <v>#REF!</v>
      </c>
      <c r="O12" s="1467" t="e">
        <f>+N12*M12/1000</f>
        <v>#REF!</v>
      </c>
      <c r="P12" s="1499">
        <v>12</v>
      </c>
      <c r="Q12" s="1500" t="str">
        <f>+IF(P12&gt;=12,"AIII","AI")</f>
        <v>AIII</v>
      </c>
      <c r="R12" s="1501">
        <f>+SUMIF($K$5:$K$66,P12,$O$5:$O$66)</f>
        <v>0</v>
      </c>
      <c r="S12" s="1501">
        <f>+ROUND(ROUND(P12^2*3.14/4/1000000*7850,3)*R12,2)</f>
        <v>0</v>
      </c>
      <c r="T12" s="388"/>
    </row>
    <row r="13" spans="2:20" ht="9.75" customHeight="1">
      <c r="B13" s="1471"/>
      <c r="C13" s="372"/>
      <c r="D13" s="373"/>
      <c r="E13" s="374"/>
      <c r="F13" s="374"/>
      <c r="G13" s="374"/>
      <c r="H13" s="373"/>
      <c r="I13" s="373"/>
      <c r="J13" s="375"/>
      <c r="K13" s="1478"/>
      <c r="L13" s="1490"/>
      <c r="M13" s="1471"/>
      <c r="N13" s="1487"/>
      <c r="O13" s="1468"/>
      <c r="P13" s="1499"/>
      <c r="Q13" s="1500"/>
      <c r="R13" s="1502"/>
      <c r="S13" s="1502"/>
      <c r="T13" s="388"/>
    </row>
    <row r="14" spans="2:20" ht="17.25" customHeight="1">
      <c r="B14" s="1470" t="str">
        <f>+Tra!I147</f>
        <v>3a</v>
      </c>
      <c r="C14" s="367"/>
      <c r="D14" s="1488" t="e">
        <f>+Tra!K147*1000</f>
        <v>#REF!</v>
      </c>
      <c r="E14" s="1488"/>
      <c r="F14" s="1488"/>
      <c r="G14" s="1488"/>
      <c r="H14" s="1488"/>
      <c r="I14" s="1488"/>
      <c r="J14" s="370"/>
      <c r="K14" s="1477" t="e">
        <f>+Tra!J147</f>
        <v>#REF!</v>
      </c>
      <c r="L14" s="1489" t="e">
        <f>+IF(K14&gt;=12,"AIII","AI")</f>
        <v>#REF!</v>
      </c>
      <c r="M14" s="1470" t="e">
        <f>+D14</f>
        <v>#REF!</v>
      </c>
      <c r="N14" s="1472">
        <f>+Tra!L147</f>
        <v>0</v>
      </c>
      <c r="O14" s="1467" t="e">
        <f>+N14*M14/1000</f>
        <v>#REF!</v>
      </c>
      <c r="P14" s="1499">
        <v>10</v>
      </c>
      <c r="Q14" s="1500" t="str">
        <f>+IF(P14&gt;=12,"AIII","AI")</f>
        <v>AI</v>
      </c>
      <c r="R14" s="1501" t="e">
        <f>+SUMIF($K$5:$K$66,P14,$O$5:$O$66)</f>
        <v>#REF!</v>
      </c>
      <c r="S14" s="1501" t="e">
        <f>+ROUND(ROUND(P14^2*3.14/4/1000000*7850,3)*R14,2)</f>
        <v>#REF!</v>
      </c>
      <c r="T14" s="388"/>
    </row>
    <row r="15" spans="2:20" ht="9.75" customHeight="1">
      <c r="B15" s="1471"/>
      <c r="C15" s="372"/>
      <c r="D15" s="373"/>
      <c r="E15" s="374"/>
      <c r="F15" s="374"/>
      <c r="G15" s="374"/>
      <c r="H15" s="373"/>
      <c r="I15" s="373"/>
      <c r="J15" s="375"/>
      <c r="K15" s="1478"/>
      <c r="L15" s="1490"/>
      <c r="M15" s="1471"/>
      <c r="N15" s="1487"/>
      <c r="O15" s="1468"/>
      <c r="P15" s="1499"/>
      <c r="Q15" s="1500"/>
      <c r="R15" s="1502"/>
      <c r="S15" s="1502"/>
      <c r="T15" s="388"/>
    </row>
    <row r="16" spans="2:20" ht="17.25" customHeight="1">
      <c r="B16" s="1470">
        <f>+Tra!I148</f>
        <v>4</v>
      </c>
      <c r="C16" s="367"/>
      <c r="D16" s="1488" t="e">
        <f>+Tra!K148*1000</f>
        <v>#REF!</v>
      </c>
      <c r="E16" s="1488"/>
      <c r="F16" s="1488"/>
      <c r="G16" s="1488"/>
      <c r="H16" s="1488"/>
      <c r="I16" s="1488"/>
      <c r="J16" s="370"/>
      <c r="K16" s="1477" t="e">
        <f>+Tra!J148</f>
        <v>#REF!</v>
      </c>
      <c r="L16" s="1489" t="e">
        <f>+IF(K16&gt;=12,"AIII","AI")</f>
        <v>#REF!</v>
      </c>
      <c r="M16" s="1470" t="e">
        <f>+D16</f>
        <v>#REF!</v>
      </c>
      <c r="N16" s="1472" t="e">
        <f>+Tra!L148</f>
        <v>#REF!</v>
      </c>
      <c r="O16" s="1467" t="e">
        <f>+N16*M16/1000</f>
        <v>#REF!</v>
      </c>
      <c r="P16" s="1499">
        <v>8</v>
      </c>
      <c r="Q16" s="1500" t="str">
        <f>+IF(P16&gt;=12,"AIII","AI")</f>
        <v>AI</v>
      </c>
      <c r="R16" s="1501">
        <f>+SUMIF($K$5:$K$66,P16,$O$5:$O$66)</f>
        <v>0</v>
      </c>
      <c r="S16" s="1501">
        <f>+ROUND(ROUND(P16^2*3.14/4/1000000*7850,3)*R16,2)</f>
        <v>0</v>
      </c>
      <c r="T16" s="388"/>
    </row>
    <row r="17" spans="2:20" ht="9.75" customHeight="1">
      <c r="B17" s="1471"/>
      <c r="C17" s="372"/>
      <c r="D17" s="373"/>
      <c r="E17" s="374"/>
      <c r="F17" s="374"/>
      <c r="G17" s="374"/>
      <c r="H17" s="373"/>
      <c r="I17" s="373"/>
      <c r="J17" s="375"/>
      <c r="K17" s="1478"/>
      <c r="L17" s="1490"/>
      <c r="M17" s="1471"/>
      <c r="N17" s="1487"/>
      <c r="O17" s="1468"/>
      <c r="P17" s="1499"/>
      <c r="Q17" s="1500"/>
      <c r="R17" s="1502"/>
      <c r="S17" s="1502"/>
      <c r="T17" s="388"/>
    </row>
    <row r="18" spans="2:20" ht="17.25" customHeight="1">
      <c r="B18" s="1470" t="str">
        <f>+Tra!I149</f>
        <v>4a</v>
      </c>
      <c r="C18" s="367"/>
      <c r="D18" s="1488" t="e">
        <f>+Tra!K149*1000</f>
        <v>#REF!</v>
      </c>
      <c r="E18" s="1488"/>
      <c r="F18" s="1488"/>
      <c r="G18" s="1488"/>
      <c r="H18" s="1488"/>
      <c r="I18" s="1488"/>
      <c r="J18" s="370"/>
      <c r="K18" s="1477" t="e">
        <f>+Tra!J149</f>
        <v>#REF!</v>
      </c>
      <c r="L18" s="1489" t="e">
        <f>+IF(K18&gt;=12,"AIII","AI")</f>
        <v>#REF!</v>
      </c>
      <c r="M18" s="1470" t="e">
        <f>+D18</f>
        <v>#REF!</v>
      </c>
      <c r="N18" s="1472" t="e">
        <f>+Tra!L149</f>
        <v>#REF!</v>
      </c>
      <c r="O18" s="1467" t="e">
        <f>+N18*M18/1000</f>
        <v>#REF!</v>
      </c>
      <c r="P18" s="389"/>
      <c r="Q18" s="390"/>
      <c r="R18" s="390"/>
      <c r="S18" s="390"/>
      <c r="T18" s="388"/>
    </row>
    <row r="19" spans="2:20" ht="9.75" customHeight="1">
      <c r="B19" s="1471"/>
      <c r="C19" s="372"/>
      <c r="D19" s="373"/>
      <c r="E19" s="374"/>
      <c r="F19" s="374"/>
      <c r="G19" s="374"/>
      <c r="H19" s="373"/>
      <c r="I19" s="373"/>
      <c r="J19" s="375"/>
      <c r="K19" s="1478"/>
      <c r="L19" s="1490"/>
      <c r="M19" s="1471"/>
      <c r="N19" s="1487"/>
      <c r="O19" s="1468"/>
      <c r="P19" s="389"/>
      <c r="Q19" s="390"/>
      <c r="R19" s="390"/>
      <c r="S19" s="390"/>
      <c r="T19" s="388"/>
    </row>
    <row r="20" spans="2:20" ht="17.25" customHeight="1">
      <c r="B20" s="1470" t="str">
        <f>+Tra!I150</f>
        <v>4b</v>
      </c>
      <c r="C20" s="367"/>
      <c r="D20" s="1488" t="e">
        <f>+Tra!K150*1000</f>
        <v>#REF!</v>
      </c>
      <c r="E20" s="1488"/>
      <c r="F20" s="1488"/>
      <c r="G20" s="1488"/>
      <c r="H20" s="1488"/>
      <c r="I20" s="1488"/>
      <c r="J20" s="370"/>
      <c r="K20" s="1477" t="e">
        <f>+Tra!J150</f>
        <v>#REF!</v>
      </c>
      <c r="L20" s="1489" t="e">
        <f>+IF(K20&gt;=12,"AIII","AI")</f>
        <v>#REF!</v>
      </c>
      <c r="M20" s="1470" t="e">
        <f>+D20</f>
        <v>#REF!</v>
      </c>
      <c r="N20" s="1472" t="e">
        <f>+Tra!L150</f>
        <v>#REF!</v>
      </c>
      <c r="O20" s="1467" t="e">
        <f>+N20*M20/1000</f>
        <v>#REF!</v>
      </c>
      <c r="P20" s="389"/>
      <c r="Q20" s="390"/>
      <c r="R20" s="390"/>
      <c r="S20" s="390"/>
      <c r="T20" s="388"/>
    </row>
    <row r="21" spans="2:20" ht="9.75" customHeight="1">
      <c r="B21" s="1471"/>
      <c r="C21" s="372"/>
      <c r="D21" s="373"/>
      <c r="E21" s="374"/>
      <c r="F21" s="374"/>
      <c r="G21" s="374"/>
      <c r="H21" s="373"/>
      <c r="I21" s="373"/>
      <c r="J21" s="375"/>
      <c r="K21" s="1478"/>
      <c r="L21" s="1490"/>
      <c r="M21" s="1471"/>
      <c r="N21" s="1487"/>
      <c r="O21" s="1468"/>
      <c r="P21" s="389"/>
      <c r="Q21" s="390"/>
      <c r="R21" s="390"/>
      <c r="S21" s="390"/>
      <c r="T21" s="388"/>
    </row>
    <row r="22" spans="2:20" ht="17.25" customHeight="1">
      <c r="B22" s="1470" t="str">
        <f>+Tra!I151</f>
        <v>4c</v>
      </c>
      <c r="C22" s="367"/>
      <c r="D22" s="1488" t="e">
        <f>+Tra!K151*1000</f>
        <v>#REF!</v>
      </c>
      <c r="E22" s="1488"/>
      <c r="F22" s="1488"/>
      <c r="G22" s="1488"/>
      <c r="H22" s="1488"/>
      <c r="I22" s="1488"/>
      <c r="J22" s="370"/>
      <c r="K22" s="1477" t="e">
        <f>+Tra!J151</f>
        <v>#REF!</v>
      </c>
      <c r="L22" s="1489" t="e">
        <f>+IF(K22&gt;=12,"AIII","AI")</f>
        <v>#REF!</v>
      </c>
      <c r="M22" s="1470" t="e">
        <f>+D22</f>
        <v>#REF!</v>
      </c>
      <c r="N22" s="1472" t="e">
        <f>+Tra!L151</f>
        <v>#REF!</v>
      </c>
      <c r="O22" s="1467" t="e">
        <f>+N22*M22/1000</f>
        <v>#REF!</v>
      </c>
      <c r="P22" s="389"/>
      <c r="Q22" s="390"/>
      <c r="R22" s="390"/>
      <c r="S22" s="390"/>
      <c r="T22" s="388"/>
    </row>
    <row r="23" spans="2:20" ht="9.75" customHeight="1">
      <c r="B23" s="1471"/>
      <c r="C23" s="372"/>
      <c r="D23" s="373"/>
      <c r="E23" s="374"/>
      <c r="F23" s="374"/>
      <c r="G23" s="374"/>
      <c r="H23" s="373"/>
      <c r="I23" s="373"/>
      <c r="J23" s="375"/>
      <c r="K23" s="1478"/>
      <c r="L23" s="1490"/>
      <c r="M23" s="1471"/>
      <c r="N23" s="1473"/>
      <c r="O23" s="1468"/>
      <c r="P23" s="389"/>
      <c r="Q23" s="390"/>
      <c r="R23" s="390"/>
      <c r="S23" s="390"/>
      <c r="T23" s="388"/>
    </row>
    <row r="24" spans="2:20" ht="17.25" customHeight="1">
      <c r="B24" s="1470" t="str">
        <f>+Tra!I152</f>
        <v>4d</v>
      </c>
      <c r="C24" s="367"/>
      <c r="D24" s="1488">
        <f>+Tra!K152*1000</f>
        <v>0</v>
      </c>
      <c r="E24" s="1488"/>
      <c r="F24" s="1488"/>
      <c r="G24" s="1488"/>
      <c r="H24" s="1488"/>
      <c r="I24" s="1488"/>
      <c r="J24" s="370"/>
      <c r="K24" s="1477" t="e">
        <f>+Tra!J152</f>
        <v>#REF!</v>
      </c>
      <c r="L24" s="1489" t="e">
        <f>+IF(K24&gt;=12,"AIII","AI")</f>
        <v>#REF!</v>
      </c>
      <c r="M24" s="1470">
        <f>+D24</f>
        <v>0</v>
      </c>
      <c r="N24" s="1472" t="e">
        <f>+Tra!L152</f>
        <v>#REF!</v>
      </c>
      <c r="O24" s="1467" t="e">
        <f>+N24*M24/1000</f>
        <v>#REF!</v>
      </c>
      <c r="P24" s="389"/>
      <c r="Q24" s="390"/>
      <c r="R24" s="390"/>
      <c r="S24" s="390"/>
      <c r="T24" s="388"/>
    </row>
    <row r="25" spans="2:20" ht="9.75" customHeight="1">
      <c r="B25" s="1471"/>
      <c r="C25" s="372"/>
      <c r="D25" s="373"/>
      <c r="E25" s="374"/>
      <c r="F25" s="374"/>
      <c r="G25" s="374"/>
      <c r="H25" s="373"/>
      <c r="I25" s="373"/>
      <c r="J25" s="375"/>
      <c r="K25" s="1478"/>
      <c r="L25" s="1490"/>
      <c r="M25" s="1471"/>
      <c r="N25" s="1473"/>
      <c r="O25" s="1468"/>
      <c r="P25" s="389"/>
      <c r="Q25" s="390"/>
      <c r="R25" s="390"/>
      <c r="S25" s="390"/>
      <c r="T25" s="388"/>
    </row>
    <row r="26" spans="2:20" ht="17.25" customHeight="1">
      <c r="B26" s="1470" t="str">
        <f>+Tra!I153</f>
        <v>4e</v>
      </c>
      <c r="C26" s="367"/>
      <c r="D26" s="1488">
        <f>+Tra!K153*1000</f>
        <v>0</v>
      </c>
      <c r="E26" s="1488"/>
      <c r="F26" s="1488"/>
      <c r="G26" s="1488"/>
      <c r="H26" s="1488"/>
      <c r="I26" s="1488"/>
      <c r="J26" s="370"/>
      <c r="K26" s="1477" t="e">
        <f>+Tra!J153</f>
        <v>#REF!</v>
      </c>
      <c r="L26" s="1489" t="e">
        <f>+IF(K26&gt;=12,"AIII","AI")</f>
        <v>#REF!</v>
      </c>
      <c r="M26" s="1470">
        <f>+D26</f>
        <v>0</v>
      </c>
      <c r="N26" s="1472" t="e">
        <f>+Tra!L153</f>
        <v>#REF!</v>
      </c>
      <c r="O26" s="1467" t="e">
        <f>+N26*M26/1000</f>
        <v>#REF!</v>
      </c>
      <c r="P26" s="389"/>
      <c r="Q26" s="390"/>
      <c r="R26" s="390"/>
      <c r="S26" s="390"/>
      <c r="T26" s="388"/>
    </row>
    <row r="27" spans="2:20" ht="9.75" customHeight="1">
      <c r="B27" s="1471"/>
      <c r="C27" s="372"/>
      <c r="D27" s="373"/>
      <c r="E27" s="374"/>
      <c r="F27" s="374"/>
      <c r="G27" s="374"/>
      <c r="H27" s="373"/>
      <c r="I27" s="373"/>
      <c r="J27" s="375"/>
      <c r="K27" s="1478"/>
      <c r="L27" s="1490"/>
      <c r="M27" s="1471"/>
      <c r="N27" s="1473"/>
      <c r="O27" s="1468"/>
      <c r="P27" s="389"/>
      <c r="Q27" s="390"/>
      <c r="R27" s="390"/>
      <c r="S27" s="390"/>
      <c r="T27" s="388"/>
    </row>
    <row r="28" spans="2:20" ht="17.25" customHeight="1">
      <c r="B28" s="1470">
        <f>+Tra!I154</f>
        <v>5</v>
      </c>
      <c r="C28" s="367"/>
      <c r="D28" s="1488" t="e">
        <f>+Tra!K154*1000</f>
        <v>#REF!</v>
      </c>
      <c r="E28" s="1488"/>
      <c r="F28" s="1488"/>
      <c r="G28" s="1488"/>
      <c r="H28" s="1488"/>
      <c r="I28" s="1488"/>
      <c r="J28" s="370"/>
      <c r="K28" s="1477" t="e">
        <f>+Tra!J154</f>
        <v>#REF!</v>
      </c>
      <c r="L28" s="1489" t="e">
        <f>+IF(K28&gt;=12,"AIII","AI")</f>
        <v>#REF!</v>
      </c>
      <c r="M28" s="1470" t="e">
        <f>+D28</f>
        <v>#REF!</v>
      </c>
      <c r="N28" s="1472" t="e">
        <f>+Tra!L154</f>
        <v>#REF!</v>
      </c>
      <c r="O28" s="1467" t="e">
        <f>+N28*M28/1000</f>
        <v>#REF!</v>
      </c>
      <c r="P28" s="389"/>
      <c r="Q28" s="390"/>
      <c r="R28" s="390"/>
      <c r="S28" s="390"/>
      <c r="T28" s="388"/>
    </row>
    <row r="29" spans="2:20" ht="9.75" customHeight="1">
      <c r="B29" s="1471"/>
      <c r="C29" s="372"/>
      <c r="D29" s="373"/>
      <c r="E29" s="374"/>
      <c r="F29" s="374"/>
      <c r="G29" s="374"/>
      <c r="H29" s="373"/>
      <c r="I29" s="373"/>
      <c r="J29" s="375"/>
      <c r="K29" s="1478"/>
      <c r="L29" s="1490"/>
      <c r="M29" s="1471"/>
      <c r="N29" s="1473"/>
      <c r="O29" s="1468"/>
      <c r="P29" s="389"/>
      <c r="Q29" s="390"/>
      <c r="R29" s="390"/>
      <c r="S29" s="390"/>
      <c r="T29" s="388"/>
    </row>
    <row r="30" spans="2:20" ht="17.25" customHeight="1">
      <c r="B30" s="1470" t="str">
        <f>+Tra!I155</f>
        <v>5a</v>
      </c>
      <c r="C30" s="367"/>
      <c r="D30" s="1488" t="e">
        <f>+Tra!K155*1000</f>
        <v>#REF!</v>
      </c>
      <c r="E30" s="1488"/>
      <c r="F30" s="1488"/>
      <c r="G30" s="1488"/>
      <c r="H30" s="1488"/>
      <c r="I30" s="1488"/>
      <c r="J30" s="370"/>
      <c r="K30" s="1477" t="e">
        <f>+Tra!J155</f>
        <v>#REF!</v>
      </c>
      <c r="L30" s="1489" t="e">
        <f>+IF(K30&gt;=12,"AIII","AI")</f>
        <v>#REF!</v>
      </c>
      <c r="M30" s="1470" t="e">
        <f>+D30</f>
        <v>#REF!</v>
      </c>
      <c r="N30" s="1472" t="e">
        <f>+Tra!L155</f>
        <v>#REF!</v>
      </c>
      <c r="O30" s="1467" t="e">
        <f>+N30*M30/1000</f>
        <v>#REF!</v>
      </c>
      <c r="P30" s="389"/>
      <c r="Q30" s="390"/>
      <c r="R30" s="390"/>
      <c r="S30" s="390"/>
      <c r="T30" s="388"/>
    </row>
    <row r="31" spans="2:20" ht="9.75" customHeight="1">
      <c r="B31" s="1471"/>
      <c r="C31" s="372"/>
      <c r="D31" s="373"/>
      <c r="E31" s="374"/>
      <c r="F31" s="374"/>
      <c r="G31" s="374"/>
      <c r="H31" s="373"/>
      <c r="I31" s="373"/>
      <c r="J31" s="375"/>
      <c r="K31" s="1478"/>
      <c r="L31" s="1490"/>
      <c r="M31" s="1471"/>
      <c r="N31" s="1473"/>
      <c r="O31" s="1468"/>
      <c r="P31" s="389"/>
      <c r="Q31" s="390"/>
      <c r="R31" s="390"/>
      <c r="S31" s="390"/>
      <c r="T31" s="388"/>
    </row>
    <row r="32" spans="2:20" ht="17.25" customHeight="1">
      <c r="B32" s="1470" t="str">
        <f>+Tra!I156</f>
        <v>5b</v>
      </c>
      <c r="C32" s="367"/>
      <c r="D32" s="1488" t="e">
        <f>+Tra!K156*1000</f>
        <v>#REF!</v>
      </c>
      <c r="E32" s="1488"/>
      <c r="F32" s="1488"/>
      <c r="G32" s="1488"/>
      <c r="H32" s="1488"/>
      <c r="I32" s="1488"/>
      <c r="J32" s="370"/>
      <c r="K32" s="1477" t="e">
        <f>+Tra!J156</f>
        <v>#REF!</v>
      </c>
      <c r="L32" s="1489" t="e">
        <f>+IF(K32&gt;=12,"AIII","AI")</f>
        <v>#REF!</v>
      </c>
      <c r="M32" s="1470" t="e">
        <f>+D32</f>
        <v>#REF!</v>
      </c>
      <c r="N32" s="1472" t="e">
        <f>+Tra!L156</f>
        <v>#REF!</v>
      </c>
      <c r="O32" s="1467" t="e">
        <f>+N32*M32/1000</f>
        <v>#REF!</v>
      </c>
      <c r="P32" s="389"/>
      <c r="Q32" s="390"/>
      <c r="R32" s="390"/>
      <c r="S32" s="390"/>
      <c r="T32" s="388"/>
    </row>
    <row r="33" spans="2:20" ht="9.75" customHeight="1">
      <c r="B33" s="1471"/>
      <c r="C33" s="372"/>
      <c r="D33" s="373"/>
      <c r="E33" s="374"/>
      <c r="F33" s="374"/>
      <c r="G33" s="374"/>
      <c r="H33" s="373"/>
      <c r="I33" s="373"/>
      <c r="J33" s="375"/>
      <c r="K33" s="1478"/>
      <c r="L33" s="1490"/>
      <c r="M33" s="1471"/>
      <c r="N33" s="1473"/>
      <c r="O33" s="1468"/>
      <c r="P33" s="389"/>
      <c r="Q33" s="390"/>
      <c r="R33" s="390"/>
      <c r="S33" s="390"/>
      <c r="T33" s="388"/>
    </row>
    <row r="34" spans="2:20" ht="17.25" customHeight="1">
      <c r="B34" s="1470" t="str">
        <f>+Tra!I157</f>
        <v>5c</v>
      </c>
      <c r="C34" s="367"/>
      <c r="D34" s="1488" t="e">
        <f>+Tra!K157*1000</f>
        <v>#REF!</v>
      </c>
      <c r="E34" s="1488"/>
      <c r="F34" s="1488"/>
      <c r="G34" s="1488"/>
      <c r="H34" s="1488"/>
      <c r="I34" s="1488"/>
      <c r="J34" s="370"/>
      <c r="K34" s="1477" t="e">
        <f>+Tra!J157</f>
        <v>#REF!</v>
      </c>
      <c r="L34" s="1489" t="e">
        <f>+IF(K34&gt;=12,"AIII","AI")</f>
        <v>#REF!</v>
      </c>
      <c r="M34" s="1470" t="e">
        <f>+D34</f>
        <v>#REF!</v>
      </c>
      <c r="N34" s="1472" t="e">
        <f>+Tra!L157</f>
        <v>#REF!</v>
      </c>
      <c r="O34" s="1467" t="e">
        <f>+N34*M34/1000</f>
        <v>#REF!</v>
      </c>
      <c r="P34" s="389"/>
      <c r="Q34" s="390"/>
      <c r="R34" s="390"/>
      <c r="S34" s="390"/>
      <c r="T34" s="388"/>
    </row>
    <row r="35" spans="2:20" ht="9.75" customHeight="1">
      <c r="B35" s="1471"/>
      <c r="C35" s="372"/>
      <c r="D35" s="373"/>
      <c r="E35" s="374"/>
      <c r="F35" s="374"/>
      <c r="G35" s="374"/>
      <c r="H35" s="373"/>
      <c r="I35" s="373"/>
      <c r="J35" s="375"/>
      <c r="K35" s="1478"/>
      <c r="L35" s="1490"/>
      <c r="M35" s="1471"/>
      <c r="N35" s="1473"/>
      <c r="O35" s="1468"/>
      <c r="P35" s="389"/>
      <c r="Q35" s="390"/>
      <c r="R35" s="390"/>
      <c r="S35" s="390"/>
      <c r="T35" s="388"/>
    </row>
    <row r="36" spans="2:20" ht="17.25" customHeight="1">
      <c r="B36" s="1470" t="str">
        <f>+Tra!I158</f>
        <v>5d</v>
      </c>
      <c r="C36" s="367"/>
      <c r="D36" s="1488">
        <f>+Tra!K158*1000</f>
        <v>0</v>
      </c>
      <c r="E36" s="1488"/>
      <c r="F36" s="1488"/>
      <c r="G36" s="1488"/>
      <c r="H36" s="1488"/>
      <c r="I36" s="1488"/>
      <c r="J36" s="370"/>
      <c r="K36" s="1477" t="e">
        <f>+Tra!J158</f>
        <v>#REF!</v>
      </c>
      <c r="L36" s="1489" t="e">
        <f>+IF(K36&gt;=12,"AIII","AI")</f>
        <v>#REF!</v>
      </c>
      <c r="M36" s="1470">
        <f>+D36</f>
        <v>0</v>
      </c>
      <c r="N36" s="1472" t="e">
        <f>+Tra!L158</f>
        <v>#REF!</v>
      </c>
      <c r="O36" s="1467" t="e">
        <f>+N36*M36/1000</f>
        <v>#REF!</v>
      </c>
      <c r="P36" s="389"/>
      <c r="Q36" s="390"/>
      <c r="R36" s="390"/>
      <c r="S36" s="390"/>
      <c r="T36" s="388"/>
    </row>
    <row r="37" spans="2:20" ht="9.75" customHeight="1">
      <c r="B37" s="1471"/>
      <c r="C37" s="372"/>
      <c r="D37" s="373"/>
      <c r="E37" s="374"/>
      <c r="F37" s="374"/>
      <c r="G37" s="374"/>
      <c r="H37" s="373"/>
      <c r="I37" s="373"/>
      <c r="J37" s="375"/>
      <c r="K37" s="1478"/>
      <c r="L37" s="1490"/>
      <c r="M37" s="1471"/>
      <c r="N37" s="1473"/>
      <c r="O37" s="1468"/>
      <c r="P37" s="389"/>
      <c r="Q37" s="390"/>
      <c r="R37" s="390"/>
      <c r="S37" s="390"/>
      <c r="T37" s="388"/>
    </row>
    <row r="38" spans="2:20" ht="17.25" customHeight="1">
      <c r="B38" s="1470" t="str">
        <f>+Tra!I159</f>
        <v>5e</v>
      </c>
      <c r="C38" s="367"/>
      <c r="D38" s="1488">
        <f>+Tra!K159*1000</f>
        <v>0</v>
      </c>
      <c r="E38" s="1488"/>
      <c r="F38" s="1488"/>
      <c r="G38" s="1488"/>
      <c r="H38" s="1488"/>
      <c r="I38" s="1488"/>
      <c r="J38" s="370"/>
      <c r="K38" s="1477" t="e">
        <f>+Tra!J159</f>
        <v>#REF!</v>
      </c>
      <c r="L38" s="1489" t="e">
        <f>+IF(K38&gt;=12,"AIII","AI")</f>
        <v>#REF!</v>
      </c>
      <c r="M38" s="1470">
        <f>+Tra!K159*1000</f>
        <v>0</v>
      </c>
      <c r="N38" s="1472" t="e">
        <f>+Tra!L159</f>
        <v>#REF!</v>
      </c>
      <c r="O38" s="1467" t="e">
        <f>+N38*M38/1000</f>
        <v>#REF!</v>
      </c>
      <c r="P38" s="389"/>
      <c r="Q38" s="390"/>
      <c r="R38" s="390"/>
      <c r="S38" s="390"/>
      <c r="T38" s="388"/>
    </row>
    <row r="39" spans="2:20" ht="9.75" customHeight="1">
      <c r="B39" s="1471"/>
      <c r="C39" s="372"/>
      <c r="D39" s="373"/>
      <c r="E39" s="374"/>
      <c r="F39" s="374"/>
      <c r="G39" s="374"/>
      <c r="H39" s="373"/>
      <c r="I39" s="373"/>
      <c r="J39" s="375"/>
      <c r="K39" s="1478"/>
      <c r="L39" s="1490"/>
      <c r="M39" s="1471"/>
      <c r="N39" s="1473"/>
      <c r="O39" s="1468"/>
      <c r="P39" s="389"/>
      <c r="Q39" s="390"/>
      <c r="R39" s="390"/>
      <c r="S39" s="390"/>
      <c r="T39" s="388"/>
    </row>
    <row r="40" spans="2:20" ht="17.25" customHeight="1">
      <c r="B40" s="1470">
        <f>+Tra!I160</f>
        <v>6</v>
      </c>
      <c r="C40" s="367"/>
      <c r="D40" s="1488" t="e">
        <f>+Tra!K160*1000</f>
        <v>#REF!</v>
      </c>
      <c r="E40" s="1488"/>
      <c r="F40" s="1488"/>
      <c r="G40" s="1488"/>
      <c r="H40" s="1488"/>
      <c r="I40" s="1488"/>
      <c r="J40" s="370"/>
      <c r="K40" s="1477" t="e">
        <f>+Tra!J160</f>
        <v>#REF!</v>
      </c>
      <c r="L40" s="1489" t="e">
        <f>+IF(K40&gt;=12,"AIII","AI")</f>
        <v>#REF!</v>
      </c>
      <c r="M40" s="1470" t="e">
        <f>+D40</f>
        <v>#REF!</v>
      </c>
      <c r="N40" s="1472" t="e">
        <f>+Tra!L160</f>
        <v>#REF!</v>
      </c>
      <c r="O40" s="1467" t="e">
        <f>+N40*M40/1000</f>
        <v>#REF!</v>
      </c>
      <c r="P40" s="389"/>
      <c r="Q40" s="390"/>
      <c r="R40" s="390"/>
      <c r="S40" s="390"/>
      <c r="T40" s="388"/>
    </row>
    <row r="41" spans="2:20" ht="9.75" customHeight="1">
      <c r="B41" s="1471"/>
      <c r="C41" s="372"/>
      <c r="D41" s="373"/>
      <c r="E41" s="374"/>
      <c r="F41" s="374"/>
      <c r="G41" s="374"/>
      <c r="H41" s="373"/>
      <c r="I41" s="373"/>
      <c r="J41" s="375"/>
      <c r="K41" s="1478"/>
      <c r="L41" s="1490"/>
      <c r="M41" s="1471"/>
      <c r="N41" s="1473"/>
      <c r="O41" s="1468"/>
      <c r="P41" s="389"/>
      <c r="Q41" s="390"/>
      <c r="R41" s="390"/>
      <c r="S41" s="390"/>
      <c r="T41" s="388"/>
    </row>
    <row r="42" spans="2:20" ht="17.25" customHeight="1">
      <c r="B42" s="1470">
        <f>+Tra!I161</f>
        <v>7</v>
      </c>
      <c r="C42" s="367"/>
      <c r="D42" s="1488" t="e">
        <f>+Tra!K161*1000</f>
        <v>#REF!</v>
      </c>
      <c r="E42" s="1488"/>
      <c r="F42" s="1488"/>
      <c r="G42" s="1488"/>
      <c r="H42" s="1488"/>
      <c r="I42" s="1488"/>
      <c r="J42" s="370"/>
      <c r="K42" s="1477" t="e">
        <f>+Tra!J161</f>
        <v>#REF!</v>
      </c>
      <c r="L42" s="1479" t="e">
        <f>+IF(K42&gt;=12,"AIII","AI")</f>
        <v>#REF!</v>
      </c>
      <c r="M42" s="1470" t="e">
        <f>+D42</f>
        <v>#REF!</v>
      </c>
      <c r="N42" s="1472" t="e">
        <f>+Tra!L161</f>
        <v>#REF!</v>
      </c>
      <c r="O42" s="1467" t="e">
        <f>+N42*M42/1000</f>
        <v>#REF!</v>
      </c>
      <c r="P42" s="389"/>
      <c r="Q42" s="390"/>
      <c r="R42" s="390"/>
      <c r="S42" s="390"/>
      <c r="T42" s="388"/>
    </row>
    <row r="43" spans="2:20" ht="9.75" customHeight="1">
      <c r="B43" s="1471"/>
      <c r="C43" s="372"/>
      <c r="D43" s="373"/>
      <c r="E43" s="374"/>
      <c r="F43" s="374"/>
      <c r="G43" s="374"/>
      <c r="H43" s="373"/>
      <c r="I43" s="373"/>
      <c r="J43" s="375"/>
      <c r="K43" s="1478"/>
      <c r="L43" s="1481"/>
      <c r="M43" s="1471"/>
      <c r="N43" s="1473"/>
      <c r="O43" s="1468"/>
      <c r="P43" s="389"/>
      <c r="Q43" s="390"/>
      <c r="R43" s="390"/>
      <c r="S43" s="390"/>
      <c r="T43" s="388"/>
    </row>
    <row r="44" spans="2:20" ht="7.5" customHeight="1">
      <c r="B44" s="1475">
        <f>+Tra!I162</f>
        <v>8</v>
      </c>
      <c r="C44" s="377"/>
      <c r="D44" s="378"/>
      <c r="E44" s="379"/>
      <c r="F44" s="379"/>
      <c r="G44" s="379"/>
      <c r="H44" s="378"/>
      <c r="I44" s="378"/>
      <c r="J44" s="376"/>
      <c r="K44" s="1476">
        <f>+Tra!J162</f>
        <v>10</v>
      </c>
      <c r="L44" s="1479" t="str">
        <f>+IF(K44&gt;=12,"AIII","AI")</f>
        <v>AI</v>
      </c>
      <c r="M44" s="1475" t="e">
        <f>+J45+D45+C45</f>
        <v>#REF!</v>
      </c>
      <c r="N44" s="1472" t="e">
        <f>+Tra!L162</f>
        <v>#REF!</v>
      </c>
      <c r="O44" s="1474" t="e">
        <f>+N44*M44/1000</f>
        <v>#REF!</v>
      </c>
      <c r="P44" s="389"/>
      <c r="Q44" s="390"/>
      <c r="R44" s="390"/>
      <c r="S44" s="390"/>
      <c r="T44" s="388"/>
    </row>
    <row r="45" spans="2:20" ht="17.25" customHeight="1">
      <c r="B45" s="1470"/>
      <c r="C45" s="371">
        <v>50</v>
      </c>
      <c r="D45" s="1491" t="e">
        <f>+Tra!N162*1000</f>
        <v>#REF!</v>
      </c>
      <c r="E45" s="1492"/>
      <c r="F45" s="1492"/>
      <c r="G45" s="1492"/>
      <c r="H45" s="1492"/>
      <c r="I45" s="1493"/>
      <c r="J45" s="371">
        <v>50</v>
      </c>
      <c r="K45" s="1477"/>
      <c r="L45" s="1480"/>
      <c r="M45" s="1470"/>
      <c r="N45" s="1487"/>
      <c r="O45" s="1467"/>
      <c r="P45" s="389"/>
      <c r="Q45" s="390"/>
      <c r="R45" s="390"/>
      <c r="S45" s="390"/>
      <c r="T45" s="388"/>
    </row>
    <row r="46" spans="2:20" ht="7.5" customHeight="1">
      <c r="B46" s="1471"/>
      <c r="C46" s="372"/>
      <c r="D46" s="373"/>
      <c r="E46" s="374"/>
      <c r="F46" s="374"/>
      <c r="G46" s="374"/>
      <c r="H46" s="373"/>
      <c r="I46" s="373"/>
      <c r="J46" s="375"/>
      <c r="K46" s="1478"/>
      <c r="L46" s="1481"/>
      <c r="M46" s="1471"/>
      <c r="N46" s="1473"/>
      <c r="O46" s="1468"/>
      <c r="P46" s="389"/>
      <c r="Q46" s="390"/>
      <c r="R46" s="390"/>
      <c r="S46" s="390"/>
      <c r="T46" s="388"/>
    </row>
    <row r="47" spans="2:20" ht="8.25" customHeight="1">
      <c r="B47" s="1475">
        <f>+Tra!I163</f>
        <v>9</v>
      </c>
      <c r="C47" s="367"/>
      <c r="D47" s="368"/>
      <c r="E47" s="369"/>
      <c r="F47" s="369"/>
      <c r="G47" s="369"/>
      <c r="H47" s="368"/>
      <c r="I47" s="368"/>
      <c r="J47" s="370"/>
      <c r="K47" s="1476">
        <f>+Tra!J163</f>
        <v>10</v>
      </c>
      <c r="L47" s="1479" t="str">
        <f>+IF(K47&gt;=12,"AIII","AI")</f>
        <v>AI</v>
      </c>
      <c r="M47" s="1482" t="e">
        <f>+(E49*2+D49*2+H48*2)</f>
        <v>#REF!</v>
      </c>
      <c r="N47" s="1486" t="e">
        <f>+Tra!L163</f>
        <v>#REF!</v>
      </c>
      <c r="O47" s="1469" t="e">
        <f>+N47*M47/1000</f>
        <v>#REF!</v>
      </c>
      <c r="P47" s="389"/>
      <c r="Q47" s="390"/>
      <c r="R47" s="390"/>
      <c r="S47" s="390"/>
      <c r="T47" s="388"/>
    </row>
    <row r="48" spans="2:20" ht="12" customHeight="1">
      <c r="B48" s="1470"/>
      <c r="C48" s="377"/>
      <c r="D48" s="378"/>
      <c r="E48" s="379"/>
      <c r="F48" s="379"/>
      <c r="G48" s="379"/>
      <c r="H48" s="372">
        <v>60</v>
      </c>
      <c r="I48" s="378"/>
      <c r="J48" s="376"/>
      <c r="K48" s="1477"/>
      <c r="L48" s="1480"/>
      <c r="M48" s="1482"/>
      <c r="N48" s="1486"/>
      <c r="O48" s="1469"/>
      <c r="P48" s="389"/>
      <c r="Q48" s="390"/>
      <c r="R48" s="390"/>
      <c r="S48" s="390"/>
      <c r="T48" s="388"/>
    </row>
    <row r="49" spans="2:20" ht="21.75" customHeight="1">
      <c r="B49" s="1470"/>
      <c r="C49" s="380"/>
      <c r="D49" s="381" t="e">
        <f>+Tra!N163*1000</f>
        <v>#REF!</v>
      </c>
      <c r="E49" s="1483" t="e">
        <f>+Tra!O163*1000</f>
        <v>#REF!</v>
      </c>
      <c r="F49" s="1484"/>
      <c r="G49" s="1485"/>
      <c r="H49" s="378"/>
      <c r="I49" s="378"/>
      <c r="J49" s="376"/>
      <c r="K49" s="1477"/>
      <c r="L49" s="1480"/>
      <c r="M49" s="1482"/>
      <c r="N49" s="1486"/>
      <c r="O49" s="1469"/>
      <c r="P49" s="389"/>
      <c r="Q49" s="390"/>
      <c r="R49" s="390"/>
      <c r="S49" s="390"/>
      <c r="T49" s="388"/>
    </row>
    <row r="50" spans="2:20" ht="6.75" customHeight="1">
      <c r="B50" s="1471"/>
      <c r="C50" s="372"/>
      <c r="D50" s="373"/>
      <c r="E50" s="374"/>
      <c r="F50" s="374"/>
      <c r="G50" s="374"/>
      <c r="H50" s="373"/>
      <c r="I50" s="373"/>
      <c r="J50" s="375"/>
      <c r="K50" s="1478"/>
      <c r="L50" s="1481"/>
      <c r="M50" s="1482"/>
      <c r="N50" s="1486"/>
      <c r="O50" s="1469"/>
      <c r="P50" s="389"/>
      <c r="Q50" s="390"/>
      <c r="R50" s="390"/>
      <c r="S50" s="390"/>
      <c r="T50" s="388"/>
    </row>
    <row r="51" spans="2:20" ht="8.25" customHeight="1">
      <c r="B51" s="1475" t="str">
        <f>+Tra!I164</f>
        <v>9a</v>
      </c>
      <c r="C51" s="367"/>
      <c r="D51" s="368"/>
      <c r="E51" s="369"/>
      <c r="F51" s="369"/>
      <c r="G51" s="369"/>
      <c r="H51" s="368"/>
      <c r="I51" s="368"/>
      <c r="J51" s="370"/>
      <c r="K51" s="1476">
        <f>+Tra!J164</f>
        <v>10</v>
      </c>
      <c r="L51" s="1479" t="str">
        <f>+IF(K51&gt;=12,"AIII","AI")</f>
        <v>AI</v>
      </c>
      <c r="M51" s="1482" t="e">
        <f>+(E53*2+D53*2+H52*2)</f>
        <v>#REF!</v>
      </c>
      <c r="N51" s="1486" t="e">
        <f>+Tra!L164</f>
        <v>#REF!</v>
      </c>
      <c r="O51" s="1469" t="e">
        <f>+N51*M51/1000</f>
        <v>#REF!</v>
      </c>
      <c r="P51" s="389"/>
      <c r="Q51" s="390"/>
      <c r="R51" s="390"/>
      <c r="S51" s="390"/>
      <c r="T51" s="388"/>
    </row>
    <row r="52" spans="2:20" ht="12" customHeight="1">
      <c r="B52" s="1470"/>
      <c r="C52" s="377"/>
      <c r="D52" s="378"/>
      <c r="E52" s="379"/>
      <c r="F52" s="379"/>
      <c r="G52" s="379"/>
      <c r="H52" s="372">
        <v>60</v>
      </c>
      <c r="I52" s="378"/>
      <c r="J52" s="376"/>
      <c r="K52" s="1477"/>
      <c r="L52" s="1480"/>
      <c r="M52" s="1482"/>
      <c r="N52" s="1486"/>
      <c r="O52" s="1469"/>
      <c r="P52" s="389"/>
      <c r="Q52" s="390"/>
      <c r="R52" s="390"/>
      <c r="S52" s="390"/>
      <c r="T52" s="388"/>
    </row>
    <row r="53" spans="2:20" ht="21.75" customHeight="1">
      <c r="B53" s="1470"/>
      <c r="C53" s="380"/>
      <c r="D53" s="381">
        <f>+Tra!N164*1000</f>
        <v>350</v>
      </c>
      <c r="E53" s="1483" t="e">
        <f>+Tra!O164*1000</f>
        <v>#REF!</v>
      </c>
      <c r="F53" s="1484"/>
      <c r="G53" s="1485"/>
      <c r="H53" s="378"/>
      <c r="I53" s="378"/>
      <c r="J53" s="376"/>
      <c r="K53" s="1477"/>
      <c r="L53" s="1480"/>
      <c r="M53" s="1482"/>
      <c r="N53" s="1486"/>
      <c r="O53" s="1469"/>
      <c r="P53" s="389"/>
      <c r="Q53" s="390"/>
      <c r="R53" s="390"/>
      <c r="S53" s="390"/>
      <c r="T53" s="388"/>
    </row>
    <row r="54" spans="2:20" ht="6.75" customHeight="1">
      <c r="B54" s="1471"/>
      <c r="C54" s="372"/>
      <c r="D54" s="373"/>
      <c r="E54" s="374"/>
      <c r="F54" s="374"/>
      <c r="G54" s="374"/>
      <c r="H54" s="373"/>
      <c r="I54" s="373"/>
      <c r="J54" s="375"/>
      <c r="K54" s="1478"/>
      <c r="L54" s="1481"/>
      <c r="M54" s="1482"/>
      <c r="N54" s="1486"/>
      <c r="O54" s="1469"/>
      <c r="P54" s="389"/>
      <c r="Q54" s="390"/>
      <c r="R54" s="390"/>
      <c r="S54" s="390"/>
      <c r="T54" s="388"/>
    </row>
    <row r="55" spans="2:20" ht="12.75" customHeight="1">
      <c r="B55" s="1475" t="str">
        <f>+Tra!I165</f>
        <v>9b</v>
      </c>
      <c r="C55" s="382">
        <v>60</v>
      </c>
      <c r="D55" s="1496" t="e">
        <f>+Tra!N165*1000</f>
        <v>#REF!</v>
      </c>
      <c r="E55" s="1496"/>
      <c r="F55" s="1496"/>
      <c r="G55" s="1496"/>
      <c r="H55" s="1496"/>
      <c r="I55" s="1496"/>
      <c r="J55" s="383">
        <v>60</v>
      </c>
      <c r="K55" s="1476">
        <f>+Tra!J165</f>
        <v>10</v>
      </c>
      <c r="L55" s="1479" t="str">
        <f>+IF(K55&gt;=12,"AIII","AI")</f>
        <v>AI</v>
      </c>
      <c r="M55" s="1482" t="e">
        <f>+D55+J55*2</f>
        <v>#REF!</v>
      </c>
      <c r="N55" s="1486" t="e">
        <f>+Tra!L165</f>
        <v>#REF!</v>
      </c>
      <c r="O55" s="1469" t="e">
        <f>+N55*M55/1000</f>
        <v>#REF!</v>
      </c>
      <c r="P55" s="389"/>
      <c r="Q55" s="390"/>
      <c r="R55" s="390"/>
      <c r="S55" s="390"/>
      <c r="T55" s="388"/>
    </row>
    <row r="56" spans="2:20" ht="13.5" customHeight="1">
      <c r="B56" s="1471"/>
      <c r="C56" s="372"/>
      <c r="D56" s="1497"/>
      <c r="E56" s="1497"/>
      <c r="F56" s="1497"/>
      <c r="G56" s="1497"/>
      <c r="H56" s="1497"/>
      <c r="I56" s="1497"/>
      <c r="J56" s="375"/>
      <c r="K56" s="1478"/>
      <c r="L56" s="1481"/>
      <c r="M56" s="1482"/>
      <c r="N56" s="1486"/>
      <c r="O56" s="1469"/>
      <c r="P56" s="389"/>
      <c r="Q56" s="390"/>
      <c r="R56" s="390"/>
      <c r="S56" s="390"/>
      <c r="T56" s="388"/>
    </row>
    <row r="57" spans="2:20" ht="6" customHeight="1">
      <c r="B57" s="1475">
        <f>+Tra!I166</f>
        <v>10</v>
      </c>
      <c r="C57" s="367"/>
      <c r="D57" s="368"/>
      <c r="E57" s="369"/>
      <c r="F57" s="369"/>
      <c r="G57" s="369"/>
      <c r="H57" s="368"/>
      <c r="I57" s="368"/>
      <c r="J57" s="370"/>
      <c r="K57" s="1476">
        <f>+Tra!J166</f>
        <v>10</v>
      </c>
      <c r="L57" s="1479" t="str">
        <f>+IF(K57&gt;=12,"AIII","AI")</f>
        <v>AI</v>
      </c>
      <c r="M57" s="1482" t="e">
        <f>+F59*4+G58*2</f>
        <v>#REF!</v>
      </c>
      <c r="N57" s="1472" t="e">
        <f>+Tra!L166</f>
        <v>#REF!</v>
      </c>
      <c r="O57" s="1469" t="e">
        <f>+N57*M57/1000</f>
        <v>#REF!</v>
      </c>
      <c r="P57" s="389"/>
      <c r="Q57" s="390"/>
      <c r="R57" s="390"/>
      <c r="S57" s="390"/>
      <c r="T57" s="388"/>
    </row>
    <row r="58" spans="2:20" ht="11.25" customHeight="1">
      <c r="B58" s="1470"/>
      <c r="C58" s="377"/>
      <c r="D58" s="378"/>
      <c r="E58" s="379"/>
      <c r="F58" s="379"/>
      <c r="G58" s="384">
        <v>60</v>
      </c>
      <c r="H58" s="378"/>
      <c r="I58" s="378"/>
      <c r="J58" s="376"/>
      <c r="K58" s="1477"/>
      <c r="L58" s="1480"/>
      <c r="M58" s="1482"/>
      <c r="N58" s="1487"/>
      <c r="O58" s="1469"/>
      <c r="P58" s="389"/>
      <c r="Q58" s="390"/>
      <c r="R58" s="390"/>
      <c r="S58" s="390"/>
      <c r="T58" s="388"/>
    </row>
    <row r="59" spans="2:20" ht="25.5" customHeight="1">
      <c r="B59" s="1470"/>
      <c r="C59" s="377"/>
      <c r="D59" s="378"/>
      <c r="E59" s="385" t="e">
        <f>+F59</f>
        <v>#REF!</v>
      </c>
      <c r="F59" s="386" t="e">
        <f>+Tra!N166*1000</f>
        <v>#REF!</v>
      </c>
      <c r="G59" s="379"/>
      <c r="H59" s="378"/>
      <c r="I59" s="378"/>
      <c r="J59" s="376"/>
      <c r="K59" s="1477"/>
      <c r="L59" s="1480"/>
      <c r="M59" s="1482"/>
      <c r="N59" s="1487"/>
      <c r="O59" s="1469"/>
      <c r="P59" s="389"/>
      <c r="Q59" s="390"/>
      <c r="R59" s="390"/>
      <c r="S59" s="390"/>
      <c r="T59" s="388"/>
    </row>
    <row r="60" spans="2:20" ht="6" customHeight="1">
      <c r="B60" s="1471"/>
      <c r="C60" s="372"/>
      <c r="D60" s="373"/>
      <c r="E60" s="374"/>
      <c r="F60" s="374"/>
      <c r="G60" s="374"/>
      <c r="H60" s="373"/>
      <c r="I60" s="373"/>
      <c r="J60" s="375"/>
      <c r="K60" s="1478"/>
      <c r="L60" s="1481"/>
      <c r="M60" s="1482"/>
      <c r="N60" s="1473"/>
      <c r="O60" s="1469"/>
      <c r="P60" s="389"/>
      <c r="Q60" s="390"/>
      <c r="R60" s="390"/>
      <c r="S60" s="390"/>
      <c r="T60" s="388"/>
    </row>
    <row r="61" spans="2:20" ht="6" customHeight="1">
      <c r="B61" s="1475">
        <f>+Tra!I167</f>
        <v>11</v>
      </c>
      <c r="C61" s="367"/>
      <c r="D61" s="368"/>
      <c r="E61" s="369"/>
      <c r="F61" s="369"/>
      <c r="G61" s="369"/>
      <c r="H61" s="368"/>
      <c r="I61" s="368"/>
      <c r="J61" s="370"/>
      <c r="K61" s="1476">
        <f>+Tra!J167</f>
        <v>10</v>
      </c>
      <c r="L61" s="1479" t="str">
        <f>+IF(K61&gt;=12,"AIII","AI")</f>
        <v>AI</v>
      </c>
      <c r="M61" s="1482">
        <f>+F63*4+G62*2</f>
        <v>3720</v>
      </c>
      <c r="N61" s="1472" t="e">
        <f>+Tra!L167</f>
        <v>#REF!</v>
      </c>
      <c r="O61" s="1469" t="e">
        <f>+N61*M61/1000</f>
        <v>#REF!</v>
      </c>
      <c r="P61" s="389"/>
      <c r="Q61" s="390"/>
      <c r="R61" s="390"/>
      <c r="S61" s="390"/>
      <c r="T61" s="388"/>
    </row>
    <row r="62" spans="2:20" ht="11.25" customHeight="1">
      <c r="B62" s="1470"/>
      <c r="C62" s="377"/>
      <c r="D62" s="378"/>
      <c r="E62" s="379"/>
      <c r="F62" s="379"/>
      <c r="G62" s="384">
        <v>60</v>
      </c>
      <c r="H62" s="378"/>
      <c r="I62" s="378"/>
      <c r="J62" s="376"/>
      <c r="K62" s="1477"/>
      <c r="L62" s="1480"/>
      <c r="M62" s="1482"/>
      <c r="N62" s="1487"/>
      <c r="O62" s="1469"/>
      <c r="P62" s="389"/>
      <c r="Q62" s="390"/>
      <c r="R62" s="390"/>
      <c r="S62" s="390"/>
      <c r="T62" s="388"/>
    </row>
    <row r="63" spans="2:20" ht="25.5" customHeight="1">
      <c r="B63" s="1470"/>
      <c r="C63" s="377"/>
      <c r="D63" s="378"/>
      <c r="E63" s="385">
        <f>+F63</f>
        <v>900</v>
      </c>
      <c r="F63" s="386">
        <f>+Tra!N167*1000</f>
        <v>900</v>
      </c>
      <c r="G63" s="379"/>
      <c r="H63" s="378"/>
      <c r="I63" s="378"/>
      <c r="J63" s="376"/>
      <c r="K63" s="1477"/>
      <c r="L63" s="1480"/>
      <c r="M63" s="1482"/>
      <c r="N63" s="1487"/>
      <c r="O63" s="1469"/>
      <c r="P63" s="389"/>
      <c r="Q63" s="390"/>
      <c r="R63" s="390"/>
      <c r="S63" s="390"/>
      <c r="T63" s="388"/>
    </row>
    <row r="64" spans="2:20" ht="6" customHeight="1">
      <c r="B64" s="1471"/>
      <c r="C64" s="372"/>
      <c r="D64" s="373"/>
      <c r="E64" s="374"/>
      <c r="F64" s="374"/>
      <c r="G64" s="374"/>
      <c r="H64" s="373"/>
      <c r="I64" s="373"/>
      <c r="J64" s="375"/>
      <c r="K64" s="1478"/>
      <c r="L64" s="1481"/>
      <c r="M64" s="1482"/>
      <c r="N64" s="1473"/>
      <c r="O64" s="1469"/>
      <c r="P64" s="389"/>
      <c r="Q64" s="390"/>
      <c r="R64" s="390"/>
      <c r="S64" s="390"/>
      <c r="T64" s="388"/>
    </row>
    <row r="65" spans="2:20" ht="12.75" customHeight="1">
      <c r="B65" s="1475">
        <f>+Tra!I168</f>
        <v>12</v>
      </c>
      <c r="C65" s="382">
        <v>60</v>
      </c>
      <c r="D65" s="1519" t="e">
        <f>+Tra!N168*1000</f>
        <v>#REF!</v>
      </c>
      <c r="E65" s="1519"/>
      <c r="F65" s="1519"/>
      <c r="G65" s="1519"/>
      <c r="H65" s="1519"/>
      <c r="I65" s="1519"/>
      <c r="J65" s="383">
        <v>60</v>
      </c>
      <c r="K65" s="1476">
        <f>+Tra!J168</f>
        <v>10</v>
      </c>
      <c r="L65" s="1479" t="str">
        <f>+IF(K65&gt;=12,"AIII","AI")</f>
        <v>AI</v>
      </c>
      <c r="M65" s="1482" t="e">
        <f>+D65+J65*2</f>
        <v>#REF!</v>
      </c>
      <c r="N65" s="1486" t="e">
        <f>+Tra!L168</f>
        <v>#REF!</v>
      </c>
      <c r="O65" s="1469" t="e">
        <f>+N65*M65/1000</f>
        <v>#REF!</v>
      </c>
      <c r="P65" s="389"/>
      <c r="Q65" s="390"/>
      <c r="R65" s="390"/>
      <c r="S65" s="390"/>
      <c r="T65" s="388"/>
    </row>
    <row r="66" spans="2:20" ht="13.5" customHeight="1">
      <c r="B66" s="1471"/>
      <c r="C66" s="372"/>
      <c r="D66" s="1520"/>
      <c r="E66" s="1520"/>
      <c r="F66" s="1520"/>
      <c r="G66" s="1520"/>
      <c r="H66" s="1520"/>
      <c r="I66" s="1520"/>
      <c r="J66" s="375"/>
      <c r="K66" s="1478"/>
      <c r="L66" s="1481"/>
      <c r="M66" s="1482"/>
      <c r="N66" s="1486"/>
      <c r="O66" s="1469"/>
      <c r="P66" s="391"/>
      <c r="Q66" s="392"/>
      <c r="R66" s="392"/>
      <c r="S66" s="392"/>
      <c r="T66" s="393"/>
    </row>
    <row r="70" spans="2:20" ht="19.5" customHeight="1">
      <c r="B70" s="1482">
        <f>+Tra!I167</f>
        <v>11</v>
      </c>
      <c r="C70" s="367"/>
      <c r="D70" s="368"/>
      <c r="E70" s="1517">
        <f>+Tra!O167*1000</f>
        <v>0</v>
      </c>
      <c r="F70" s="1517"/>
      <c r="G70" s="369"/>
      <c r="H70" s="368"/>
      <c r="I70" s="368"/>
      <c r="J70" s="370"/>
      <c r="K70" s="1510">
        <f>+Tra!J167</f>
        <v>10</v>
      </c>
      <c r="L70" s="1513" t="str">
        <f>+IF(K70&gt;=12,"AIII","AI")</f>
        <v>AI</v>
      </c>
      <c r="M70" s="1475">
        <f>+E71*2+E70*2+H71*2</f>
        <v>1920</v>
      </c>
      <c r="N70" s="1472" t="e">
        <f>+Tra!L167</f>
        <v>#REF!</v>
      </c>
      <c r="O70" s="1501" t="e">
        <f>+N70*M70/1000</f>
        <v>#REF!</v>
      </c>
    </row>
    <row r="71" spans="2:20" ht="12.75" customHeight="1">
      <c r="B71" s="1482"/>
      <c r="C71" s="377"/>
      <c r="D71" s="378"/>
      <c r="E71" s="1516">
        <f>+Tra!N167*1000</f>
        <v>900</v>
      </c>
      <c r="F71" s="379"/>
      <c r="G71" s="379"/>
      <c r="H71" s="1518">
        <v>60</v>
      </c>
      <c r="I71" s="1518"/>
      <c r="J71" s="376"/>
      <c r="K71" s="1511"/>
      <c r="L71" s="1514"/>
      <c r="M71" s="1470"/>
      <c r="N71" s="1487"/>
      <c r="O71" s="1503"/>
    </row>
    <row r="72" spans="2:20" ht="12.75" customHeight="1">
      <c r="B72" s="1482"/>
      <c r="C72" s="377"/>
      <c r="D72" s="378"/>
      <c r="E72" s="1516"/>
      <c r="F72" s="379"/>
      <c r="G72" s="379"/>
      <c r="H72" s="378"/>
      <c r="I72" s="378"/>
      <c r="J72" s="376"/>
      <c r="K72" s="1511"/>
      <c r="L72" s="1514"/>
      <c r="M72" s="1470"/>
      <c r="N72" s="1487"/>
      <c r="O72" s="1503"/>
    </row>
    <row r="73" spans="2:20" ht="12.75" customHeight="1">
      <c r="B73" s="1482"/>
      <c r="C73" s="377"/>
      <c r="D73" s="378"/>
      <c r="E73" s="379"/>
      <c r="F73" s="379"/>
      <c r="G73" s="379"/>
      <c r="H73" s="378"/>
      <c r="I73" s="378"/>
      <c r="J73" s="376"/>
      <c r="K73" s="1511"/>
      <c r="L73" s="1514"/>
      <c r="M73" s="1470"/>
      <c r="N73" s="1487"/>
      <c r="O73" s="1503"/>
    </row>
    <row r="74" spans="2:20" ht="5.25" customHeight="1">
      <c r="B74" s="1482"/>
      <c r="C74" s="372"/>
      <c r="D74" s="373"/>
      <c r="E74" s="374"/>
      <c r="F74" s="374"/>
      <c r="G74" s="374"/>
      <c r="H74" s="373"/>
      <c r="I74" s="373"/>
      <c r="J74" s="375"/>
      <c r="K74" s="1512"/>
      <c r="L74" s="1515"/>
      <c r="M74" s="1471"/>
      <c r="N74" s="1473"/>
      <c r="O74" s="1502"/>
    </row>
  </sheetData>
  <mergeCells count="223">
    <mergeCell ref="B70:B74"/>
    <mergeCell ref="K70:K74"/>
    <mergeCell ref="L70:L74"/>
    <mergeCell ref="M70:M74"/>
    <mergeCell ref="E71:E72"/>
    <mergeCell ref="E70:F70"/>
    <mergeCell ref="H71:I71"/>
    <mergeCell ref="Q14:Q15"/>
    <mergeCell ref="R14:R15"/>
    <mergeCell ref="M65:M66"/>
    <mergeCell ref="N57:N60"/>
    <mergeCell ref="O57:O60"/>
    <mergeCell ref="O55:O56"/>
    <mergeCell ref="B65:B66"/>
    <mergeCell ref="D65:I66"/>
    <mergeCell ref="K65:K66"/>
    <mergeCell ref="L65:L66"/>
    <mergeCell ref="M61:M64"/>
    <mergeCell ref="M57:M60"/>
    <mergeCell ref="B61:B64"/>
    <mergeCell ref="K61:K64"/>
    <mergeCell ref="L61:L64"/>
    <mergeCell ref="N55:N56"/>
    <mergeCell ref="B55:B56"/>
    <mergeCell ref="S14:S15"/>
    <mergeCell ref="R16:R17"/>
    <mergeCell ref="S16:S17"/>
    <mergeCell ref="Q16:Q17"/>
    <mergeCell ref="O70:O74"/>
    <mergeCell ref="P16:P17"/>
    <mergeCell ref="N70:N74"/>
    <mergeCell ref="N61:N64"/>
    <mergeCell ref="N5:N7"/>
    <mergeCell ref="O5:O7"/>
    <mergeCell ref="N8:N9"/>
    <mergeCell ref="O8:O9"/>
    <mergeCell ref="P14:P15"/>
    <mergeCell ref="P10:P11"/>
    <mergeCell ref="Q10:Q11"/>
    <mergeCell ref="R10:R11"/>
    <mergeCell ref="S10:S11"/>
    <mergeCell ref="Q12:Q13"/>
    <mergeCell ref="R12:R13"/>
    <mergeCell ref="S12:S13"/>
    <mergeCell ref="N65:N66"/>
    <mergeCell ref="O65:O66"/>
    <mergeCell ref="P12:P13"/>
    <mergeCell ref="O61:O64"/>
    <mergeCell ref="B2:T2"/>
    <mergeCell ref="P8:P9"/>
    <mergeCell ref="Q8:Q9"/>
    <mergeCell ref="R8:R9"/>
    <mergeCell ref="S8:S9"/>
    <mergeCell ref="K3:L4"/>
    <mergeCell ref="M3:M4"/>
    <mergeCell ref="N3:N4"/>
    <mergeCell ref="O3:O4"/>
    <mergeCell ref="T5:T7"/>
    <mergeCell ref="S5:S7"/>
    <mergeCell ref="P3:T3"/>
    <mergeCell ref="P4:Q4"/>
    <mergeCell ref="P5:P7"/>
    <mergeCell ref="Q5:Q7"/>
    <mergeCell ref="R5:R7"/>
    <mergeCell ref="L5:L7"/>
    <mergeCell ref="L8:L9"/>
    <mergeCell ref="B57:B60"/>
    <mergeCell ref="K57:K60"/>
    <mergeCell ref="L57:L60"/>
    <mergeCell ref="D55:I56"/>
    <mergeCell ref="K55:K56"/>
    <mergeCell ref="M55:M56"/>
    <mergeCell ref="N10:N11"/>
    <mergeCell ref="O10:O11"/>
    <mergeCell ref="O24:O25"/>
    <mergeCell ref="N26:N27"/>
    <mergeCell ref="O26:O27"/>
    <mergeCell ref="O22:O23"/>
    <mergeCell ref="O18:O19"/>
    <mergeCell ref="N12:N13"/>
    <mergeCell ref="O12:O13"/>
    <mergeCell ref="N14:N15"/>
    <mergeCell ref="L20:L21"/>
    <mergeCell ref="L22:L23"/>
    <mergeCell ref="K20:K21"/>
    <mergeCell ref="M20:M21"/>
    <mergeCell ref="K10:K11"/>
    <mergeCell ref="M10:M11"/>
    <mergeCell ref="M12:M13"/>
    <mergeCell ref="L10:L11"/>
    <mergeCell ref="L55:L56"/>
    <mergeCell ref="B3:B4"/>
    <mergeCell ref="C3:J4"/>
    <mergeCell ref="D6:I6"/>
    <mergeCell ref="D8:I8"/>
    <mergeCell ref="M8:M9"/>
    <mergeCell ref="K5:K7"/>
    <mergeCell ref="M5:M7"/>
    <mergeCell ref="B10:B11"/>
    <mergeCell ref="D10:I10"/>
    <mergeCell ref="B5:B7"/>
    <mergeCell ref="B8:B9"/>
    <mergeCell ref="K8:K9"/>
    <mergeCell ref="B12:B13"/>
    <mergeCell ref="D12:I12"/>
    <mergeCell ref="K12:K13"/>
    <mergeCell ref="B20:B21"/>
    <mergeCell ref="D20:I20"/>
    <mergeCell ref="B14:B15"/>
    <mergeCell ref="D14:I14"/>
    <mergeCell ref="D18:I18"/>
    <mergeCell ref="B18:B19"/>
    <mergeCell ref="B16:B17"/>
    <mergeCell ref="D16:I16"/>
    <mergeCell ref="L12:L13"/>
    <mergeCell ref="O20:O21"/>
    <mergeCell ref="N16:N17"/>
    <mergeCell ref="O16:O17"/>
    <mergeCell ref="N20:N21"/>
    <mergeCell ref="L18:L19"/>
    <mergeCell ref="M14:M15"/>
    <mergeCell ref="L14:L15"/>
    <mergeCell ref="M16:M17"/>
    <mergeCell ref="L16:L17"/>
    <mergeCell ref="N18:N19"/>
    <mergeCell ref="B28:B29"/>
    <mergeCell ref="D28:I28"/>
    <mergeCell ref="K28:K29"/>
    <mergeCell ref="L28:L29"/>
    <mergeCell ref="B30:B31"/>
    <mergeCell ref="D30:I30"/>
    <mergeCell ref="K30:K31"/>
    <mergeCell ref="L30:L31"/>
    <mergeCell ref="O14:O15"/>
    <mergeCell ref="K14:K15"/>
    <mergeCell ref="K16:K17"/>
    <mergeCell ref="B26:B27"/>
    <mergeCell ref="D26:I26"/>
    <mergeCell ref="B24:B25"/>
    <mergeCell ref="D24:I24"/>
    <mergeCell ref="D22:I22"/>
    <mergeCell ref="B22:B23"/>
    <mergeCell ref="N22:N23"/>
    <mergeCell ref="K24:K25"/>
    <mergeCell ref="L24:L25"/>
    <mergeCell ref="M24:M25"/>
    <mergeCell ref="K18:K19"/>
    <mergeCell ref="M18:M19"/>
    <mergeCell ref="K26:K27"/>
    <mergeCell ref="L26:L27"/>
    <mergeCell ref="N28:N29"/>
    <mergeCell ref="M26:M27"/>
    <mergeCell ref="M30:M31"/>
    <mergeCell ref="M28:M29"/>
    <mergeCell ref="O28:O29"/>
    <mergeCell ref="N24:N25"/>
    <mergeCell ref="K22:K23"/>
    <mergeCell ref="M22:M23"/>
    <mergeCell ref="N30:N31"/>
    <mergeCell ref="O30:O31"/>
    <mergeCell ref="O32:O33"/>
    <mergeCell ref="B34:B35"/>
    <mergeCell ref="D34:I34"/>
    <mergeCell ref="K34:K35"/>
    <mergeCell ref="L34:L35"/>
    <mergeCell ref="M34:M35"/>
    <mergeCell ref="N34:N35"/>
    <mergeCell ref="O34:O35"/>
    <mergeCell ref="B32:B33"/>
    <mergeCell ref="D32:I32"/>
    <mergeCell ref="K32:K33"/>
    <mergeCell ref="L32:L33"/>
    <mergeCell ref="M32:M33"/>
    <mergeCell ref="N32:N33"/>
    <mergeCell ref="M38:M39"/>
    <mergeCell ref="N38:N39"/>
    <mergeCell ref="O38:O39"/>
    <mergeCell ref="B36:B37"/>
    <mergeCell ref="D36:I36"/>
    <mergeCell ref="K36:K37"/>
    <mergeCell ref="L36:L37"/>
    <mergeCell ref="M36:M37"/>
    <mergeCell ref="N36:N37"/>
    <mergeCell ref="O36:O37"/>
    <mergeCell ref="B38:B39"/>
    <mergeCell ref="D38:I38"/>
    <mergeCell ref="K38:K39"/>
    <mergeCell ref="L38:L39"/>
    <mergeCell ref="D40:I40"/>
    <mergeCell ref="K40:K41"/>
    <mergeCell ref="L40:L41"/>
    <mergeCell ref="D45:I45"/>
    <mergeCell ref="B44:B46"/>
    <mergeCell ref="L44:L46"/>
    <mergeCell ref="K44:K46"/>
    <mergeCell ref="B42:B43"/>
    <mergeCell ref="D42:I42"/>
    <mergeCell ref="K42:K43"/>
    <mergeCell ref="L42:L43"/>
    <mergeCell ref="O40:O41"/>
    <mergeCell ref="O51:O54"/>
    <mergeCell ref="M42:M43"/>
    <mergeCell ref="N42:N43"/>
    <mergeCell ref="O42:O43"/>
    <mergeCell ref="O44:O46"/>
    <mergeCell ref="O47:O50"/>
    <mergeCell ref="B51:B54"/>
    <mergeCell ref="K51:K54"/>
    <mergeCell ref="L51:L54"/>
    <mergeCell ref="M51:M54"/>
    <mergeCell ref="E53:G53"/>
    <mergeCell ref="N51:N54"/>
    <mergeCell ref="B47:B50"/>
    <mergeCell ref="K47:K50"/>
    <mergeCell ref="L47:L50"/>
    <mergeCell ref="E49:G49"/>
    <mergeCell ref="M40:M41"/>
    <mergeCell ref="N40:N41"/>
    <mergeCell ref="N47:N50"/>
    <mergeCell ref="M47:M50"/>
    <mergeCell ref="N44:N46"/>
    <mergeCell ref="M44:M46"/>
    <mergeCell ref="B40:B41"/>
  </mergeCells>
  <phoneticPr fontId="2" type="noConversion"/>
  <pageMargins left="0.75" right="0.75" top="0.71" bottom="0.62" header="0.5" footer="0.5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W33"/>
  <sheetViews>
    <sheetView workbookViewId="0">
      <selection activeCell="Y56" sqref="Y56"/>
    </sheetView>
  </sheetViews>
  <sheetFormatPr defaultRowHeight="14"/>
  <cols>
    <col min="2" max="2" width="11.3984375" customWidth="1"/>
    <col min="3" max="3" width="11.3984375" style="1" customWidth="1"/>
    <col min="4" max="4" width="11.296875" customWidth="1"/>
    <col min="5" max="5" width="10.59765625" customWidth="1"/>
    <col min="6" max="6" width="10.69921875" customWidth="1"/>
    <col min="7" max="7" width="10.296875" customWidth="1"/>
    <col min="8" max="8" width="12.8984375" customWidth="1"/>
    <col min="9" max="9" width="12.59765625" customWidth="1"/>
    <col min="10" max="10" width="10.296875" customWidth="1"/>
    <col min="11" max="11" width="11.59765625" customWidth="1"/>
    <col min="12" max="12" width="10.296875" customWidth="1"/>
    <col min="13" max="13" width="14.296875" customWidth="1"/>
    <col min="14" max="14" width="11" customWidth="1"/>
    <col min="16" max="16" width="9.3984375" customWidth="1"/>
    <col min="17" max="17" width="9.09765625" customWidth="1"/>
    <col min="18" max="18" width="12.59765625" customWidth="1"/>
    <col min="19" max="19" width="14.296875" customWidth="1"/>
    <col min="20" max="20" width="12.69921875" customWidth="1"/>
    <col min="21" max="21" width="13.69921875" customWidth="1"/>
    <col min="22" max="22" width="12.8984375" customWidth="1"/>
  </cols>
  <sheetData>
    <row r="2" spans="2:23" ht="24.75" customHeight="1">
      <c r="B2" s="1522" t="e">
        <f>+"BẢNG TỔNG HỢP VẬT LIỆU CHO 01 MÓNG BẢN   MB"&amp;Tra!C121&amp;"-"&amp;Tra!C122&amp;"x"&amp;Tra!E122</f>
        <v>#REF!</v>
      </c>
      <c r="C2" s="1522"/>
      <c r="D2" s="1522"/>
      <c r="E2" s="1522"/>
      <c r="F2" s="1522"/>
      <c r="G2" s="1522"/>
      <c r="H2" s="1522"/>
      <c r="I2" s="1522"/>
      <c r="J2" s="1522"/>
      <c r="K2" s="1522"/>
      <c r="L2" s="1522"/>
      <c r="M2" s="1522"/>
      <c r="N2" s="1522"/>
      <c r="P2" s="1521" t="s">
        <v>528</v>
      </c>
      <c r="Q2" s="1521"/>
      <c r="R2" s="1521"/>
      <c r="S2" s="1521"/>
      <c r="T2" s="1521"/>
      <c r="U2" s="1521"/>
      <c r="V2" s="1521"/>
      <c r="W2" s="364"/>
    </row>
    <row r="3" spans="2:23" ht="36" customHeight="1">
      <c r="B3" s="1523" t="s">
        <v>479</v>
      </c>
      <c r="C3" s="1524"/>
      <c r="D3" s="1524" t="s">
        <v>474</v>
      </c>
      <c r="E3" s="1524"/>
      <c r="F3" s="1524"/>
      <c r="G3" s="1524"/>
      <c r="H3" s="1524"/>
      <c r="I3" s="1524"/>
      <c r="J3" s="1524"/>
      <c r="K3" s="1524"/>
      <c r="L3" s="1524"/>
      <c r="M3" s="1523" t="s">
        <v>475</v>
      </c>
      <c r="N3" s="396" t="s">
        <v>476</v>
      </c>
      <c r="P3" s="1523" t="s">
        <v>479</v>
      </c>
      <c r="Q3" s="1524"/>
      <c r="R3" s="1524" t="s">
        <v>474</v>
      </c>
      <c r="S3" s="1524"/>
      <c r="T3" s="1524"/>
      <c r="U3" s="1523" t="s">
        <v>475</v>
      </c>
      <c r="V3" s="417" t="s">
        <v>476</v>
      </c>
      <c r="W3" s="365"/>
    </row>
    <row r="4" spans="2:23" ht="20.25" customHeight="1">
      <c r="B4" s="335" t="s">
        <v>5</v>
      </c>
      <c r="C4" s="335" t="s">
        <v>477</v>
      </c>
      <c r="D4" s="335" t="s">
        <v>491</v>
      </c>
      <c r="E4" s="335" t="s">
        <v>495</v>
      </c>
      <c r="F4" s="335" t="s">
        <v>496</v>
      </c>
      <c r="G4" s="335" t="s">
        <v>497</v>
      </c>
      <c r="H4" s="335" t="s">
        <v>498</v>
      </c>
      <c r="I4" s="335" t="s">
        <v>492</v>
      </c>
      <c r="J4" s="335" t="s">
        <v>493</v>
      </c>
      <c r="K4" s="335" t="s">
        <v>494</v>
      </c>
      <c r="L4" s="335" t="s">
        <v>499</v>
      </c>
      <c r="M4" s="1523"/>
      <c r="N4" s="397" t="s">
        <v>487</v>
      </c>
      <c r="P4" s="335" t="s">
        <v>524</v>
      </c>
      <c r="Q4" s="335" t="s">
        <v>477</v>
      </c>
      <c r="R4" s="335" t="s">
        <v>530</v>
      </c>
      <c r="S4" s="335" t="s">
        <v>531</v>
      </c>
      <c r="T4" s="335" t="s">
        <v>532</v>
      </c>
      <c r="U4" s="1523"/>
      <c r="V4" s="418" t="str">
        <f>+N4</f>
        <v>BL 56</v>
      </c>
      <c r="W4" s="355"/>
    </row>
    <row r="5" spans="2:23" s="413" customFormat="1" ht="20.25" customHeight="1">
      <c r="B5" s="412" t="e">
        <f>+Tra!G147</f>
        <v>#REF!</v>
      </c>
      <c r="C5" s="412" t="e">
        <f>+Tra!G148</f>
        <v>#REF!</v>
      </c>
      <c r="D5" s="411">
        <f>+SUMIF($C$9:$C$17,D4,$F$9:$F$17)</f>
        <v>0</v>
      </c>
      <c r="E5" s="411">
        <f t="shared" ref="E5:L5" si="0">+SUMIF($C$9:$C$17,E4,$F$9:$F$17)</f>
        <v>0</v>
      </c>
      <c r="F5" s="411">
        <f t="shared" si="0"/>
        <v>0</v>
      </c>
      <c r="G5" s="411">
        <f t="shared" si="0"/>
        <v>0</v>
      </c>
      <c r="H5" s="411">
        <f t="shared" si="0"/>
        <v>0</v>
      </c>
      <c r="I5" s="411">
        <f t="shared" si="0"/>
        <v>0</v>
      </c>
      <c r="J5" s="411">
        <f t="shared" si="0"/>
        <v>0</v>
      </c>
      <c r="K5" s="411" t="e">
        <f>+SUMIF($C$9:$C$17,K4,$F$9:$F$17)</f>
        <v>#REF!</v>
      </c>
      <c r="L5" s="411">
        <f t="shared" si="0"/>
        <v>0</v>
      </c>
      <c r="M5" s="412" t="e">
        <f>+SUM(D5:L5)</f>
        <v>#REF!</v>
      </c>
      <c r="N5" s="412">
        <f>+VLOOKUP(N4,TongHop!D22:F33,3,FALSE)</f>
        <v>497.92</v>
      </c>
      <c r="P5" s="1482" t="s">
        <v>529</v>
      </c>
      <c r="Q5" s="1482"/>
      <c r="R5" s="1482"/>
      <c r="S5" s="1482"/>
      <c r="T5" s="1482"/>
      <c r="U5" s="1482"/>
      <c r="V5" s="1482"/>
      <c r="W5" s="416"/>
    </row>
    <row r="6" spans="2:23" ht="21.75" customHeight="1">
      <c r="P6" s="412" t="e">
        <f>+B5</f>
        <v>#REF!</v>
      </c>
      <c r="Q6" s="412" t="e">
        <f>+C5</f>
        <v>#REF!</v>
      </c>
      <c r="R6" s="414">
        <f>+ROUND(SUM(D5:G5),0)+100</f>
        <v>100</v>
      </c>
      <c r="S6" s="414">
        <f>+ROUND(SUM(H5:J5),0)+200</f>
        <v>200</v>
      </c>
      <c r="T6" s="414" t="e">
        <f>+ROUND(SUM(K5:L5),0)+100</f>
        <v>#REF!</v>
      </c>
      <c r="U6" s="412" t="e">
        <f>+SUM(R6:T6)</f>
        <v>#REF!</v>
      </c>
      <c r="V6" s="415">
        <v>563.67999999999995</v>
      </c>
    </row>
    <row r="7" spans="2:23" ht="20.25" customHeight="1" thickBot="1">
      <c r="M7" s="336" t="e">
        <f>+G9</f>
        <v>#REF!</v>
      </c>
      <c r="P7" s="1482" t="s">
        <v>533</v>
      </c>
      <c r="Q7" s="1482"/>
      <c r="R7" s="1482"/>
      <c r="S7" s="1482"/>
      <c r="T7" s="1482"/>
      <c r="U7" s="1482"/>
      <c r="V7" s="1482"/>
    </row>
    <row r="8" spans="2:23" ht="16" thickBot="1">
      <c r="B8" s="337" t="s">
        <v>452</v>
      </c>
      <c r="C8" s="338"/>
      <c r="D8" s="339" t="s">
        <v>352</v>
      </c>
      <c r="E8" s="339" t="s">
        <v>383</v>
      </c>
      <c r="F8" s="339" t="s">
        <v>384</v>
      </c>
      <c r="G8" s="340" t="s">
        <v>354</v>
      </c>
      <c r="H8" s="341" t="s">
        <v>449</v>
      </c>
      <c r="P8" s="412" t="e">
        <f>ROUND(P6*12,2)</f>
        <v>#REF!</v>
      </c>
      <c r="Q8" s="412" t="e">
        <f t="shared" ref="Q8:V8" si="1">ROUND(Q6*12,2)</f>
        <v>#REF!</v>
      </c>
      <c r="R8" s="412">
        <f t="shared" si="1"/>
        <v>1200</v>
      </c>
      <c r="S8" s="412">
        <f t="shared" si="1"/>
        <v>2400</v>
      </c>
      <c r="T8" s="412" t="e">
        <f>ROUND(T6*12,2)</f>
        <v>#REF!</v>
      </c>
      <c r="U8" s="412" t="e">
        <f t="shared" si="1"/>
        <v>#REF!</v>
      </c>
      <c r="V8" s="412">
        <f t="shared" si="1"/>
        <v>6764.16</v>
      </c>
    </row>
    <row r="9" spans="2:23" ht="16" thickBot="1">
      <c r="B9" s="342">
        <v>25</v>
      </c>
      <c r="C9" s="343" t="s">
        <v>491</v>
      </c>
      <c r="D9" s="344">
        <f>+Tra!B156</f>
        <v>0</v>
      </c>
      <c r="E9" s="345">
        <f>+ROUND(B9^2*3.14/1000000*7850/4,3)</f>
        <v>3.851</v>
      </c>
      <c r="F9" s="346">
        <f t="shared" ref="F9:F17" si="2">+ROUND(D9*E9,2)</f>
        <v>0</v>
      </c>
      <c r="G9" s="347" t="e">
        <f>+SUM(F9:F17)</f>
        <v>#REF!</v>
      </c>
      <c r="H9" s="348" t="e">
        <f>+G9/B5</f>
        <v>#REF!</v>
      </c>
      <c r="R9" s="395"/>
    </row>
    <row r="10" spans="2:23" ht="15.5">
      <c r="B10" s="349">
        <v>22</v>
      </c>
      <c r="C10" s="350" t="s">
        <v>495</v>
      </c>
      <c r="D10" s="351">
        <f>+Tra!B157</f>
        <v>0</v>
      </c>
      <c r="E10" s="352">
        <f t="shared" ref="E10:E17" si="3">+ROUND(B10^2*3.14/1000000*7850/4,3)</f>
        <v>2.9830000000000001</v>
      </c>
      <c r="F10" s="353">
        <f t="shared" si="2"/>
        <v>0</v>
      </c>
      <c r="G10" s="354"/>
      <c r="H10" s="355"/>
    </row>
    <row r="11" spans="2:23" ht="15.5">
      <c r="B11" s="349">
        <v>20</v>
      </c>
      <c r="C11" s="350" t="s">
        <v>496</v>
      </c>
      <c r="D11" s="351">
        <f>+Tra!B158</f>
        <v>0</v>
      </c>
      <c r="E11" s="352">
        <f t="shared" si="3"/>
        <v>2.4649999999999999</v>
      </c>
      <c r="F11" s="353">
        <f>+ROUND(D11*E11,2)</f>
        <v>0</v>
      </c>
      <c r="G11" s="354"/>
      <c r="H11" s="356"/>
    </row>
    <row r="12" spans="2:23" ht="15.5">
      <c r="B12" s="349">
        <v>18</v>
      </c>
      <c r="C12" s="350" t="s">
        <v>497</v>
      </c>
      <c r="D12" s="351">
        <f>+Tra!B159</f>
        <v>0</v>
      </c>
      <c r="E12" s="352">
        <f t="shared" si="3"/>
        <v>1.9970000000000001</v>
      </c>
      <c r="F12" s="353">
        <f t="shared" si="2"/>
        <v>0</v>
      </c>
      <c r="G12" s="354"/>
      <c r="H12" s="355"/>
    </row>
    <row r="13" spans="2:23" ht="15.5">
      <c r="B13" s="349">
        <v>16</v>
      </c>
      <c r="C13" s="350" t="s">
        <v>498</v>
      </c>
      <c r="D13" s="351">
        <f>+Tra!B160</f>
        <v>0</v>
      </c>
      <c r="E13" s="352">
        <f t="shared" si="3"/>
        <v>1.5780000000000001</v>
      </c>
      <c r="F13" s="353">
        <f t="shared" si="2"/>
        <v>0</v>
      </c>
      <c r="G13" s="354"/>
      <c r="H13" s="356"/>
    </row>
    <row r="14" spans="2:23" ht="15.5">
      <c r="B14" s="349">
        <v>14</v>
      </c>
      <c r="C14" s="350" t="s">
        <v>492</v>
      </c>
      <c r="D14" s="351">
        <f>+Tra!B161</f>
        <v>0</v>
      </c>
      <c r="E14" s="352">
        <f t="shared" si="3"/>
        <v>1.208</v>
      </c>
      <c r="F14" s="353">
        <f t="shared" si="2"/>
        <v>0</v>
      </c>
      <c r="G14" s="354"/>
      <c r="H14" s="356"/>
    </row>
    <row r="15" spans="2:23" ht="15.5">
      <c r="B15" s="349">
        <v>12</v>
      </c>
      <c r="C15" s="350" t="s">
        <v>493</v>
      </c>
      <c r="D15" s="351">
        <f>+Tra!B162</f>
        <v>0</v>
      </c>
      <c r="E15" s="352">
        <f t="shared" si="3"/>
        <v>0.88700000000000001</v>
      </c>
      <c r="F15" s="353">
        <f t="shared" si="2"/>
        <v>0</v>
      </c>
      <c r="G15" s="354"/>
      <c r="H15" s="355"/>
    </row>
    <row r="16" spans="2:23" ht="15.5">
      <c r="B16" s="349">
        <v>10</v>
      </c>
      <c r="C16" s="350" t="s">
        <v>494</v>
      </c>
      <c r="D16" s="351" t="e">
        <f>+Tra!B163</f>
        <v>#REF!</v>
      </c>
      <c r="E16" s="352">
        <f t="shared" si="3"/>
        <v>0.61599999999999999</v>
      </c>
      <c r="F16" s="353" t="e">
        <f t="shared" si="2"/>
        <v>#REF!</v>
      </c>
      <c r="G16" s="354"/>
      <c r="H16" s="357"/>
    </row>
    <row r="17" spans="2:14" ht="16" thickBot="1">
      <c r="B17" s="358">
        <v>8</v>
      </c>
      <c r="C17" s="359" t="s">
        <v>499</v>
      </c>
      <c r="D17" s="360">
        <f>+Tra!B164</f>
        <v>0</v>
      </c>
      <c r="E17" s="361">
        <f t="shared" si="3"/>
        <v>0.39400000000000002</v>
      </c>
      <c r="F17" s="362">
        <f t="shared" si="2"/>
        <v>0</v>
      </c>
      <c r="G17" s="363"/>
      <c r="H17" s="355"/>
    </row>
    <row r="19" spans="2:14" ht="14.5" thickBot="1"/>
    <row r="20" spans="2:14" ht="18">
      <c r="B20" s="26" t="s">
        <v>422</v>
      </c>
      <c r="C20" s="26" t="s">
        <v>459</v>
      </c>
      <c r="D20" s="107" t="s">
        <v>460</v>
      </c>
      <c r="E20" s="107" t="s">
        <v>461</v>
      </c>
      <c r="F20" s="1525" t="s">
        <v>462</v>
      </c>
      <c r="G20" s="1525"/>
      <c r="H20" s="1525"/>
      <c r="J20" s="364"/>
      <c r="K20" s="364"/>
      <c r="L20" s="364"/>
      <c r="M20" s="364"/>
      <c r="N20" s="364"/>
    </row>
    <row r="21" spans="2:14" ht="30" customHeight="1">
      <c r="B21" s="114"/>
      <c r="C21" s="114"/>
      <c r="D21" s="115"/>
      <c r="E21" s="116"/>
      <c r="F21" s="116" t="s">
        <v>426</v>
      </c>
      <c r="G21" s="116" t="s">
        <v>427</v>
      </c>
      <c r="H21" s="116" t="s">
        <v>428</v>
      </c>
      <c r="J21" s="365"/>
      <c r="K21" s="365"/>
      <c r="L21" s="365"/>
    </row>
    <row r="22" spans="2:14" ht="15.5">
      <c r="B22" s="114">
        <v>160</v>
      </c>
      <c r="C22" s="114">
        <v>140</v>
      </c>
      <c r="D22" s="122" t="s">
        <v>480</v>
      </c>
      <c r="E22" s="123">
        <v>21.43</v>
      </c>
      <c r="F22" s="123">
        <f>E22*8</f>
        <v>171.44</v>
      </c>
      <c r="G22" s="123">
        <f t="shared" ref="G22:G33" si="4">+F22*2</f>
        <v>342.88</v>
      </c>
      <c r="H22" s="123">
        <f t="shared" ref="H22:H33" si="5">F22*3</f>
        <v>514.31999999999994</v>
      </c>
      <c r="J22" s="355"/>
      <c r="K22" s="355"/>
      <c r="L22" s="355"/>
    </row>
    <row r="23" spans="2:14" ht="15.5">
      <c r="B23" s="114"/>
      <c r="C23" s="114"/>
      <c r="D23" s="122" t="s">
        <v>481</v>
      </c>
      <c r="E23" s="123">
        <v>21.65</v>
      </c>
      <c r="F23" s="123">
        <f>E23*4</f>
        <v>86.6</v>
      </c>
      <c r="G23" s="123">
        <f t="shared" si="4"/>
        <v>173.2</v>
      </c>
      <c r="H23" s="123">
        <f t="shared" si="5"/>
        <v>259.79999999999995</v>
      </c>
      <c r="J23" s="366"/>
      <c r="K23" s="366"/>
      <c r="L23" s="366"/>
    </row>
    <row r="24" spans="2:14" ht="14.5">
      <c r="B24" s="114">
        <v>180</v>
      </c>
      <c r="C24" s="114">
        <v>160</v>
      </c>
      <c r="D24" s="122" t="s">
        <v>482</v>
      </c>
      <c r="E24" s="123">
        <v>30.44</v>
      </c>
      <c r="F24" s="123">
        <f>E24*8</f>
        <v>243.52</v>
      </c>
      <c r="G24" s="123">
        <f t="shared" si="4"/>
        <v>487.04</v>
      </c>
      <c r="H24" s="123">
        <f t="shared" si="5"/>
        <v>730.56000000000006</v>
      </c>
    </row>
    <row r="25" spans="2:14" ht="14.5">
      <c r="B25" s="114"/>
      <c r="C25" s="114"/>
      <c r="D25" s="122" t="s">
        <v>483</v>
      </c>
      <c r="E25" s="123">
        <v>30.55</v>
      </c>
      <c r="F25" s="123">
        <f>E25*4</f>
        <v>122.2</v>
      </c>
      <c r="G25" s="123">
        <f t="shared" si="4"/>
        <v>244.4</v>
      </c>
      <c r="H25" s="123">
        <f t="shared" si="5"/>
        <v>366.6</v>
      </c>
    </row>
    <row r="26" spans="2:14" ht="14.5">
      <c r="B26" s="114">
        <v>200</v>
      </c>
      <c r="C26" s="114">
        <v>180</v>
      </c>
      <c r="D26" s="122" t="s">
        <v>484</v>
      </c>
      <c r="E26" s="123">
        <v>44.52</v>
      </c>
      <c r="F26" s="123">
        <f>E26*8</f>
        <v>356.16</v>
      </c>
      <c r="G26" s="123">
        <f t="shared" si="4"/>
        <v>712.32</v>
      </c>
      <c r="H26" s="123">
        <f t="shared" si="5"/>
        <v>1068.48</v>
      </c>
    </row>
    <row r="27" spans="2:14" ht="14.5">
      <c r="B27" s="114"/>
      <c r="C27" s="114"/>
      <c r="D27" s="122" t="s">
        <v>485</v>
      </c>
      <c r="E27" s="123">
        <v>44.63</v>
      </c>
      <c r="F27" s="123">
        <f>E27*4</f>
        <v>178.52</v>
      </c>
      <c r="G27" s="123">
        <f t="shared" si="4"/>
        <v>357.04</v>
      </c>
      <c r="H27" s="123">
        <f t="shared" si="5"/>
        <v>535.56000000000006</v>
      </c>
    </row>
    <row r="28" spans="2:14" ht="14.5">
      <c r="B28" s="114"/>
      <c r="C28" s="114"/>
      <c r="D28" s="122" t="s">
        <v>486</v>
      </c>
      <c r="E28" s="123">
        <v>63.15</v>
      </c>
      <c r="F28" s="123">
        <f>E28*8</f>
        <v>505.2</v>
      </c>
      <c r="G28" s="123">
        <f t="shared" si="4"/>
        <v>1010.4</v>
      </c>
      <c r="H28" s="123">
        <f t="shared" si="5"/>
        <v>1515.6</v>
      </c>
    </row>
    <row r="29" spans="2:14" ht="14.5">
      <c r="B29" s="114">
        <v>200</v>
      </c>
      <c r="C29" s="114">
        <v>180</v>
      </c>
      <c r="D29" s="122" t="s">
        <v>487</v>
      </c>
      <c r="E29" s="123">
        <v>31.12</v>
      </c>
      <c r="F29" s="123">
        <f>E29*16</f>
        <v>497.92</v>
      </c>
      <c r="G29" s="123">
        <f t="shared" si="4"/>
        <v>995.84</v>
      </c>
      <c r="H29" s="123">
        <f t="shared" si="5"/>
        <v>1493.76</v>
      </c>
    </row>
    <row r="30" spans="2:14" ht="14.5">
      <c r="B30" s="114">
        <v>220</v>
      </c>
      <c r="C30" s="114">
        <v>200</v>
      </c>
      <c r="D30" s="122" t="s">
        <v>488</v>
      </c>
      <c r="E30" s="123">
        <v>44.03</v>
      </c>
      <c r="F30" s="123">
        <f>E30*16</f>
        <v>704.48</v>
      </c>
      <c r="G30" s="123">
        <f t="shared" si="4"/>
        <v>1408.96</v>
      </c>
      <c r="H30" s="123">
        <f t="shared" si="5"/>
        <v>2113.44</v>
      </c>
    </row>
    <row r="31" spans="2:14" ht="14.5">
      <c r="B31" s="114">
        <v>250</v>
      </c>
      <c r="C31" s="114">
        <v>250</v>
      </c>
      <c r="D31" s="122" t="s">
        <v>489</v>
      </c>
      <c r="E31" s="123">
        <v>58.01</v>
      </c>
      <c r="F31" s="123">
        <f>E31*16</f>
        <v>928.16</v>
      </c>
      <c r="G31" s="123">
        <f t="shared" si="4"/>
        <v>1856.32</v>
      </c>
      <c r="H31" s="123">
        <f t="shared" si="5"/>
        <v>2784.48</v>
      </c>
    </row>
    <row r="32" spans="2:14" ht="14.5">
      <c r="B32" s="114">
        <v>250</v>
      </c>
      <c r="C32" s="114">
        <v>250</v>
      </c>
      <c r="D32" s="122" t="s">
        <v>490</v>
      </c>
      <c r="E32" s="123">
        <v>77.37</v>
      </c>
      <c r="F32" s="123">
        <f>E32*16</f>
        <v>1237.92</v>
      </c>
      <c r="G32" s="123">
        <f t="shared" si="4"/>
        <v>2475.84</v>
      </c>
      <c r="H32" s="123">
        <f t="shared" si="5"/>
        <v>3713.76</v>
      </c>
    </row>
    <row r="33" spans="2:8" ht="15" thickBot="1">
      <c r="B33" s="166">
        <v>270</v>
      </c>
      <c r="C33" s="166">
        <v>270</v>
      </c>
      <c r="D33" s="167" t="s">
        <v>478</v>
      </c>
      <c r="E33" s="168">
        <v>115.9</v>
      </c>
      <c r="F33" s="168">
        <f>E33*16</f>
        <v>1854.4</v>
      </c>
      <c r="G33" s="168">
        <f t="shared" si="4"/>
        <v>3708.8</v>
      </c>
      <c r="H33" s="168">
        <f t="shared" si="5"/>
        <v>5563.2000000000007</v>
      </c>
    </row>
  </sheetData>
  <mergeCells count="11">
    <mergeCell ref="F20:H20"/>
    <mergeCell ref="P3:Q3"/>
    <mergeCell ref="U3:U4"/>
    <mergeCell ref="R3:T3"/>
    <mergeCell ref="P5:V5"/>
    <mergeCell ref="P7:V7"/>
    <mergeCell ref="P2:V2"/>
    <mergeCell ref="B2:N2"/>
    <mergeCell ref="B3:C3"/>
    <mergeCell ref="D3:L3"/>
    <mergeCell ref="M3:M4"/>
  </mergeCells>
  <phoneticPr fontId="2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X176"/>
  <sheetViews>
    <sheetView view="pageBreakPreview" topLeftCell="A16" zoomScale="70" zoomScaleNormal="100" zoomScaleSheetLayoutView="70" workbookViewId="0">
      <selection activeCell="AH3" sqref="AH3"/>
    </sheetView>
  </sheetViews>
  <sheetFormatPr defaultColWidth="9.09765625" defaultRowHeight="19.899999999999999" customHeight="1"/>
  <cols>
    <col min="1" max="10" width="10.69921875" style="2" customWidth="1"/>
    <col min="11" max="11" width="10.69921875" style="4" customWidth="1"/>
    <col min="12" max="12" width="10.69921875" style="3" customWidth="1"/>
    <col min="13" max="13" width="6.59765625" style="4" customWidth="1"/>
    <col min="14" max="16" width="9.09765625" style="4"/>
    <col min="17" max="16384" width="9.09765625" style="2"/>
  </cols>
  <sheetData>
    <row r="1" spans="1:11" ht="19.899999999999999" customHeight="1">
      <c r="A1" s="7"/>
      <c r="B1" s="422"/>
      <c r="C1" s="423"/>
      <c r="D1" s="445"/>
      <c r="E1" s="423"/>
      <c r="F1" s="423"/>
      <c r="G1" s="423"/>
      <c r="H1" s="423"/>
      <c r="I1" s="424"/>
    </row>
    <row r="2" spans="1:11" ht="19.899999999999999" customHeight="1">
      <c r="A2" s="7"/>
      <c r="B2" s="422"/>
      <c r="C2" s="423"/>
      <c r="D2" s="425"/>
      <c r="E2" s="423"/>
      <c r="F2" s="423"/>
      <c r="G2" s="426"/>
      <c r="H2" s="423"/>
    </row>
    <row r="3" spans="1:11" ht="19.899999999999999" customHeight="1">
      <c r="A3" s="7"/>
      <c r="B3" s="422"/>
      <c r="E3" s="423"/>
      <c r="F3" s="427"/>
      <c r="G3" s="428"/>
      <c r="H3" s="423"/>
      <c r="I3" s="429"/>
    </row>
    <row r="4" spans="1:11" ht="19.899999999999999" customHeight="1">
      <c r="A4" s="7"/>
      <c r="B4" s="422"/>
      <c r="C4" s="423"/>
      <c r="D4" s="425"/>
      <c r="F4" s="427"/>
      <c r="G4" s="428"/>
      <c r="I4" s="446"/>
    </row>
    <row r="5" spans="1:11" ht="19.899999999999999" customHeight="1">
      <c r="A5" s="7"/>
      <c r="B5" s="423"/>
      <c r="C5" s="425"/>
      <c r="D5" s="425"/>
      <c r="E5" s="427"/>
      <c r="F5" s="427"/>
      <c r="G5" s="433"/>
      <c r="H5" s="434"/>
      <c r="I5" s="446"/>
    </row>
    <row r="7" spans="1:11" ht="19.899999999999999" customHeight="1">
      <c r="F7" s="435"/>
      <c r="J7" s="6"/>
      <c r="K7" s="9"/>
    </row>
    <row r="8" spans="1:11" ht="19.899999999999999" customHeight="1">
      <c r="F8" s="435"/>
      <c r="G8" s="100"/>
      <c r="H8" s="100"/>
      <c r="J8" s="6"/>
      <c r="K8" s="9"/>
    </row>
    <row r="9" spans="1:11" ht="19.899999999999999" customHeight="1">
      <c r="A9" s="4"/>
      <c r="E9" s="4"/>
      <c r="F9" s="435"/>
      <c r="K9" s="9"/>
    </row>
    <row r="10" spans="1:11" ht="19.899999999999999" customHeight="1">
      <c r="F10" s="436"/>
      <c r="J10" s="6"/>
      <c r="K10" s="9"/>
    </row>
    <row r="11" spans="1:11" ht="19.899999999999999" customHeight="1">
      <c r="F11" s="436"/>
      <c r="G11" s="437"/>
      <c r="H11" s="437"/>
      <c r="J11" s="6"/>
      <c r="K11" s="9"/>
    </row>
    <row r="12" spans="1:11" ht="19.899999999999999" customHeight="1">
      <c r="C12" s="438"/>
      <c r="J12" s="6"/>
      <c r="K12" s="9"/>
    </row>
    <row r="13" spans="1:11" ht="19.899999999999999" customHeight="1">
      <c r="K13" s="9"/>
    </row>
    <row r="14" spans="1:11" ht="19.899999999999999" customHeight="1">
      <c r="B14" s="439"/>
      <c r="E14" s="440"/>
      <c r="F14" s="441"/>
      <c r="J14" s="6"/>
      <c r="K14" s="9"/>
    </row>
    <row r="18" spans="1:12" ht="19.899999999999999" customHeight="1">
      <c r="K18" s="9"/>
    </row>
    <row r="19" spans="1:12" ht="19.899999999999999" customHeight="1">
      <c r="F19" s="439"/>
      <c r="J19" s="6"/>
      <c r="K19" s="9"/>
    </row>
    <row r="20" spans="1:12" ht="19.899999999999999" customHeight="1">
      <c r="F20" s="439"/>
      <c r="G20" s="437"/>
      <c r="H20" s="437"/>
      <c r="J20" s="6"/>
      <c r="K20" s="9"/>
    </row>
    <row r="22" spans="1:12" ht="19.899999999999999" customHeight="1">
      <c r="A22" s="4"/>
      <c r="E22" s="4"/>
      <c r="F22" s="441"/>
      <c r="G22" s="439"/>
      <c r="J22" s="6"/>
      <c r="K22" s="9"/>
    </row>
    <row r="24" spans="1:12" ht="19.899999999999999" customHeight="1">
      <c r="F24" s="435"/>
    </row>
    <row r="25" spans="1:12" ht="19.899999999999999" customHeight="1">
      <c r="J25" s="6"/>
      <c r="K25" s="11"/>
    </row>
    <row r="26" spans="1:12" ht="36.65" customHeight="1">
      <c r="A26" s="1530" t="str">
        <f>"TÍNH TOÁN MÓNG CỘT " &amp;'D122-42'!C3</f>
        <v>TÍNH TOÁN MÓNG CỘT D122-42</v>
      </c>
      <c r="B26" s="1530"/>
      <c r="C26" s="1530"/>
      <c r="D26" s="1530"/>
      <c r="E26" s="1530"/>
      <c r="F26" s="1530"/>
      <c r="G26" s="1530"/>
      <c r="H26" s="1530"/>
      <c r="I26" s="1530"/>
      <c r="J26" s="1530"/>
      <c r="K26" s="1530"/>
      <c r="L26" s="1530"/>
    </row>
    <row r="27" spans="1:12" ht="19.899999999999999" customHeight="1">
      <c r="A27" s="7"/>
      <c r="B27" s="447"/>
      <c r="C27" s="447"/>
      <c r="D27" s="710"/>
      <c r="E27" s="7"/>
      <c r="F27" s="7"/>
      <c r="G27" s="7"/>
      <c r="H27" s="7"/>
      <c r="I27" s="7"/>
      <c r="J27" s="711"/>
      <c r="K27" s="266"/>
      <c r="L27" s="448"/>
    </row>
    <row r="28" spans="1:12" ht="31.9" customHeight="1">
      <c r="A28" s="1531" t="str">
        <f>"MÓNG " &amp;'D122-42'!C4</f>
        <v>MÓNG MB4-10x12-2.5</v>
      </c>
      <c r="B28" s="1531"/>
      <c r="C28" s="1531"/>
      <c r="D28" s="1531"/>
      <c r="E28" s="1531"/>
      <c r="F28" s="1531"/>
      <c r="G28" s="1531"/>
      <c r="H28" s="1531"/>
      <c r="I28" s="1531"/>
      <c r="J28" s="1531"/>
      <c r="K28" s="1531"/>
      <c r="L28" s="1531"/>
    </row>
    <row r="29" spans="1:12" ht="19.899999999999999" customHeight="1">
      <c r="A29" s="5"/>
      <c r="F29" s="100"/>
    </row>
    <row r="30" spans="1:12" ht="19.899999999999999" customHeight="1">
      <c r="B30" s="6"/>
      <c r="C30" s="100"/>
      <c r="E30" s="100"/>
      <c r="J30" s="6"/>
      <c r="K30" s="11"/>
    </row>
    <row r="31" spans="1:12" ht="19.899999999999999" customHeight="1">
      <c r="B31" s="6"/>
      <c r="C31" s="100"/>
      <c r="E31" s="6"/>
      <c r="F31" s="442"/>
    </row>
    <row r="32" spans="1:12" ht="19.899999999999999" customHeight="1">
      <c r="B32" s="6"/>
      <c r="C32" s="100"/>
      <c r="E32" s="6"/>
      <c r="F32" s="442"/>
      <c r="J32" s="6"/>
      <c r="K32" s="432"/>
    </row>
    <row r="33" spans="1:11" ht="19.899999999999999" customHeight="1">
      <c r="B33" s="6"/>
      <c r="C33" s="100"/>
      <c r="E33" s="100"/>
    </row>
    <row r="34" spans="1:11" ht="19.899999999999999" customHeight="1">
      <c r="B34" s="6"/>
      <c r="C34" s="100"/>
      <c r="E34" s="100"/>
      <c r="J34" s="6"/>
      <c r="K34" s="432"/>
    </row>
    <row r="35" spans="1:11" ht="19.899999999999999" customHeight="1">
      <c r="B35" s="6"/>
      <c r="C35" s="100"/>
      <c r="E35" s="100"/>
      <c r="K35" s="432"/>
    </row>
    <row r="36" spans="1:11" ht="19.899999999999999" customHeight="1">
      <c r="B36" s="6"/>
      <c r="C36" s="100"/>
      <c r="E36" s="100"/>
      <c r="J36" s="6"/>
      <c r="K36" s="432"/>
    </row>
    <row r="37" spans="1:11" ht="19.899999999999999" customHeight="1">
      <c r="C37" s="100"/>
      <c r="E37" s="100"/>
    </row>
    <row r="38" spans="1:11" ht="19.899999999999999" customHeight="1">
      <c r="C38" s="100"/>
      <c r="J38" s="6"/>
      <c r="K38" s="9"/>
    </row>
    <row r="39" spans="1:11" ht="19.899999999999999" customHeight="1">
      <c r="A39" s="429"/>
    </row>
    <row r="40" spans="1:11" ht="19.899999999999999" customHeight="1">
      <c r="B40" s="6"/>
      <c r="C40" s="100"/>
      <c r="J40" s="6"/>
      <c r="K40" s="9"/>
    </row>
    <row r="41" spans="1:11" ht="19.899999999999999" customHeight="1">
      <c r="B41" s="6"/>
      <c r="C41" s="100"/>
    </row>
    <row r="42" spans="1:11" ht="19.899999999999999" customHeight="1">
      <c r="B42" s="6"/>
      <c r="C42" s="100"/>
      <c r="J42" s="6"/>
      <c r="K42" s="11"/>
    </row>
    <row r="43" spans="1:11" ht="19.899999999999999" customHeight="1">
      <c r="B43" s="6"/>
      <c r="C43" s="100"/>
      <c r="E43" s="6"/>
      <c r="F43" s="100"/>
      <c r="J43" s="6"/>
      <c r="K43" s="432"/>
    </row>
    <row r="44" spans="1:11" ht="19.899999999999999" customHeight="1">
      <c r="B44" s="6"/>
      <c r="C44" s="100"/>
      <c r="E44" s="6"/>
      <c r="F44" s="100"/>
    </row>
    <row r="45" spans="1:11" ht="19.899999999999999" customHeight="1">
      <c r="B45" s="6"/>
      <c r="J45" s="6"/>
      <c r="K45" s="11"/>
    </row>
    <row r="46" spans="1:11" ht="19.899999999999999" customHeight="1">
      <c r="B46" s="6"/>
      <c r="C46" s="100"/>
      <c r="E46" s="6"/>
      <c r="F46" s="100"/>
      <c r="G46" s="3"/>
      <c r="H46" s="11"/>
      <c r="J46" s="443"/>
      <c r="K46" s="11"/>
    </row>
    <row r="47" spans="1:11" ht="19.899999999999999" customHeight="1">
      <c r="B47" s="6"/>
      <c r="C47" s="100"/>
      <c r="E47" s="6"/>
      <c r="F47" s="100"/>
      <c r="G47" s="3"/>
      <c r="H47" s="11"/>
      <c r="K47" s="11"/>
    </row>
    <row r="48" spans="1:11" ht="19.899999999999999" customHeight="1">
      <c r="A48" s="444"/>
    </row>
    <row r="49" spans="1:24" ht="19.899999999999999" customHeight="1">
      <c r="A49" s="7"/>
      <c r="B49" s="7"/>
      <c r="C49" s="7"/>
      <c r="D49" s="4"/>
      <c r="E49" s="4"/>
      <c r="F49" s="7"/>
      <c r="G49" s="7"/>
      <c r="H49" s="7"/>
      <c r="I49" s="430"/>
      <c r="J49" s="4"/>
      <c r="L49" s="4"/>
    </row>
    <row r="50" spans="1:24" ht="19.899999999999999" customHeight="1">
      <c r="A50" s="7"/>
      <c r="B50" s="7"/>
      <c r="C50" s="7"/>
      <c r="D50" s="4"/>
      <c r="E50" s="4"/>
      <c r="F50" s="7"/>
      <c r="G50" s="7"/>
      <c r="H50" s="7"/>
      <c r="I50" s="4"/>
      <c r="J50" s="4"/>
      <c r="L50" s="4"/>
    </row>
    <row r="51" spans="1:24" ht="19.899999999999999" customHeight="1">
      <c r="D51" s="432"/>
      <c r="E51" s="4"/>
      <c r="I51" s="4"/>
      <c r="J51" s="4"/>
      <c r="L51" s="419"/>
    </row>
    <row r="52" spans="1:24" ht="19.899999999999999" customHeight="1">
      <c r="A52" s="4"/>
      <c r="B52" s="431"/>
      <c r="C52" s="431"/>
      <c r="D52" s="432"/>
      <c r="E52" s="4"/>
      <c r="F52" s="4"/>
      <c r="G52" s="420"/>
      <c r="H52" s="420"/>
      <c r="I52" s="9"/>
      <c r="J52" s="4"/>
      <c r="L52" s="419"/>
      <c r="M52" s="9"/>
    </row>
    <row r="53" spans="1:24" ht="19.899999999999999" customHeight="1">
      <c r="A53" s="4"/>
      <c r="D53" s="432"/>
      <c r="E53" s="4"/>
      <c r="F53" s="4"/>
      <c r="G53" s="420"/>
      <c r="H53" s="420"/>
      <c r="I53" s="4"/>
      <c r="J53" s="4"/>
      <c r="L53" s="419"/>
      <c r="M53" s="9"/>
    </row>
    <row r="54" spans="1:24" s="7" customFormat="1" ht="19.899999999999999" customHeight="1">
      <c r="A54" s="267"/>
      <c r="B54" s="431"/>
      <c r="C54" s="431"/>
      <c r="D54" s="432"/>
      <c r="E54" s="4"/>
      <c r="F54" s="4"/>
      <c r="G54" s="420"/>
      <c r="H54" s="420"/>
      <c r="I54" s="9"/>
      <c r="J54" s="4"/>
      <c r="K54" s="4"/>
      <c r="L54" s="421"/>
      <c r="M54" s="410"/>
      <c r="N54" s="267"/>
      <c r="O54" s="267"/>
      <c r="P54" s="267"/>
    </row>
    <row r="55" spans="1:24" ht="19.899999999999999" customHeight="1">
      <c r="B55" s="431"/>
      <c r="C55" s="431"/>
      <c r="D55" s="432"/>
      <c r="E55" s="4"/>
      <c r="F55" s="4"/>
      <c r="I55" s="9"/>
      <c r="J55" s="4"/>
      <c r="L55" s="419"/>
      <c r="M55" s="9"/>
    </row>
    <row r="56" spans="1:24" ht="19.899999999999999" customHeight="1">
      <c r="A56" s="5"/>
    </row>
    <row r="57" spans="1:24" ht="19.899999999999999" customHeight="1">
      <c r="A57" s="5"/>
    </row>
    <row r="58" spans="1:24" s="4" customFormat="1" ht="19.899999999999999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7"/>
      <c r="L58" s="25"/>
      <c r="M58" s="17"/>
      <c r="Q58" s="2"/>
      <c r="R58" s="2"/>
      <c r="S58" s="2"/>
      <c r="T58" s="2"/>
      <c r="U58" s="2"/>
      <c r="V58" s="2"/>
      <c r="W58" s="2"/>
      <c r="X58" s="2"/>
    </row>
    <row r="59" spans="1:24" s="4" customFormat="1" ht="19.899999999999999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7"/>
      <c r="L59" s="25"/>
      <c r="M59" s="17"/>
      <c r="Q59" s="2"/>
      <c r="R59" s="2"/>
      <c r="S59" s="2"/>
      <c r="T59" s="2"/>
      <c r="U59" s="2"/>
      <c r="V59" s="2"/>
      <c r="W59" s="2"/>
      <c r="X59" s="2"/>
    </row>
    <row r="60" spans="1:24" s="4" customFormat="1" ht="19.899999999999999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7"/>
      <c r="L60" s="25"/>
      <c r="M60" s="17"/>
      <c r="Q60" s="2"/>
      <c r="R60" s="2"/>
      <c r="S60" s="2"/>
      <c r="T60" s="2"/>
      <c r="U60" s="2"/>
      <c r="V60" s="2"/>
      <c r="W60" s="2"/>
      <c r="X60" s="2"/>
    </row>
    <row r="61" spans="1:24" s="4" customFormat="1" ht="19.899999999999999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7"/>
      <c r="L61" s="25"/>
      <c r="M61" s="17"/>
      <c r="Q61" s="2"/>
      <c r="R61" s="2"/>
      <c r="S61" s="2"/>
      <c r="T61" s="2"/>
      <c r="U61" s="2"/>
      <c r="V61" s="2"/>
      <c r="W61" s="2"/>
      <c r="X61" s="2"/>
    </row>
    <row r="62" spans="1:24" s="4" customFormat="1" ht="19.899999999999999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7"/>
      <c r="L62" s="25"/>
      <c r="M62" s="17"/>
      <c r="Q62" s="2"/>
      <c r="R62" s="2"/>
      <c r="S62" s="2"/>
      <c r="T62" s="2"/>
      <c r="U62" s="2"/>
      <c r="V62" s="2"/>
      <c r="W62" s="2"/>
      <c r="X62" s="2"/>
    </row>
    <row r="63" spans="1:24" s="4" customFormat="1" ht="19.899999999999999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7"/>
      <c r="L63" s="25"/>
      <c r="M63" s="17"/>
      <c r="Q63" s="2"/>
      <c r="R63" s="2"/>
      <c r="S63" s="2"/>
      <c r="T63" s="2"/>
      <c r="U63" s="2"/>
      <c r="V63" s="2"/>
      <c r="W63" s="2"/>
      <c r="X63" s="2"/>
    </row>
    <row r="64" spans="1:24" s="4" customFormat="1" ht="19.899999999999999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7"/>
      <c r="L64" s="25"/>
      <c r="M64" s="17"/>
      <c r="Q64" s="2"/>
      <c r="R64" s="2"/>
      <c r="S64" s="2"/>
      <c r="T64" s="2"/>
      <c r="U64" s="2"/>
      <c r="V64" s="2"/>
      <c r="W64" s="2"/>
      <c r="X64" s="2"/>
    </row>
    <row r="65" spans="1:24" ht="19.899999999999999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7"/>
      <c r="L65" s="25"/>
      <c r="M65" s="17"/>
    </row>
    <row r="66" spans="1:24" ht="19.899999999999999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7"/>
      <c r="L66" s="25"/>
      <c r="M66" s="17"/>
    </row>
    <row r="67" spans="1:24" ht="19.899999999999999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7"/>
      <c r="L67" s="25"/>
      <c r="M67" s="17"/>
    </row>
    <row r="68" spans="1:24" ht="19.899999999999999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7"/>
      <c r="L68" s="25"/>
      <c r="M68" s="17"/>
    </row>
    <row r="69" spans="1:24" ht="19.899999999999999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7"/>
      <c r="L69" s="25"/>
      <c r="M69" s="17"/>
    </row>
    <row r="70" spans="1:24" ht="19.899999999999999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7"/>
      <c r="L70" s="25"/>
      <c r="M70" s="17"/>
    </row>
    <row r="71" spans="1:24" ht="19.899999999999999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7"/>
      <c r="L71" s="25"/>
      <c r="M71" s="17"/>
    </row>
    <row r="72" spans="1:24" ht="19.899999999999999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7"/>
      <c r="L72" s="25"/>
      <c r="M72" s="17"/>
    </row>
    <row r="73" spans="1:24" ht="19.899999999999999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7"/>
      <c r="L73" s="25"/>
      <c r="M73" s="17"/>
    </row>
    <row r="74" spans="1:24" ht="19.899999999999999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7"/>
      <c r="L74" s="25"/>
      <c r="M74" s="17"/>
    </row>
    <row r="75" spans="1:24" ht="19.899999999999999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7"/>
      <c r="L75" s="25"/>
      <c r="M75" s="17"/>
    </row>
    <row r="76" spans="1:24" ht="19.899999999999999" customHeight="1" thickBo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7"/>
      <c r="L76" s="25"/>
      <c r="M76" s="17"/>
    </row>
    <row r="77" spans="1:24" ht="19.899999999999999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7"/>
      <c r="M77" s="62"/>
      <c r="N77" s="41"/>
      <c r="O77" s="41"/>
      <c r="P77" s="64"/>
      <c r="Q77" s="17"/>
      <c r="R77" s="13"/>
      <c r="S77" s="13"/>
      <c r="T77" s="13"/>
      <c r="U77" s="13"/>
      <c r="V77" s="13"/>
      <c r="W77" s="13"/>
      <c r="X77" s="13"/>
    </row>
    <row r="78" spans="1:24" ht="19.899999999999999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7"/>
      <c r="M78" s="65"/>
      <c r="N78" s="17"/>
      <c r="O78" s="17"/>
      <c r="P78" s="31"/>
      <c r="Q78" s="17"/>
      <c r="R78" s="13"/>
      <c r="S78" s="13"/>
      <c r="T78" s="13"/>
      <c r="U78" s="13"/>
      <c r="V78" s="13"/>
      <c r="W78" s="13"/>
      <c r="X78" s="13"/>
    </row>
    <row r="79" spans="1:24" ht="19.899999999999999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7"/>
      <c r="M79" s="65"/>
      <c r="N79" s="17"/>
      <c r="O79" s="17"/>
      <c r="P79" s="31"/>
      <c r="Q79" s="17"/>
      <c r="R79" s="13"/>
      <c r="S79" s="13"/>
      <c r="T79" s="13"/>
      <c r="U79" s="13"/>
      <c r="V79" s="13"/>
      <c r="W79" s="13"/>
      <c r="X79" s="13"/>
    </row>
    <row r="80" spans="1:24" ht="19.899999999999999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7"/>
      <c r="M80" s="65"/>
      <c r="N80" s="17"/>
      <c r="O80" s="17"/>
      <c r="P80" s="31"/>
      <c r="Q80" s="17"/>
      <c r="R80" s="13"/>
      <c r="S80" s="13"/>
      <c r="T80" s="13"/>
      <c r="U80" s="13"/>
      <c r="V80" s="13"/>
      <c r="W80" s="13"/>
      <c r="X80" s="13"/>
    </row>
    <row r="81" spans="1:24" ht="19.899999999999999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7"/>
      <c r="M81" s="65"/>
      <c r="N81" s="17"/>
      <c r="O81" s="17"/>
      <c r="P81" s="66"/>
      <c r="Q81" s="17"/>
      <c r="R81" s="13"/>
      <c r="S81" s="13"/>
      <c r="T81" s="13"/>
      <c r="U81" s="13"/>
      <c r="V81" s="13"/>
      <c r="W81" s="13"/>
      <c r="X81" s="13"/>
    </row>
    <row r="82" spans="1:24" ht="19.899999999999999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7"/>
      <c r="M82" s="65"/>
      <c r="N82" s="17"/>
      <c r="O82" s="17"/>
      <c r="P82" s="67"/>
      <c r="Q82" s="17"/>
      <c r="R82" s="13"/>
      <c r="S82" s="13"/>
      <c r="T82" s="13"/>
      <c r="U82" s="13"/>
      <c r="V82" s="13"/>
      <c r="W82" s="13"/>
      <c r="X82" s="13"/>
    </row>
    <row r="83" spans="1:24" ht="19.899999999999999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7"/>
      <c r="M83" s="65"/>
      <c r="N83" s="17"/>
      <c r="O83" s="17"/>
      <c r="P83" s="68"/>
      <c r="Q83" s="17"/>
      <c r="R83" s="23"/>
      <c r="S83" s="24"/>
      <c r="T83" s="24"/>
      <c r="U83" s="24"/>
      <c r="V83" s="24"/>
      <c r="W83" s="13"/>
      <c r="X83" s="13"/>
    </row>
    <row r="84" spans="1:24" ht="19.899999999999999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7"/>
      <c r="M84" s="65"/>
      <c r="N84" s="17"/>
      <c r="O84" s="17"/>
      <c r="P84" s="31"/>
      <c r="Q84" s="17"/>
      <c r="R84" s="13"/>
      <c r="S84" s="13"/>
      <c r="T84" s="13"/>
      <c r="U84" s="13"/>
      <c r="V84" s="13"/>
      <c r="W84" s="13"/>
      <c r="X84" s="13"/>
    </row>
    <row r="85" spans="1:24" ht="19.899999999999999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7"/>
      <c r="M85" s="65"/>
      <c r="N85" s="17"/>
      <c r="O85" s="17"/>
      <c r="P85" s="31"/>
      <c r="Q85" s="17"/>
      <c r="R85" s="13"/>
      <c r="S85" s="13"/>
      <c r="T85" s="13"/>
      <c r="U85" s="13"/>
      <c r="V85" s="13"/>
      <c r="W85" s="13"/>
      <c r="X85" s="13"/>
    </row>
    <row r="86" spans="1:24" ht="19.899999999999999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7"/>
      <c r="M86" s="65"/>
      <c r="N86" s="17"/>
      <c r="O86" s="17"/>
      <c r="P86" s="31"/>
      <c r="Q86" s="17"/>
      <c r="R86" s="13"/>
      <c r="S86" s="13"/>
      <c r="T86" s="13"/>
      <c r="U86" s="13"/>
      <c r="V86" s="13"/>
      <c r="W86" s="13"/>
      <c r="X86" s="13"/>
    </row>
    <row r="87" spans="1:24" ht="19.899999999999999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7"/>
      <c r="M87" s="65"/>
      <c r="N87" s="17"/>
      <c r="O87" s="17"/>
      <c r="P87" s="31"/>
      <c r="Q87" s="17"/>
      <c r="R87" s="13"/>
      <c r="S87" s="13"/>
      <c r="T87" s="13"/>
      <c r="U87" s="13"/>
      <c r="V87" s="13"/>
      <c r="W87" s="13"/>
      <c r="X87" s="13"/>
    </row>
    <row r="88" spans="1:24" ht="19.899999999999999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7"/>
      <c r="M88" s="65"/>
      <c r="N88" s="17"/>
      <c r="O88" s="17"/>
      <c r="P88" s="31"/>
      <c r="Q88" s="17"/>
      <c r="R88" s="13"/>
      <c r="S88" s="13"/>
      <c r="T88" s="13"/>
      <c r="U88" s="13"/>
      <c r="V88" s="13"/>
      <c r="W88" s="13"/>
      <c r="X88" s="13"/>
    </row>
    <row r="89" spans="1:24" ht="19.899999999999999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7"/>
      <c r="M89" s="65"/>
      <c r="N89" s="17"/>
      <c r="O89" s="17"/>
      <c r="P89" s="31"/>
      <c r="Q89" s="17"/>
      <c r="R89" s="13"/>
      <c r="S89" s="14"/>
      <c r="T89" s="14"/>
      <c r="U89" s="13"/>
      <c r="V89" s="13"/>
      <c r="W89" s="13"/>
      <c r="X89" s="13"/>
    </row>
    <row r="90" spans="1:24" ht="19.899999999999999" customHeight="1" thickBo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7"/>
      <c r="M90" s="65"/>
      <c r="N90" s="17"/>
      <c r="O90" s="17"/>
      <c r="P90" s="31"/>
      <c r="Q90" s="17"/>
      <c r="R90" s="13"/>
      <c r="S90" s="14"/>
      <c r="T90" s="14"/>
      <c r="U90" s="13"/>
      <c r="V90" s="13"/>
      <c r="W90" s="13"/>
      <c r="X90" s="13"/>
    </row>
    <row r="91" spans="1:24" ht="19.899999999999999" customHeight="1" thickBo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7"/>
      <c r="M91" s="65"/>
      <c r="N91" s="1532"/>
      <c r="O91" s="1533"/>
      <c r="P91" s="66"/>
      <c r="Q91" s="17"/>
      <c r="R91" s="13"/>
      <c r="S91" s="14"/>
      <c r="T91" s="14"/>
      <c r="U91" s="13"/>
      <c r="V91" s="13"/>
      <c r="W91" s="13"/>
      <c r="X91" s="13"/>
    </row>
    <row r="92" spans="1:24" ht="19.899999999999999" customHeight="1" thickBo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7"/>
      <c r="M92" s="65"/>
      <c r="N92" s="1526"/>
      <c r="O92" s="1527"/>
      <c r="P92" s="31"/>
      <c r="Q92" s="17"/>
      <c r="R92" s="13"/>
      <c r="S92" s="14"/>
      <c r="T92" s="14"/>
      <c r="U92" s="13"/>
      <c r="V92" s="13"/>
      <c r="W92" s="13"/>
      <c r="X92" s="13"/>
    </row>
    <row r="93" spans="1:24" ht="19.899999999999999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7"/>
      <c r="M93" s="44"/>
      <c r="N93" s="19"/>
      <c r="O93" s="18"/>
      <c r="P93" s="31"/>
      <c r="Q93" s="17"/>
      <c r="R93" s="13"/>
      <c r="S93" s="14"/>
      <c r="T93" s="14"/>
      <c r="U93" s="13"/>
      <c r="V93" s="13"/>
      <c r="W93" s="13"/>
      <c r="X93" s="13"/>
    </row>
    <row r="94" spans="1:24" ht="19.899999999999999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7"/>
      <c r="M94" s="45"/>
      <c r="N94" s="58"/>
      <c r="O94" s="32"/>
      <c r="P94" s="31"/>
      <c r="Q94" s="17"/>
      <c r="R94" s="13"/>
      <c r="S94" s="14"/>
      <c r="T94" s="14"/>
      <c r="U94" s="13"/>
      <c r="V94" s="13"/>
      <c r="W94" s="13"/>
      <c r="X94" s="13"/>
    </row>
    <row r="95" spans="1:24" ht="19.899999999999999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7"/>
      <c r="M95" s="46"/>
      <c r="N95" s="34"/>
      <c r="O95" s="32"/>
      <c r="P95" s="31"/>
      <c r="Q95" s="17"/>
      <c r="R95" s="13"/>
      <c r="S95" s="14"/>
      <c r="T95" s="14"/>
      <c r="U95" s="13"/>
      <c r="V95" s="13"/>
      <c r="W95" s="13"/>
      <c r="X95" s="13"/>
    </row>
    <row r="96" spans="1:24" ht="19.899999999999999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7"/>
      <c r="M96" s="1528"/>
      <c r="N96" s="36"/>
      <c r="O96" s="35"/>
      <c r="P96" s="31"/>
      <c r="Q96" s="17"/>
      <c r="R96" s="25"/>
      <c r="S96" s="13"/>
      <c r="T96" s="14"/>
      <c r="U96" s="13"/>
      <c r="V96" s="13"/>
      <c r="W96" s="13"/>
      <c r="X96" s="13"/>
    </row>
    <row r="97" spans="1:24" ht="19.899999999999999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7"/>
      <c r="M97" s="1529"/>
      <c r="N97" s="38"/>
      <c r="O97" s="37"/>
      <c r="P97" s="31"/>
      <c r="Q97" s="17"/>
      <c r="R97" s="25"/>
      <c r="S97" s="13"/>
      <c r="T97" s="14"/>
      <c r="U97" s="13"/>
      <c r="V97" s="13"/>
      <c r="W97" s="13"/>
      <c r="X97" s="13"/>
    </row>
    <row r="98" spans="1:24" ht="19.899999999999999" customHeight="1" thickBo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7"/>
      <c r="M98" s="47"/>
      <c r="N98" s="40"/>
      <c r="O98" s="39"/>
      <c r="P98" s="31"/>
      <c r="Q98" s="17"/>
      <c r="R98" s="13"/>
      <c r="S98" s="13"/>
      <c r="T98" s="13"/>
      <c r="U98" s="13"/>
      <c r="V98" s="13"/>
      <c r="W98" s="13"/>
      <c r="X98" s="13"/>
    </row>
    <row r="99" spans="1:24" ht="19.899999999999999" customHeight="1" thickBo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7"/>
      <c r="M99" s="62"/>
      <c r="N99" s="17"/>
      <c r="O99" s="17"/>
      <c r="P99" s="31"/>
      <c r="Q99" s="17"/>
      <c r="R99" s="13"/>
      <c r="S99" s="13"/>
      <c r="T99" s="13"/>
      <c r="U99" s="13"/>
      <c r="V99" s="13"/>
      <c r="W99" s="13"/>
      <c r="X99" s="13"/>
    </row>
    <row r="100" spans="1:24" ht="19.899999999999999" customHeight="1" thickBo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7"/>
      <c r="M100" s="48"/>
      <c r="N100" s="17"/>
      <c r="O100" s="17"/>
      <c r="P100" s="31"/>
      <c r="Q100" s="17"/>
      <c r="R100" s="13"/>
      <c r="S100" s="14"/>
      <c r="T100" s="14"/>
      <c r="U100" s="13"/>
      <c r="V100" s="13"/>
      <c r="W100" s="13"/>
      <c r="X100" s="13"/>
    </row>
    <row r="101" spans="1:24" ht="19.899999999999999" customHeight="1" thickBo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7"/>
      <c r="M101" s="49"/>
      <c r="N101" s="17"/>
      <c r="O101" s="17"/>
      <c r="P101" s="31"/>
      <c r="Q101" s="17"/>
      <c r="R101"/>
      <c r="S101" s="14"/>
      <c r="T101" s="14"/>
      <c r="U101" s="13"/>
      <c r="V101" s="13"/>
      <c r="W101" s="13"/>
      <c r="X101" s="13"/>
    </row>
    <row r="102" spans="1:24" ht="19.899999999999999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7"/>
      <c r="M102" s="50"/>
      <c r="N102" s="30"/>
      <c r="O102" s="17"/>
      <c r="P102" s="31"/>
      <c r="Q102" s="17"/>
      <c r="R102"/>
      <c r="S102" s="13"/>
      <c r="T102" s="14"/>
      <c r="U102" s="13"/>
      <c r="V102" s="13"/>
      <c r="W102" s="13"/>
      <c r="X102" s="13"/>
    </row>
    <row r="103" spans="1:24" ht="19.899999999999999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7"/>
      <c r="M103" s="51"/>
      <c r="N103" s="30"/>
      <c r="O103" s="17"/>
      <c r="P103" s="31"/>
      <c r="Q103" s="17"/>
      <c r="R103"/>
      <c r="S103" s="13"/>
      <c r="T103" s="13"/>
      <c r="U103" s="13"/>
      <c r="V103" s="13"/>
      <c r="W103" s="13"/>
      <c r="X103" s="13"/>
    </row>
    <row r="104" spans="1:24" ht="19.899999999999999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7"/>
      <c r="M104" s="51"/>
      <c r="N104" s="30"/>
      <c r="O104" s="17"/>
      <c r="P104" s="31"/>
      <c r="Q104" s="17"/>
      <c r="R104"/>
      <c r="S104" s="13"/>
      <c r="T104" s="13"/>
      <c r="U104" s="13"/>
      <c r="V104" s="13"/>
      <c r="W104" s="13"/>
      <c r="X104" s="13"/>
    </row>
    <row r="105" spans="1:24" ht="19.899999999999999" customHeight="1" thickBo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7"/>
      <c r="M105" s="52"/>
      <c r="N105" s="30"/>
      <c r="O105" s="17"/>
      <c r="P105" s="31"/>
      <c r="Q105" s="17"/>
      <c r="R105"/>
      <c r="S105" s="13"/>
      <c r="T105" s="13"/>
      <c r="U105" s="13"/>
      <c r="V105" s="13"/>
      <c r="W105" s="13"/>
      <c r="X105" s="13"/>
    </row>
    <row r="106" spans="1:24" ht="19.899999999999999" customHeight="1" thickBo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7"/>
      <c r="M106" s="53"/>
      <c r="N106" s="30"/>
      <c r="O106" s="17"/>
      <c r="P106" s="31"/>
      <c r="Q106" s="17"/>
      <c r="R106"/>
      <c r="S106" s="13"/>
      <c r="T106" s="13"/>
      <c r="U106" s="13"/>
      <c r="V106" s="13"/>
      <c r="W106" s="13"/>
      <c r="X106" s="13"/>
    </row>
    <row r="107" spans="1:24" ht="19.899999999999999" customHeight="1" thickBo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7"/>
      <c r="M107" s="54"/>
      <c r="N107" s="17"/>
      <c r="O107" s="17"/>
      <c r="P107" s="31"/>
      <c r="Q107" s="17"/>
      <c r="R107"/>
      <c r="S107" s="14"/>
      <c r="T107" s="14"/>
      <c r="U107" s="13"/>
      <c r="V107" s="13"/>
      <c r="W107" s="13"/>
      <c r="X107" s="13"/>
    </row>
    <row r="108" spans="1:24" ht="19.899999999999999" customHeight="1" thickBo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7"/>
      <c r="M108" s="55"/>
      <c r="N108" s="17"/>
      <c r="O108" s="17"/>
      <c r="P108" s="31"/>
      <c r="Q108" s="17"/>
      <c r="R108"/>
      <c r="S108" s="14"/>
      <c r="T108" s="13"/>
      <c r="U108" s="13"/>
      <c r="V108" s="14"/>
      <c r="W108" s="13"/>
      <c r="X108" s="13"/>
    </row>
    <row r="109" spans="1:24" ht="19.899999999999999" customHeight="1" thickBo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7"/>
      <c r="M109" s="56"/>
      <c r="N109" s="17"/>
      <c r="O109" s="17"/>
      <c r="P109" s="31"/>
      <c r="Q109" s="17"/>
      <c r="R109"/>
      <c r="S109" s="14"/>
      <c r="T109" s="13"/>
      <c r="U109" s="13"/>
      <c r="V109" s="14"/>
      <c r="W109" s="13"/>
      <c r="X109" s="13"/>
    </row>
    <row r="110" spans="1:24" ht="19.899999999999999" customHeight="1" thickBo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7"/>
      <c r="M110" s="57"/>
      <c r="N110" s="17"/>
      <c r="O110" s="17"/>
      <c r="P110" s="31"/>
      <c r="Q110" s="17"/>
      <c r="R110" s="13"/>
      <c r="S110" s="14"/>
      <c r="T110" s="13"/>
      <c r="U110" s="23"/>
      <c r="V110" s="13"/>
      <c r="W110" s="13"/>
      <c r="X110" s="14"/>
    </row>
    <row r="111" spans="1:24" ht="19.899999999999999" customHeight="1" thickBo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7"/>
      <c r="M111" s="57"/>
      <c r="N111" s="17"/>
      <c r="O111" s="17"/>
      <c r="P111" s="31"/>
      <c r="Q111" s="17"/>
      <c r="R111" s="13"/>
      <c r="S111" s="14"/>
      <c r="T111" s="13"/>
      <c r="U111" s="15"/>
      <c r="V111" s="13"/>
      <c r="W111" s="13"/>
      <c r="X111" s="13"/>
    </row>
    <row r="112" spans="1:24" ht="19.899999999999999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7"/>
      <c r="M112" s="69"/>
      <c r="N112" s="17"/>
      <c r="O112" s="17"/>
      <c r="P112" s="31"/>
      <c r="Q112" s="17"/>
      <c r="R112" s="13"/>
      <c r="S112" s="14"/>
      <c r="T112" s="13"/>
      <c r="U112" s="15"/>
      <c r="V112" s="13"/>
      <c r="W112" s="13"/>
      <c r="X112" s="13"/>
    </row>
    <row r="113" spans="1:24" ht="19.899999999999999" customHeight="1" thickBo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7"/>
      <c r="M113" s="70"/>
      <c r="N113" s="17"/>
      <c r="O113" s="17"/>
      <c r="P113" s="31"/>
      <c r="Q113" s="17"/>
      <c r="R113" s="13"/>
      <c r="S113" s="13"/>
      <c r="T113" s="13"/>
      <c r="U113" s="13"/>
      <c r="V113" s="13"/>
      <c r="W113" s="13"/>
      <c r="X113" s="13"/>
    </row>
    <row r="114" spans="1:24" ht="19.899999999999999" customHeight="1" thickBo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7"/>
      <c r="M114" s="59"/>
      <c r="N114" s="17"/>
      <c r="O114" s="17"/>
      <c r="P114" s="31"/>
      <c r="Q114" s="17"/>
      <c r="R114" s="13"/>
      <c r="S114" s="13"/>
      <c r="T114" s="13"/>
      <c r="U114" s="13"/>
      <c r="V114" s="13"/>
      <c r="W114" s="13"/>
      <c r="X114" s="13"/>
    </row>
    <row r="115" spans="1:24" ht="19.899999999999999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7"/>
      <c r="M115" s="42"/>
      <c r="N115" s="17"/>
      <c r="O115" s="17"/>
      <c r="P115" s="31"/>
      <c r="Q115" s="17"/>
      <c r="R115" s="13"/>
      <c r="S115" s="13"/>
      <c r="T115" s="13"/>
      <c r="U115" s="13"/>
      <c r="V115" s="13"/>
      <c r="W115" s="13"/>
      <c r="X115" s="13"/>
    </row>
    <row r="116" spans="1:24" ht="19.899999999999999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7"/>
      <c r="M116" s="33"/>
      <c r="N116" s="17"/>
      <c r="O116" s="17"/>
      <c r="P116" s="31"/>
      <c r="Q116" s="17"/>
      <c r="R116" s="13"/>
      <c r="S116" s="13"/>
      <c r="T116" s="13"/>
      <c r="U116" s="13"/>
      <c r="V116" s="13"/>
      <c r="W116" s="13"/>
      <c r="X116" s="13"/>
    </row>
    <row r="117" spans="1:24" ht="19.899999999999999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7"/>
      <c r="M117" s="33"/>
      <c r="N117" s="17"/>
      <c r="O117" s="17"/>
      <c r="P117" s="31"/>
      <c r="Q117" s="17"/>
      <c r="R117" s="13"/>
      <c r="S117" s="13"/>
      <c r="T117" s="13"/>
      <c r="U117" s="13"/>
      <c r="V117" s="13"/>
      <c r="W117" s="13"/>
      <c r="X117" s="13"/>
    </row>
    <row r="118" spans="1:24" ht="19.899999999999999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7"/>
      <c r="M118" s="60"/>
      <c r="N118" s="17"/>
      <c r="O118" s="17"/>
      <c r="P118" s="31"/>
      <c r="Q118" s="17"/>
      <c r="R118" s="13"/>
      <c r="S118" s="13"/>
      <c r="T118" s="13"/>
      <c r="U118" s="13"/>
      <c r="V118" s="13"/>
      <c r="W118" s="13"/>
      <c r="X118" s="13"/>
    </row>
    <row r="119" spans="1:24" ht="19.899999999999999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7"/>
      <c r="M119" s="33"/>
      <c r="N119" s="17"/>
      <c r="O119" s="17"/>
      <c r="P119" s="31"/>
      <c r="Q119" s="17"/>
      <c r="R119" s="13"/>
      <c r="S119" s="13"/>
      <c r="T119" s="13"/>
      <c r="U119" s="13"/>
      <c r="V119" s="13"/>
      <c r="W119" s="13"/>
      <c r="X119" s="13"/>
    </row>
    <row r="120" spans="1:24" ht="19.899999999999999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7"/>
      <c r="M120" s="60"/>
      <c r="N120" s="17"/>
      <c r="O120" s="17"/>
      <c r="P120" s="31"/>
      <c r="Q120" s="17"/>
      <c r="R120" s="13"/>
      <c r="S120" s="13"/>
      <c r="T120" s="13"/>
      <c r="U120" s="13"/>
      <c r="V120" s="13"/>
      <c r="W120" s="13"/>
      <c r="X120" s="13"/>
    </row>
    <row r="121" spans="1:24" ht="19.899999999999999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7"/>
      <c r="M121" s="60"/>
      <c r="N121" s="17"/>
      <c r="O121" s="17"/>
      <c r="P121" s="31"/>
      <c r="Q121" s="17"/>
      <c r="R121" s="13"/>
      <c r="S121" s="13"/>
      <c r="T121" s="13"/>
      <c r="U121" s="13"/>
      <c r="V121" s="13"/>
      <c r="W121" s="13"/>
      <c r="X121" s="13"/>
    </row>
    <row r="122" spans="1:24" ht="19.899999999999999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7"/>
      <c r="M122" s="60"/>
      <c r="N122" s="17"/>
      <c r="O122" s="17"/>
      <c r="P122" s="31"/>
      <c r="Q122" s="17"/>
      <c r="R122" s="13"/>
      <c r="S122" s="13"/>
      <c r="T122" s="13"/>
      <c r="U122" s="13"/>
      <c r="V122" s="13"/>
      <c r="W122" s="13"/>
      <c r="X122" s="13"/>
    </row>
    <row r="123" spans="1:24" ht="19.899999999999999" customHeight="1" thickBo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7"/>
      <c r="M123" s="61"/>
      <c r="N123" s="17"/>
      <c r="O123" s="17"/>
      <c r="P123" s="31"/>
      <c r="Q123" s="17"/>
      <c r="R123" s="13"/>
      <c r="S123" s="13"/>
      <c r="T123" s="13"/>
      <c r="U123" s="13"/>
      <c r="V123" s="13"/>
      <c r="W123" s="13"/>
      <c r="X123" s="13"/>
    </row>
    <row r="124" spans="1:24" ht="19.899999999999999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7"/>
      <c r="M124" s="71"/>
      <c r="N124" s="17"/>
      <c r="O124" s="17"/>
      <c r="P124" s="31"/>
      <c r="Q124" s="17"/>
      <c r="R124" s="13"/>
      <c r="S124" s="13"/>
      <c r="T124" s="13"/>
      <c r="U124" s="13"/>
      <c r="V124" s="13"/>
      <c r="W124" s="13"/>
      <c r="X124" s="13"/>
    </row>
    <row r="125" spans="1:24" ht="19.899999999999999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7"/>
      <c r="M125" s="65"/>
      <c r="N125" s="17"/>
      <c r="O125" s="17"/>
      <c r="P125" s="31"/>
      <c r="Q125" s="17"/>
      <c r="R125" s="13"/>
      <c r="S125" s="13"/>
      <c r="T125" s="13"/>
      <c r="U125" s="13"/>
      <c r="V125" s="13"/>
      <c r="W125" s="13"/>
      <c r="X125" s="13"/>
    </row>
    <row r="126" spans="1:24" ht="19.899999999999999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7"/>
      <c r="M126" s="65"/>
      <c r="N126" s="17"/>
      <c r="O126" s="17"/>
      <c r="P126" s="31"/>
      <c r="Q126" s="17"/>
      <c r="R126" s="13"/>
      <c r="S126" s="13"/>
      <c r="T126" s="13"/>
      <c r="U126" s="13"/>
      <c r="V126" s="13"/>
      <c r="W126" s="13"/>
      <c r="X126" s="13"/>
    </row>
    <row r="127" spans="1:24" ht="19.899999999999999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7"/>
      <c r="M127" s="65"/>
      <c r="N127" s="17"/>
      <c r="O127" s="17"/>
      <c r="P127" s="31"/>
      <c r="Q127" s="17"/>
      <c r="R127" s="13"/>
      <c r="S127" s="13"/>
      <c r="T127" s="13"/>
      <c r="U127" s="13"/>
      <c r="V127" s="13"/>
      <c r="W127" s="13"/>
      <c r="X127" s="13"/>
    </row>
    <row r="128" spans="1:24" ht="19.899999999999999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7"/>
      <c r="M128" s="65"/>
      <c r="N128" s="17"/>
      <c r="O128" s="17"/>
      <c r="P128" s="31"/>
      <c r="Q128" s="17"/>
      <c r="R128" s="13"/>
      <c r="S128" s="13"/>
      <c r="T128" s="13"/>
      <c r="U128" s="13"/>
      <c r="V128" s="13"/>
      <c r="W128" s="13"/>
      <c r="X128" s="13"/>
    </row>
    <row r="129" spans="1:24" ht="19.899999999999999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7"/>
      <c r="M129" s="71"/>
      <c r="N129" s="30"/>
      <c r="O129" s="17"/>
      <c r="P129" s="31"/>
      <c r="Q129" s="17"/>
      <c r="R129" s="13"/>
      <c r="S129" s="13"/>
      <c r="T129" s="13"/>
      <c r="U129" s="13"/>
      <c r="V129" s="13"/>
      <c r="W129" s="13"/>
      <c r="X129" s="13"/>
    </row>
    <row r="130" spans="1:24" ht="19.899999999999999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7"/>
      <c r="M130" s="65"/>
      <c r="N130" s="30"/>
      <c r="O130" s="17"/>
      <c r="P130" s="31"/>
      <c r="Q130" s="17"/>
      <c r="R130" s="13"/>
      <c r="S130" s="13"/>
      <c r="T130" s="13"/>
      <c r="U130" s="13"/>
      <c r="V130" s="13"/>
      <c r="W130" s="13"/>
      <c r="X130" s="13"/>
    </row>
    <row r="131" spans="1:24" ht="19.899999999999999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7"/>
      <c r="M131" s="65"/>
      <c r="N131" s="30"/>
      <c r="O131" s="17"/>
      <c r="P131" s="31"/>
      <c r="Q131" s="17"/>
      <c r="R131" s="13"/>
      <c r="S131" s="13"/>
      <c r="T131" s="13"/>
      <c r="U131" s="13"/>
      <c r="V131" s="13"/>
      <c r="W131" s="13"/>
      <c r="X131" s="13"/>
    </row>
    <row r="132" spans="1:24" ht="19.899999999999999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7"/>
      <c r="M132" s="72"/>
      <c r="N132" s="30"/>
      <c r="O132" s="17"/>
      <c r="P132" s="31"/>
      <c r="Q132" s="17"/>
      <c r="R132" s="13"/>
      <c r="S132" s="13"/>
      <c r="T132" s="13"/>
      <c r="U132" s="13"/>
      <c r="V132" s="13"/>
      <c r="W132" s="13"/>
      <c r="X132" s="13"/>
    </row>
    <row r="133" spans="1:24" ht="19.899999999999999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7"/>
      <c r="M133" s="51"/>
      <c r="N133" s="30"/>
      <c r="O133" s="17"/>
      <c r="P133" s="31"/>
      <c r="Q133" s="17"/>
      <c r="R133" s="13"/>
      <c r="S133" s="13"/>
      <c r="T133" s="13"/>
      <c r="U133" s="13"/>
      <c r="V133" s="13"/>
      <c r="W133" s="13"/>
      <c r="X133" s="13"/>
    </row>
    <row r="134" spans="1:24" ht="19.899999999999999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7"/>
      <c r="M134" s="73"/>
      <c r="N134" s="30"/>
      <c r="O134" s="17"/>
      <c r="P134" s="31"/>
      <c r="Q134" s="17"/>
      <c r="R134" s="13"/>
      <c r="S134" s="13"/>
      <c r="T134" s="13"/>
      <c r="U134" s="13"/>
      <c r="V134" s="13"/>
      <c r="W134" s="13"/>
      <c r="X134" s="13"/>
    </row>
    <row r="135" spans="1:24" ht="19.899999999999999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7"/>
      <c r="M135" s="74"/>
      <c r="N135" s="17"/>
      <c r="O135" s="17"/>
      <c r="P135" s="31"/>
      <c r="Q135" s="17"/>
      <c r="R135" s="13"/>
      <c r="S135" s="13"/>
      <c r="T135" s="13"/>
      <c r="U135" s="13"/>
      <c r="V135" s="13"/>
      <c r="W135" s="13"/>
      <c r="X135" s="13"/>
    </row>
    <row r="136" spans="1:24" ht="19.899999999999999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7"/>
      <c r="M136" s="65"/>
      <c r="N136" s="17"/>
      <c r="O136" s="17"/>
      <c r="P136" s="31"/>
      <c r="Q136" s="17"/>
      <c r="R136" s="13"/>
      <c r="S136" s="13"/>
      <c r="T136" s="13"/>
      <c r="U136" s="13"/>
      <c r="V136" s="13"/>
      <c r="W136" s="13"/>
      <c r="X136" s="13"/>
    </row>
    <row r="137" spans="1:24" ht="19.899999999999999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7"/>
      <c r="M137" s="65"/>
      <c r="N137" s="17"/>
      <c r="O137" s="17"/>
      <c r="P137" s="31"/>
      <c r="Q137" s="17"/>
      <c r="R137" s="13"/>
      <c r="S137" s="13"/>
      <c r="T137" s="13"/>
      <c r="U137" s="13"/>
      <c r="V137" s="13"/>
      <c r="W137" s="13"/>
      <c r="X137" s="13"/>
    </row>
    <row r="138" spans="1:24" ht="19.899999999999999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7"/>
      <c r="M138" s="75"/>
      <c r="N138" s="17"/>
      <c r="O138" s="17"/>
      <c r="P138" s="31"/>
      <c r="Q138" s="17"/>
      <c r="R138" s="13"/>
      <c r="S138" s="13"/>
      <c r="T138" s="13"/>
      <c r="U138" s="13"/>
      <c r="V138" s="13"/>
      <c r="W138" s="13"/>
      <c r="X138" s="13"/>
    </row>
    <row r="139" spans="1:24" ht="19.899999999999999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7"/>
      <c r="M139" s="76"/>
      <c r="N139" s="17"/>
      <c r="O139" s="17"/>
      <c r="P139" s="31"/>
      <c r="Q139" s="17"/>
      <c r="R139" s="13"/>
      <c r="S139" s="13"/>
      <c r="T139" s="13"/>
      <c r="U139" s="13"/>
      <c r="V139" s="13"/>
      <c r="W139" s="13"/>
      <c r="X139" s="13"/>
    </row>
    <row r="140" spans="1:24" ht="19.899999999999999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7"/>
      <c r="M140" s="76"/>
      <c r="N140" s="17"/>
      <c r="O140" s="17"/>
      <c r="P140" s="31"/>
      <c r="Q140" s="17"/>
      <c r="R140" s="13"/>
      <c r="S140" s="13"/>
      <c r="T140" s="13"/>
      <c r="U140" s="13"/>
      <c r="V140" s="13"/>
      <c r="W140" s="13"/>
      <c r="X140" s="13"/>
    </row>
    <row r="141" spans="1:24" ht="19.899999999999999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7"/>
      <c r="M141" s="76"/>
      <c r="N141" s="17"/>
      <c r="O141" s="17"/>
      <c r="P141" s="31"/>
      <c r="Q141" s="17"/>
      <c r="R141" s="13"/>
      <c r="S141" s="13"/>
      <c r="T141" s="13"/>
      <c r="U141" s="13"/>
      <c r="V141" s="13"/>
      <c r="W141" s="13"/>
      <c r="X141" s="13"/>
    </row>
    <row r="142" spans="1:24" ht="19.899999999999999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7"/>
      <c r="M142" s="75"/>
      <c r="N142" s="17"/>
      <c r="O142" s="17"/>
      <c r="P142" s="31"/>
      <c r="Q142" s="17"/>
      <c r="R142" s="13"/>
      <c r="S142" s="13"/>
      <c r="T142" s="13"/>
      <c r="U142" s="13"/>
      <c r="V142" s="13"/>
      <c r="W142" s="13"/>
      <c r="X142" s="13"/>
    </row>
    <row r="143" spans="1:24" ht="19.899999999999999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7"/>
      <c r="M143" s="76"/>
      <c r="N143" s="17"/>
      <c r="O143" s="17"/>
      <c r="P143" s="31"/>
      <c r="Q143" s="17"/>
      <c r="R143" s="13"/>
      <c r="S143" s="13"/>
      <c r="T143" s="13"/>
      <c r="U143" s="13"/>
      <c r="V143" s="13"/>
      <c r="W143" s="13"/>
      <c r="X143" s="13"/>
    </row>
    <row r="144" spans="1:24" ht="19.899999999999999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7"/>
      <c r="M144" s="76"/>
      <c r="N144" s="17"/>
      <c r="O144" s="17"/>
      <c r="P144" s="31"/>
      <c r="Q144" s="17"/>
      <c r="R144" s="13"/>
      <c r="S144" s="13"/>
      <c r="T144" s="13"/>
      <c r="U144" s="13"/>
      <c r="V144" s="13"/>
      <c r="W144" s="13"/>
      <c r="X144" s="13"/>
    </row>
    <row r="145" spans="1:24" ht="19.899999999999999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7"/>
      <c r="M145" s="75"/>
      <c r="N145" s="17"/>
      <c r="O145" s="17"/>
      <c r="P145" s="31"/>
      <c r="Q145" s="17"/>
      <c r="R145" s="13"/>
      <c r="S145" s="13"/>
      <c r="T145" s="13"/>
      <c r="U145" s="13"/>
      <c r="V145" s="13"/>
      <c r="W145" s="13"/>
      <c r="X145" s="13"/>
    </row>
    <row r="146" spans="1:24" ht="19.899999999999999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7"/>
      <c r="M146" s="76"/>
      <c r="N146" s="17"/>
      <c r="O146" s="17"/>
      <c r="P146" s="31"/>
      <c r="Q146" s="17"/>
      <c r="R146" s="13"/>
      <c r="S146" s="13"/>
      <c r="T146" s="13"/>
      <c r="U146" s="13"/>
      <c r="V146" s="13"/>
      <c r="W146" s="13"/>
      <c r="X146" s="13"/>
    </row>
    <row r="147" spans="1:24" ht="19.899999999999999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7"/>
      <c r="M147" s="76"/>
      <c r="N147" s="17"/>
      <c r="O147" s="17"/>
      <c r="P147" s="31"/>
      <c r="Q147" s="17"/>
      <c r="R147" s="13"/>
      <c r="S147" s="13"/>
      <c r="T147" s="13"/>
      <c r="U147" s="13"/>
      <c r="V147" s="13"/>
      <c r="W147" s="13"/>
      <c r="X147" s="13"/>
    </row>
    <row r="148" spans="1:24" ht="19.899999999999999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7"/>
      <c r="M148" s="65"/>
      <c r="N148" s="17"/>
      <c r="O148" s="17"/>
      <c r="P148" s="31"/>
      <c r="Q148" s="17"/>
      <c r="R148" s="13"/>
      <c r="S148" s="13"/>
      <c r="T148" s="13"/>
      <c r="U148" s="13"/>
      <c r="V148" s="13"/>
      <c r="W148" s="13"/>
      <c r="X148" s="13"/>
    </row>
    <row r="149" spans="1:24" ht="19.899999999999999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7"/>
      <c r="M149" s="65"/>
      <c r="N149" s="17"/>
      <c r="O149" s="17"/>
      <c r="P149" s="31"/>
      <c r="Q149" s="17"/>
      <c r="R149" s="13"/>
      <c r="S149" s="13"/>
      <c r="T149" s="13"/>
      <c r="U149" s="13"/>
      <c r="V149" s="13"/>
      <c r="W149" s="13"/>
      <c r="X149" s="13"/>
    </row>
    <row r="150" spans="1:24" ht="19.899999999999999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7"/>
      <c r="M150" s="65"/>
      <c r="N150" s="17"/>
      <c r="O150" s="17"/>
      <c r="P150" s="31"/>
      <c r="Q150" s="17"/>
      <c r="R150" s="13"/>
      <c r="S150" s="13"/>
      <c r="T150" s="13"/>
      <c r="U150" s="13"/>
      <c r="V150" s="13"/>
      <c r="W150" s="13"/>
      <c r="X150" s="13"/>
    </row>
    <row r="151" spans="1:24" ht="19.899999999999999" customHeight="1" thickBo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7"/>
      <c r="M151" s="77"/>
      <c r="N151" s="78"/>
      <c r="O151" s="78"/>
      <c r="P151" s="79"/>
      <c r="Q151" s="17"/>
      <c r="R151" s="13"/>
      <c r="S151" s="13"/>
      <c r="T151" s="13"/>
      <c r="U151" s="13"/>
      <c r="V151" s="13"/>
      <c r="W151" s="13"/>
      <c r="X151" s="13"/>
    </row>
    <row r="152" spans="1:24" ht="19.899999999999999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7"/>
      <c r="M152" s="25"/>
      <c r="N152" s="17"/>
      <c r="O152" s="17"/>
      <c r="P152" s="17"/>
      <c r="Q152" s="17"/>
      <c r="R152" s="13"/>
      <c r="S152" s="13"/>
      <c r="T152" s="13"/>
      <c r="U152" s="13"/>
      <c r="V152" s="13"/>
      <c r="W152" s="13"/>
      <c r="X152" s="13"/>
    </row>
    <row r="153" spans="1:24" ht="19.899999999999999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7"/>
      <c r="M153" s="25"/>
      <c r="N153" s="17"/>
      <c r="O153" s="17"/>
      <c r="P153" s="17"/>
      <c r="Q153" s="17"/>
      <c r="R153" s="13"/>
      <c r="S153" s="13"/>
      <c r="T153" s="13"/>
      <c r="U153" s="13"/>
      <c r="V153" s="13"/>
      <c r="W153" s="13"/>
      <c r="X153" s="13"/>
    </row>
    <row r="154" spans="1:24" ht="19.899999999999999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7"/>
      <c r="L154" s="25"/>
      <c r="M154" s="17"/>
      <c r="N154" s="17"/>
      <c r="O154" s="17"/>
      <c r="P154" s="17"/>
      <c r="Q154" s="13"/>
      <c r="R154" s="13"/>
      <c r="S154" s="13"/>
      <c r="T154" s="13"/>
      <c r="U154" s="13"/>
      <c r="V154" s="13"/>
      <c r="W154" s="13"/>
      <c r="X154" s="13"/>
    </row>
    <row r="155" spans="1:24" ht="19.899999999999999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7"/>
      <c r="L155" s="25"/>
      <c r="M155" s="17"/>
      <c r="N155" s="17"/>
      <c r="O155" s="17"/>
      <c r="P155" s="17"/>
      <c r="Q155" s="13"/>
      <c r="R155" s="13"/>
      <c r="S155" s="13"/>
      <c r="T155" s="13"/>
      <c r="U155" s="13"/>
      <c r="V155" s="13"/>
      <c r="W155" s="13"/>
      <c r="X155" s="13"/>
    </row>
    <row r="156" spans="1:24" ht="19.899999999999999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7"/>
      <c r="L156" s="25"/>
      <c r="M156" s="17"/>
    </row>
    <row r="157" spans="1:24" ht="19.899999999999999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7"/>
      <c r="L157" s="25"/>
      <c r="M157" s="17"/>
    </row>
    <row r="158" spans="1:24" ht="19.899999999999999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7"/>
      <c r="L158" s="25"/>
      <c r="M158" s="17"/>
    </row>
    <row r="159" spans="1:24" ht="19.899999999999999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7"/>
      <c r="L159" s="25"/>
      <c r="M159" s="17"/>
    </row>
    <row r="160" spans="1:24" ht="19.899999999999999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7"/>
      <c r="L160" s="25"/>
      <c r="M160" s="17"/>
    </row>
    <row r="161" spans="1:24" s="4" customFormat="1" ht="19.899999999999999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7"/>
      <c r="L161" s="25"/>
      <c r="M161" s="17"/>
      <c r="Q161" s="2"/>
      <c r="R161" s="2"/>
      <c r="S161" s="2"/>
      <c r="T161" s="2"/>
      <c r="U161" s="2"/>
      <c r="V161" s="2"/>
      <c r="W161" s="2"/>
      <c r="X161" s="2"/>
    </row>
    <row r="162" spans="1:24" s="4" customFormat="1" ht="19.899999999999999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7"/>
      <c r="L162" s="25"/>
      <c r="M162" s="17"/>
      <c r="Q162" s="2"/>
      <c r="R162" s="2"/>
      <c r="S162" s="2"/>
      <c r="T162" s="2"/>
      <c r="U162" s="2"/>
      <c r="V162" s="2"/>
      <c r="W162" s="2"/>
      <c r="X162" s="2"/>
    </row>
    <row r="163" spans="1:24" s="4" customFormat="1" ht="19.899999999999999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7"/>
      <c r="L163" s="25"/>
      <c r="M163" s="17"/>
      <c r="Q163" s="2"/>
      <c r="R163" s="2"/>
      <c r="S163" s="2"/>
      <c r="T163" s="2"/>
      <c r="U163" s="2"/>
      <c r="V163" s="2"/>
      <c r="W163" s="2"/>
      <c r="X163" s="2"/>
    </row>
    <row r="164" spans="1:24" s="4" customFormat="1" ht="19.899999999999999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7"/>
      <c r="L164" s="25"/>
      <c r="M164" s="17"/>
      <c r="Q164" s="2"/>
      <c r="R164" s="2"/>
      <c r="S164" s="2"/>
      <c r="T164" s="2"/>
      <c r="U164" s="2"/>
      <c r="V164" s="2"/>
      <c r="W164" s="2"/>
      <c r="X164" s="2"/>
    </row>
    <row r="165" spans="1:24" s="4" customFormat="1" ht="19.899999999999999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7"/>
      <c r="L165" s="25"/>
      <c r="M165" s="17"/>
      <c r="Q165" s="2"/>
      <c r="R165" s="2"/>
      <c r="S165" s="2"/>
      <c r="T165" s="2"/>
      <c r="U165" s="2"/>
      <c r="V165" s="2"/>
      <c r="W165" s="2"/>
      <c r="X165" s="2"/>
    </row>
    <row r="166" spans="1:24" s="4" customFormat="1" ht="19.899999999999999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7"/>
      <c r="L166" s="25"/>
      <c r="M166" s="17"/>
      <c r="Q166" s="2"/>
      <c r="R166" s="2"/>
      <c r="S166" s="2"/>
      <c r="T166" s="2"/>
      <c r="U166" s="2"/>
      <c r="V166" s="2"/>
      <c r="W166" s="2"/>
      <c r="X166" s="2"/>
    </row>
    <row r="167" spans="1:24" s="4" customFormat="1" ht="19.899999999999999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7"/>
      <c r="L167" s="25"/>
      <c r="M167" s="17"/>
      <c r="Q167" s="2"/>
      <c r="R167" s="2"/>
      <c r="S167" s="2"/>
      <c r="T167" s="2"/>
      <c r="U167" s="2"/>
      <c r="V167" s="2"/>
      <c r="W167" s="2"/>
      <c r="X167" s="2"/>
    </row>
    <row r="168" spans="1:24" s="4" customFormat="1" ht="19.899999999999999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7"/>
      <c r="L168" s="25"/>
      <c r="M168" s="17"/>
      <c r="Q168" s="2"/>
      <c r="R168" s="2"/>
      <c r="S168" s="2"/>
      <c r="T168" s="2"/>
      <c r="U168" s="2"/>
      <c r="V168" s="2"/>
      <c r="W168" s="2"/>
      <c r="X168" s="2"/>
    </row>
    <row r="169" spans="1:24" s="4" customFormat="1" ht="19.899999999999999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7"/>
      <c r="L169" s="25"/>
      <c r="M169" s="17"/>
      <c r="Q169" s="2"/>
      <c r="R169" s="2"/>
      <c r="S169" s="2"/>
      <c r="T169" s="2"/>
      <c r="U169" s="2"/>
      <c r="V169" s="2"/>
      <c r="W169" s="2"/>
      <c r="X169" s="2"/>
    </row>
    <row r="170" spans="1:24" s="4" customFormat="1" ht="19.899999999999999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7"/>
      <c r="L170" s="25"/>
      <c r="M170" s="17"/>
      <c r="Q170" s="2"/>
      <c r="R170" s="2"/>
      <c r="S170" s="2"/>
      <c r="T170" s="2"/>
      <c r="U170" s="2"/>
      <c r="V170" s="2"/>
      <c r="W170" s="2"/>
      <c r="X170" s="2"/>
    </row>
    <row r="171" spans="1:24" s="4" customFormat="1" ht="19.899999999999999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7"/>
      <c r="L171" s="25"/>
      <c r="M171" s="17"/>
      <c r="Q171" s="2"/>
      <c r="R171" s="2"/>
      <c r="S171" s="2"/>
      <c r="T171" s="2"/>
      <c r="U171" s="2"/>
      <c r="V171" s="2"/>
      <c r="W171" s="2"/>
      <c r="X171" s="2"/>
    </row>
    <row r="172" spans="1:24" s="4" customFormat="1" ht="19.899999999999999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7"/>
      <c r="L172" s="25"/>
      <c r="M172" s="17"/>
      <c r="Q172" s="2"/>
      <c r="R172" s="2"/>
      <c r="S172" s="2"/>
      <c r="T172" s="2"/>
      <c r="U172" s="2"/>
      <c r="V172" s="2"/>
      <c r="W172" s="2"/>
      <c r="X172" s="2"/>
    </row>
    <row r="173" spans="1:24" s="4" customFormat="1" ht="19.899999999999999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7"/>
      <c r="L173" s="25"/>
      <c r="M173" s="17"/>
      <c r="Q173" s="2"/>
      <c r="R173" s="2"/>
      <c r="S173" s="2"/>
      <c r="T173" s="2"/>
      <c r="U173" s="2"/>
      <c r="V173" s="2"/>
      <c r="W173" s="2"/>
      <c r="X173" s="2"/>
    </row>
    <row r="174" spans="1:24" s="4" customFormat="1" ht="19.899999999999999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7"/>
      <c r="L174" s="25"/>
      <c r="M174" s="17"/>
      <c r="Q174" s="2"/>
      <c r="R174" s="2"/>
      <c r="S174" s="2"/>
      <c r="T174" s="2"/>
      <c r="U174" s="2"/>
      <c r="V174" s="2"/>
      <c r="W174" s="2"/>
      <c r="X174" s="2"/>
    </row>
    <row r="175" spans="1:24" s="4" customFormat="1" ht="19.899999999999999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7"/>
      <c r="L175" s="25"/>
      <c r="M175" s="17"/>
      <c r="Q175" s="2"/>
      <c r="R175" s="2"/>
      <c r="S175" s="2"/>
      <c r="T175" s="2"/>
      <c r="U175" s="2"/>
      <c r="V175" s="2"/>
      <c r="W175" s="2"/>
      <c r="X175" s="2"/>
    </row>
    <row r="176" spans="1:24" s="4" customFormat="1" ht="19.899999999999999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L176" s="3"/>
      <c r="Q176" s="2"/>
      <c r="R176" s="2"/>
      <c r="S176" s="2"/>
      <c r="T176" s="2"/>
      <c r="U176" s="2"/>
      <c r="V176" s="2"/>
      <c r="W176" s="2"/>
      <c r="X176" s="2"/>
    </row>
  </sheetData>
  <mergeCells count="5">
    <mergeCell ref="N92:O92"/>
    <mergeCell ref="M96:M97"/>
    <mergeCell ref="A26:L26"/>
    <mergeCell ref="A28:L28"/>
    <mergeCell ref="N91:O91"/>
  </mergeCells>
  <printOptions horizontalCentered="1"/>
  <pageMargins left="0.19685039370078741" right="0.19685039370078741" top="0.39370078740157483" bottom="0.39370078740157483" header="0" footer="0"/>
  <pageSetup paperSize="9" scale="77" orientation="portrait" blackAndWhite="1" r:id="rId1"/>
  <headerFooter alignWithMargins="0">
    <oddFooter xml:space="preserve">&amp;C
&amp;R&amp;12&amp;Y </oddFooter>
  </headerFooter>
  <rowBreaks count="1" manualBreakCount="1">
    <brk id="55" max="11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4"/>
  <dimension ref="A1:AO553"/>
  <sheetViews>
    <sheetView view="pageBreakPreview" zoomScaleNormal="100" zoomScaleSheetLayoutView="100" workbookViewId="0">
      <selection activeCell="H137" sqref="H137:H138"/>
    </sheetView>
  </sheetViews>
  <sheetFormatPr defaultColWidth="10.69921875" defaultRowHeight="19.899999999999999" customHeight="1"/>
  <cols>
    <col min="1" max="2" width="12" style="2" customWidth="1"/>
    <col min="3" max="6" width="10.69921875" style="2"/>
    <col min="7" max="7" width="11.296875" style="2" customWidth="1"/>
    <col min="8" max="8" width="11.09765625" style="2" customWidth="1"/>
    <col min="9" max="10" width="10.8984375" style="2" customWidth="1"/>
    <col min="11" max="11" width="10.69921875" style="4"/>
    <col min="12" max="12" width="10.69921875" style="3"/>
    <col min="13" max="21" width="10.69921875" style="4" hidden="1" customWidth="1"/>
    <col min="22" max="33" width="10.69921875" style="4"/>
    <col min="34" max="16384" width="10.69921875" style="2"/>
  </cols>
  <sheetData>
    <row r="1" spans="1:30" ht="19.899999999999999" customHeight="1">
      <c r="A1" s="1589" t="str">
        <f>'D122-42'!A1:B1</f>
        <v>CÔNG TRÌNH</v>
      </c>
      <c r="B1" s="1589"/>
      <c r="C1" s="841" t="str">
        <f>'D122-42'!C1:D1</f>
        <v>NHÀ MÁY ĐIỆN GIÓ KHU DU LỊCH KHAI LONG - CÀ MAU GIAI ĐOẠN 1</v>
      </c>
      <c r="D1" s="841"/>
      <c r="E1" s="841"/>
      <c r="F1" s="841"/>
      <c r="G1" s="841"/>
      <c r="H1" s="758"/>
      <c r="I1" s="424"/>
      <c r="J1" s="842"/>
    </row>
    <row r="2" spans="1:30" ht="19.899999999999999" customHeight="1">
      <c r="A2" s="1589" t="str">
        <f>'D122-42'!A2:B2</f>
        <v>HẠNG MỤC</v>
      </c>
      <c r="B2" s="1589"/>
      <c r="C2" s="841" t="str">
        <f>'D122-42'!C2:D2</f>
        <v>ĐƯỜNG DÂY ĐẤU NỐI</v>
      </c>
      <c r="D2" s="841"/>
      <c r="E2" s="841"/>
      <c r="F2" s="841"/>
      <c r="G2" s="841"/>
      <c r="H2" s="841"/>
      <c r="I2" s="841"/>
      <c r="J2" s="841"/>
      <c r="K2" s="841"/>
      <c r="L2" s="841"/>
      <c r="V2" s="843" t="s">
        <v>981</v>
      </c>
      <c r="W2" s="844"/>
    </row>
    <row r="3" spans="1:30" ht="19.899999999999999" customHeight="1">
      <c r="A3" s="1589" t="str">
        <f>'D122-42'!A3:B3</f>
        <v xml:space="preserve">Cột </v>
      </c>
      <c r="B3" s="1589"/>
      <c r="C3" s="1592" t="str">
        <f>'D122-42'!C3:D3</f>
        <v>D122-42</v>
      </c>
      <c r="D3" s="1590"/>
      <c r="E3" s="1590"/>
      <c r="F3" s="1590"/>
      <c r="G3" s="1590"/>
      <c r="H3" s="1588" t="s">
        <v>944</v>
      </c>
      <c r="I3" s="1588"/>
      <c r="J3" s="2" t="s">
        <v>1007</v>
      </c>
      <c r="N3" s="845"/>
      <c r="O3" s="845"/>
      <c r="V3" s="846"/>
      <c r="W3" s="846" t="str">
        <f>IF(V3="Ao","A","")</f>
        <v/>
      </c>
    </row>
    <row r="4" spans="1:30" ht="19.899999999999999" customHeight="1">
      <c r="A4" s="1589" t="str">
        <f>'D122-42'!A4:B4</f>
        <v>Loại móng</v>
      </c>
      <c r="B4" s="1589"/>
      <c r="C4" s="1590" t="str">
        <f>'D122-42'!C4:D4</f>
        <v>MB4-10x12-2.5</v>
      </c>
      <c r="D4" s="1590"/>
      <c r="E4" s="1590"/>
      <c r="F4" s="1590"/>
      <c r="G4" s="1590"/>
      <c r="H4" s="842"/>
      <c r="I4" s="847"/>
      <c r="J4" s="842"/>
      <c r="N4" s="845"/>
      <c r="O4" s="845"/>
    </row>
    <row r="5" spans="1:30" ht="19.899999999999999" hidden="1" customHeight="1">
      <c r="A5" s="848"/>
      <c r="B5" s="848"/>
      <c r="C5" s="849"/>
      <c r="D5" s="849"/>
      <c r="E5" s="708"/>
      <c r="F5" s="708"/>
      <c r="G5" s="850"/>
      <c r="H5" s="851"/>
      <c r="I5" s="852"/>
      <c r="J5" s="853"/>
      <c r="K5" s="854"/>
      <c r="L5" s="855"/>
    </row>
    <row r="6" spans="1:30" ht="19.899999999999999" customHeight="1">
      <c r="A6" s="842"/>
      <c r="B6" s="842"/>
      <c r="C6" s="842"/>
      <c r="D6" s="842"/>
      <c r="E6" s="842"/>
      <c r="F6" s="842"/>
      <c r="G6" s="842"/>
      <c r="H6" s="842"/>
      <c r="I6" s="842"/>
      <c r="J6" s="856" t="s">
        <v>211</v>
      </c>
      <c r="K6" s="355"/>
      <c r="L6" s="856"/>
      <c r="N6"/>
      <c r="O6"/>
      <c r="P6"/>
      <c r="Q6"/>
      <c r="R6"/>
      <c r="S6"/>
      <c r="T6"/>
      <c r="U6"/>
    </row>
    <row r="7" spans="1:30" ht="19.899999999999999" customHeight="1">
      <c r="A7" s="842"/>
      <c r="B7" s="842"/>
      <c r="C7" s="842"/>
      <c r="D7" s="842"/>
      <c r="E7" s="842"/>
      <c r="F7" s="842"/>
      <c r="G7" s="1584">
        <f>K26</f>
        <v>2.75</v>
      </c>
      <c r="H7" s="842"/>
      <c r="I7" s="842"/>
      <c r="J7" s="857" t="s">
        <v>888</v>
      </c>
      <c r="K7" s="356">
        <f>'D122-42'!K7</f>
        <v>4</v>
      </c>
      <c r="L7" s="856" t="s">
        <v>0</v>
      </c>
      <c r="N7"/>
      <c r="O7"/>
      <c r="P7"/>
      <c r="Q7"/>
      <c r="R7"/>
      <c r="S7"/>
      <c r="T7"/>
      <c r="U7"/>
      <c r="V7" s="858" t="s">
        <v>852</v>
      </c>
    </row>
    <row r="8" spans="1:30" ht="19.899999999999999" customHeight="1">
      <c r="A8" s="842"/>
      <c r="B8" s="842"/>
      <c r="C8" s="842"/>
      <c r="D8" s="842"/>
      <c r="E8" s="842"/>
      <c r="F8" s="842"/>
      <c r="G8" s="1584"/>
      <c r="H8" s="859"/>
      <c r="I8" s="842"/>
      <c r="J8" s="857" t="s">
        <v>889</v>
      </c>
      <c r="K8" s="356">
        <f>'D122-42'!K8</f>
        <v>4</v>
      </c>
      <c r="L8" s="856" t="s">
        <v>0</v>
      </c>
      <c r="N8"/>
      <c r="O8"/>
      <c r="P8"/>
      <c r="Q8"/>
      <c r="R8"/>
      <c r="S8"/>
      <c r="T8"/>
      <c r="U8"/>
      <c r="V8" s="1559" t="s">
        <v>216</v>
      </c>
      <c r="W8" s="1559" t="s">
        <v>217</v>
      </c>
      <c r="X8" s="183" t="s">
        <v>218</v>
      </c>
      <c r="Y8" s="183" t="s">
        <v>163</v>
      </c>
      <c r="Z8" s="1578" t="s">
        <v>39</v>
      </c>
      <c r="AA8" s="1578" t="s">
        <v>220</v>
      </c>
      <c r="AB8" s="860" t="s">
        <v>221</v>
      </c>
      <c r="AC8" s="183" t="s">
        <v>25</v>
      </c>
      <c r="AD8" s="183" t="s">
        <v>26</v>
      </c>
    </row>
    <row r="9" spans="1:30" ht="19.899999999999999" customHeight="1">
      <c r="A9" s="355" t="s">
        <v>214</v>
      </c>
      <c r="B9" s="842"/>
      <c r="C9" s="842"/>
      <c r="D9" s="842"/>
      <c r="E9" s="842"/>
      <c r="F9" s="355" t="s">
        <v>214</v>
      </c>
      <c r="G9" s="1584"/>
      <c r="H9" s="842"/>
      <c r="I9" s="842"/>
      <c r="J9" s="842" t="s">
        <v>606</v>
      </c>
      <c r="K9" s="356"/>
      <c r="L9" s="856"/>
      <c r="N9"/>
      <c r="O9"/>
      <c r="P9"/>
      <c r="Q9"/>
      <c r="R9"/>
      <c r="S9"/>
      <c r="T9"/>
      <c r="U9"/>
      <c r="V9" s="1559"/>
      <c r="W9" s="1559"/>
      <c r="X9" s="861" t="s">
        <v>0</v>
      </c>
      <c r="Y9" s="861" t="s">
        <v>24</v>
      </c>
      <c r="Z9" s="1579"/>
      <c r="AA9" s="1579"/>
      <c r="AB9" s="861" t="s">
        <v>219</v>
      </c>
      <c r="AC9" s="861" t="s">
        <v>10</v>
      </c>
      <c r="AD9" s="861" t="s">
        <v>10</v>
      </c>
    </row>
    <row r="10" spans="1:30" ht="19.899999999999999" customHeight="1">
      <c r="A10" s="842"/>
      <c r="B10" s="842"/>
      <c r="C10" s="842"/>
      <c r="D10" s="842"/>
      <c r="E10" s="842"/>
      <c r="F10" s="842"/>
      <c r="G10" s="1591">
        <f>K16</f>
        <v>0.5</v>
      </c>
      <c r="H10" s="842"/>
      <c r="I10" s="842"/>
      <c r="J10" s="857" t="s">
        <v>112</v>
      </c>
      <c r="K10" s="356">
        <f>'D122-42'!K10</f>
        <v>10</v>
      </c>
      <c r="L10" s="856" t="s">
        <v>0</v>
      </c>
      <c r="N10"/>
      <c r="O10"/>
      <c r="P10"/>
      <c r="Q10"/>
      <c r="R10"/>
      <c r="S10"/>
      <c r="T10"/>
      <c r="U10"/>
      <c r="V10" s="12" t="s">
        <v>1003</v>
      </c>
      <c r="W10" s="862" t="s">
        <v>1004</v>
      </c>
      <c r="X10" s="863">
        <v>1.5</v>
      </c>
      <c r="Y10" s="864">
        <v>1.6</v>
      </c>
      <c r="Z10" s="864">
        <v>2.62</v>
      </c>
      <c r="AA10" s="864">
        <v>1.6353925</v>
      </c>
      <c r="AB10" s="1241">
        <v>2.7833333333333332</v>
      </c>
      <c r="AC10" s="864">
        <v>0.66600000000000059</v>
      </c>
      <c r="AD10" s="864">
        <v>57.233271464646442</v>
      </c>
    </row>
    <row r="11" spans="1:30" ht="19.899999999999999" customHeight="1">
      <c r="A11" s="842"/>
      <c r="B11" s="842"/>
      <c r="C11" s="842"/>
      <c r="D11" s="842"/>
      <c r="E11" s="842"/>
      <c r="F11" s="842"/>
      <c r="G11" s="1591"/>
      <c r="H11" s="866"/>
      <c r="I11" s="842"/>
      <c r="J11" s="857" t="s">
        <v>113</v>
      </c>
      <c r="K11" s="356">
        <f>'D122-42'!K11</f>
        <v>12</v>
      </c>
      <c r="L11" s="856" t="s">
        <v>0</v>
      </c>
      <c r="N11"/>
      <c r="O11"/>
      <c r="P11"/>
      <c r="Q11"/>
      <c r="R11"/>
      <c r="S11"/>
      <c r="T11"/>
      <c r="U11"/>
      <c r="V11" s="12" t="s">
        <v>515</v>
      </c>
      <c r="W11" s="862" t="s">
        <v>1005</v>
      </c>
      <c r="X11" s="863">
        <v>5.7</v>
      </c>
      <c r="Y11" s="864">
        <v>1.62</v>
      </c>
      <c r="Z11" s="864">
        <v>2.63</v>
      </c>
      <c r="AA11" s="864">
        <v>1.5814586419753081</v>
      </c>
      <c r="AB11" s="865">
        <v>3.0833333333333335</v>
      </c>
      <c r="AC11" s="864">
        <v>0.67199999999999993</v>
      </c>
      <c r="AD11" s="864">
        <v>64.163422893027871</v>
      </c>
    </row>
    <row r="12" spans="1:30" ht="19.899999999999999" customHeight="1">
      <c r="A12" s="842"/>
      <c r="B12" s="842"/>
      <c r="C12" s="842"/>
      <c r="D12" s="839">
        <f>K20</f>
        <v>1</v>
      </c>
      <c r="E12" s="842"/>
      <c r="F12" s="842"/>
      <c r="G12" s="842"/>
      <c r="H12" s="842"/>
      <c r="I12" s="842"/>
      <c r="J12" s="857" t="s">
        <v>123</v>
      </c>
      <c r="K12" s="356">
        <f>+ROUND(K11/K10,2)</f>
        <v>1.2</v>
      </c>
      <c r="L12" s="856"/>
      <c r="V12" s="12" t="s">
        <v>1006</v>
      </c>
      <c r="W12" s="862" t="s">
        <v>1005</v>
      </c>
      <c r="X12" s="863">
        <v>10</v>
      </c>
      <c r="Y12" s="864">
        <v>1.56</v>
      </c>
      <c r="Z12" s="864">
        <v>2.62</v>
      </c>
      <c r="AA12" s="864">
        <v>1.8544564102564101</v>
      </c>
      <c r="AB12" s="865">
        <v>2.3666666666666667</v>
      </c>
      <c r="AC12" s="864">
        <v>0.67799999999999927</v>
      </c>
      <c r="AD12" s="864">
        <v>61.990720020720019</v>
      </c>
    </row>
    <row r="13" spans="1:30" ht="19.899999999999999" customHeight="1">
      <c r="A13" s="842"/>
      <c r="B13" s="842"/>
      <c r="C13" s="842"/>
      <c r="D13" s="842"/>
      <c r="E13" s="842"/>
      <c r="F13" s="842"/>
      <c r="G13" s="842"/>
      <c r="H13" s="842"/>
      <c r="I13" s="842"/>
      <c r="J13" s="842" t="s">
        <v>607</v>
      </c>
      <c r="K13" s="356"/>
      <c r="L13" s="856"/>
      <c r="W13" s="862" t="s">
        <v>1000</v>
      </c>
      <c r="X13" s="863">
        <v>12</v>
      </c>
      <c r="Y13" s="864">
        <v>1.49</v>
      </c>
      <c r="Z13" s="864">
        <v>2.61</v>
      </c>
      <c r="AA13" s="864">
        <v>2.1829999999999998</v>
      </c>
      <c r="AB13" s="865">
        <f>1+0.666666666666667</f>
        <v>1.666666666666667</v>
      </c>
      <c r="AC13" s="864">
        <v>0.28000000000000003</v>
      </c>
      <c r="AD13" s="864">
        <v>106</v>
      </c>
    </row>
    <row r="14" spans="1:30" ht="19.899999999999999" customHeight="1">
      <c r="A14" s="842"/>
      <c r="B14" s="842"/>
      <c r="C14" s="1580">
        <f>K20</f>
        <v>1</v>
      </c>
      <c r="D14" s="842"/>
      <c r="E14" s="867"/>
      <c r="F14" s="842"/>
      <c r="G14" s="1581">
        <f>K25</f>
        <v>3.5</v>
      </c>
      <c r="H14" s="842"/>
      <c r="I14" s="842"/>
      <c r="J14" s="857" t="s">
        <v>75</v>
      </c>
      <c r="K14" s="356">
        <f>K38+K40</f>
        <v>3.5</v>
      </c>
      <c r="L14" s="856" t="s">
        <v>0</v>
      </c>
      <c r="AA14" s="4" t="s">
        <v>566</v>
      </c>
    </row>
    <row r="15" spans="1:30" ht="19.899999999999999" customHeight="1">
      <c r="A15" s="842"/>
      <c r="B15" s="842"/>
      <c r="C15" s="1580"/>
      <c r="D15" s="842"/>
      <c r="E15" s="842"/>
      <c r="F15" s="842"/>
      <c r="G15" s="1581"/>
      <c r="H15" s="859"/>
      <c r="I15" s="842"/>
      <c r="J15" s="842" t="s">
        <v>608</v>
      </c>
      <c r="K15" s="356"/>
      <c r="L15" s="856"/>
      <c r="W15" s="4" t="s">
        <v>566</v>
      </c>
    </row>
    <row r="16" spans="1:30" ht="19.899999999999999" customHeight="1">
      <c r="A16" s="355" t="s">
        <v>215</v>
      </c>
      <c r="B16" s="842"/>
      <c r="C16" s="842"/>
      <c r="D16" s="842"/>
      <c r="E16" s="842"/>
      <c r="F16" s="355" t="s">
        <v>215</v>
      </c>
      <c r="G16" s="1581"/>
      <c r="H16" s="1582">
        <f>G7+G10+G14+G19+G21</f>
        <v>10</v>
      </c>
      <c r="I16" s="842"/>
      <c r="J16" s="857" t="s">
        <v>68</v>
      </c>
      <c r="K16" s="356">
        <f>'D122-42'!K16</f>
        <v>0.5</v>
      </c>
      <c r="L16" s="856" t="s">
        <v>0</v>
      </c>
    </row>
    <row r="17" spans="1:19" ht="19.899999999999999" customHeight="1">
      <c r="A17" s="842"/>
      <c r="B17" s="842"/>
      <c r="C17" s="842"/>
      <c r="D17" s="355" t="s">
        <v>633</v>
      </c>
      <c r="E17" s="842"/>
      <c r="F17" s="842"/>
      <c r="G17" s="842"/>
      <c r="H17" s="1582"/>
      <c r="I17" s="842"/>
      <c r="J17" s="857" t="s">
        <v>69</v>
      </c>
      <c r="K17" s="356">
        <f>'D122-42'!K17</f>
        <v>1</v>
      </c>
      <c r="L17" s="856" t="s">
        <v>0</v>
      </c>
    </row>
    <row r="18" spans="1:19" ht="19.899999999999999" customHeight="1">
      <c r="A18" s="842"/>
      <c r="B18" s="842"/>
      <c r="C18" s="842"/>
      <c r="D18" s="842"/>
      <c r="E18" s="842"/>
      <c r="F18" s="842"/>
      <c r="G18" s="842"/>
      <c r="H18" s="842"/>
      <c r="I18" s="842"/>
      <c r="J18" s="842" t="s">
        <v>609</v>
      </c>
      <c r="K18" s="356"/>
      <c r="L18" s="856"/>
    </row>
    <row r="19" spans="1:19" ht="19.899999999999999" customHeight="1" thickBot="1">
      <c r="A19" s="842"/>
      <c r="B19" s="842"/>
      <c r="C19" s="842"/>
      <c r="D19" s="842"/>
      <c r="E19" s="842"/>
      <c r="F19" s="842"/>
      <c r="G19" s="1583">
        <f>K16</f>
        <v>0.5</v>
      </c>
      <c r="H19" s="842"/>
      <c r="I19" s="842"/>
      <c r="J19" s="857" t="s">
        <v>942</v>
      </c>
      <c r="K19" s="356">
        <f>'D122-42'!K19</f>
        <v>0.35</v>
      </c>
      <c r="L19" s="856" t="s">
        <v>0</v>
      </c>
    </row>
    <row r="20" spans="1:19" ht="19.899999999999999" customHeight="1" thickBot="1">
      <c r="A20" s="842"/>
      <c r="B20" s="842"/>
      <c r="C20" s="842"/>
      <c r="D20" s="842"/>
      <c r="E20" s="842"/>
      <c r="F20" s="842"/>
      <c r="G20" s="1583"/>
      <c r="H20" s="866"/>
      <c r="I20" s="842"/>
      <c r="J20" s="857" t="s">
        <v>115</v>
      </c>
      <c r="K20" s="356">
        <f>ROUND(K7/4,1)</f>
        <v>1</v>
      </c>
      <c r="L20" s="856" t="s">
        <v>0</v>
      </c>
      <c r="P20" s="868" t="s">
        <v>71</v>
      </c>
      <c r="Q20" s="869"/>
      <c r="R20" s="870" t="s">
        <v>72</v>
      </c>
      <c r="S20" s="871" t="s">
        <v>73</v>
      </c>
    </row>
    <row r="21" spans="1:19" ht="19.899999999999999" customHeight="1" thickBot="1">
      <c r="A21" s="842"/>
      <c r="B21" s="842"/>
      <c r="C21" s="842"/>
      <c r="D21" s="842"/>
      <c r="E21" s="842"/>
      <c r="F21" s="842"/>
      <c r="G21" s="1584">
        <f>K26</f>
        <v>2.75</v>
      </c>
      <c r="H21" s="842"/>
      <c r="I21" s="842"/>
      <c r="J21" s="857" t="s">
        <v>76</v>
      </c>
      <c r="K21" s="356">
        <f>'D122-42'!K21</f>
        <v>0.35</v>
      </c>
      <c r="L21" s="856" t="s">
        <v>0</v>
      </c>
      <c r="P21" s="872">
        <v>30</v>
      </c>
      <c r="Q21" s="26">
        <f t="shared" ref="Q21:Q41" si="0">+P21/1000</f>
        <v>0.03</v>
      </c>
      <c r="R21" s="873">
        <f>3.14*Q21^2/4*7850</f>
        <v>5.5460250000000002</v>
      </c>
      <c r="S21" s="874">
        <f>3.14*Q21^2/4*10000</f>
        <v>7.0649999999999995</v>
      </c>
    </row>
    <row r="22" spans="1:19" ht="19.899999999999999" customHeight="1">
      <c r="A22" s="842"/>
      <c r="B22" s="842"/>
      <c r="C22" s="842"/>
      <c r="D22" s="842"/>
      <c r="E22" s="842"/>
      <c r="F22" s="842"/>
      <c r="G22" s="1584"/>
      <c r="H22" s="859"/>
      <c r="I22" s="842"/>
      <c r="J22" s="842" t="s">
        <v>610</v>
      </c>
      <c r="K22" s="356"/>
      <c r="L22" s="856"/>
      <c r="P22" s="872">
        <v>28</v>
      </c>
      <c r="Q22" s="26">
        <f>+P22/1000</f>
        <v>2.8000000000000001E-2</v>
      </c>
      <c r="R22" s="873">
        <f t="shared" ref="R22:R41" si="1">3.14*Q22^2/4*7850</f>
        <v>4.8312040000000005</v>
      </c>
      <c r="S22" s="874">
        <f t="shared" ref="S22:S41" si="2">3.14*Q22^2/4*10000</f>
        <v>6.1544000000000008</v>
      </c>
    </row>
    <row r="23" spans="1:19" ht="19.899999999999999" customHeight="1">
      <c r="A23" s="355" t="s">
        <v>214</v>
      </c>
      <c r="B23" s="842"/>
      <c r="C23" s="842"/>
      <c r="D23" s="842"/>
      <c r="E23" s="842"/>
      <c r="F23" s="355" t="s">
        <v>214</v>
      </c>
      <c r="G23" s="1584"/>
      <c r="H23" s="842"/>
      <c r="I23" s="842"/>
      <c r="J23" s="857" t="s">
        <v>74</v>
      </c>
      <c r="K23" s="356">
        <f>'D122-42'!K23</f>
        <v>0.7</v>
      </c>
      <c r="L23" s="856" t="s">
        <v>0</v>
      </c>
      <c r="P23" s="875">
        <v>25</v>
      </c>
      <c r="Q23" s="27">
        <f t="shared" si="0"/>
        <v>2.5000000000000001E-2</v>
      </c>
      <c r="R23" s="876">
        <f t="shared" si="1"/>
        <v>3.8514062500000006</v>
      </c>
      <c r="S23" s="877">
        <f>3.14*Q23^2/4*10000</f>
        <v>4.9062500000000009</v>
      </c>
    </row>
    <row r="24" spans="1:19" ht="19.899999999999999" customHeight="1">
      <c r="A24" s="842"/>
      <c r="B24" s="842"/>
      <c r="C24" s="842"/>
      <c r="D24" s="842"/>
      <c r="E24" s="842"/>
      <c r="F24" s="842"/>
      <c r="G24" s="1584"/>
      <c r="H24" s="842"/>
      <c r="I24" s="842"/>
      <c r="J24" s="842" t="s">
        <v>611</v>
      </c>
      <c r="K24" s="355"/>
      <c r="L24" s="856"/>
      <c r="P24" s="875">
        <v>22</v>
      </c>
      <c r="Q24" s="27">
        <f t="shared" si="0"/>
        <v>2.1999999999999999E-2</v>
      </c>
      <c r="R24" s="876">
        <f t="shared" si="1"/>
        <v>2.982529</v>
      </c>
      <c r="S24" s="877">
        <f t="shared" si="2"/>
        <v>3.7993999999999999</v>
      </c>
    </row>
    <row r="25" spans="1:19" ht="19.899999999999999" customHeight="1">
      <c r="A25" s="842"/>
      <c r="B25" s="842"/>
      <c r="C25" s="842"/>
      <c r="D25" s="842"/>
      <c r="E25" s="842"/>
      <c r="F25" s="842"/>
      <c r="G25" s="842"/>
      <c r="H25" s="842"/>
      <c r="I25" s="842"/>
      <c r="J25" s="759" t="s">
        <v>936</v>
      </c>
      <c r="K25" s="357">
        <f>K7-K16</f>
        <v>3.5</v>
      </c>
      <c r="L25" s="856" t="s">
        <v>0</v>
      </c>
      <c r="P25" s="875">
        <v>20</v>
      </c>
      <c r="Q25" s="27">
        <f t="shared" si="0"/>
        <v>0.02</v>
      </c>
      <c r="R25" s="876">
        <f t="shared" si="1"/>
        <v>2.4649000000000005</v>
      </c>
      <c r="S25" s="877">
        <f t="shared" si="2"/>
        <v>3.1400000000000006</v>
      </c>
    </row>
    <row r="26" spans="1:19" ht="19.899999999999999" customHeight="1">
      <c r="A26" s="357">
        <f>K28</f>
        <v>3.75</v>
      </c>
      <c r="B26" s="878">
        <f>K16</f>
        <v>0.5</v>
      </c>
      <c r="C26" s="1585">
        <f>K27</f>
        <v>3.5</v>
      </c>
      <c r="D26" s="1585"/>
      <c r="E26" s="878">
        <f>K16</f>
        <v>0.5</v>
      </c>
      <c r="F26" s="357">
        <f>K28</f>
        <v>3.75</v>
      </c>
      <c r="G26" s="842"/>
      <c r="H26" s="842"/>
      <c r="I26" s="842"/>
      <c r="J26" s="759" t="s">
        <v>935</v>
      </c>
      <c r="K26" s="357">
        <f>(K10-K7-K16)/2</f>
        <v>2.75</v>
      </c>
      <c r="L26" s="856" t="s">
        <v>0</v>
      </c>
      <c r="P26" s="875">
        <v>18</v>
      </c>
      <c r="Q26" s="27">
        <f t="shared" si="0"/>
        <v>1.7999999999999999E-2</v>
      </c>
      <c r="R26" s="876">
        <f t="shared" si="1"/>
        <v>1.9965689999999998</v>
      </c>
      <c r="S26" s="877">
        <f t="shared" si="2"/>
        <v>2.5433999999999997</v>
      </c>
    </row>
    <row r="27" spans="1:19" ht="19.899999999999999" customHeight="1">
      <c r="A27" s="842"/>
      <c r="B27" s="842"/>
      <c r="C27" s="839">
        <f>A26+B26+C26+F26+E26</f>
        <v>12</v>
      </c>
      <c r="D27" s="842"/>
      <c r="E27" s="842"/>
      <c r="F27" s="842"/>
      <c r="G27" s="842"/>
      <c r="H27" s="842"/>
      <c r="I27" s="842"/>
      <c r="J27" s="759" t="s">
        <v>934</v>
      </c>
      <c r="K27" s="357">
        <f>K8-K16</f>
        <v>3.5</v>
      </c>
      <c r="L27" s="856" t="s">
        <v>0</v>
      </c>
      <c r="P27" s="875">
        <v>16</v>
      </c>
      <c r="Q27" s="27">
        <f t="shared" si="0"/>
        <v>1.6E-2</v>
      </c>
      <c r="R27" s="876">
        <f t="shared" si="1"/>
        <v>1.577536</v>
      </c>
      <c r="S27" s="877">
        <f t="shared" si="2"/>
        <v>2.0095999999999998</v>
      </c>
    </row>
    <row r="28" spans="1:19" ht="19.899999999999999" customHeight="1">
      <c r="A28" s="842"/>
      <c r="B28" s="842"/>
      <c r="C28" s="842"/>
      <c r="D28" s="355"/>
      <c r="E28" s="842"/>
      <c r="F28" s="842"/>
      <c r="G28" s="842"/>
      <c r="H28" s="842"/>
      <c r="I28" s="842"/>
      <c r="J28" s="759" t="s">
        <v>933</v>
      </c>
      <c r="K28" s="357">
        <f>(K11-K8-K16)/2</f>
        <v>3.75</v>
      </c>
      <c r="L28" s="856" t="s">
        <v>0</v>
      </c>
      <c r="P28" s="875">
        <v>14</v>
      </c>
      <c r="Q28" s="27">
        <f t="shared" si="0"/>
        <v>1.4E-2</v>
      </c>
      <c r="R28" s="876">
        <f t="shared" si="1"/>
        <v>1.2078010000000001</v>
      </c>
      <c r="S28" s="877">
        <f t="shared" si="2"/>
        <v>1.5386000000000002</v>
      </c>
    </row>
    <row r="29" spans="1:19" ht="19.899999999999999" customHeight="1">
      <c r="A29" s="879" t="s">
        <v>613</v>
      </c>
      <c r="B29" s="842"/>
      <c r="C29" s="842"/>
      <c r="D29" s="842"/>
      <c r="E29" s="842"/>
      <c r="F29" s="859"/>
      <c r="G29" s="842"/>
      <c r="H29" s="842"/>
      <c r="I29" s="842"/>
      <c r="J29" s="842" t="s">
        <v>612</v>
      </c>
      <c r="K29" s="842"/>
      <c r="L29" s="842"/>
      <c r="M29" s="355"/>
      <c r="N29" s="355"/>
      <c r="P29" s="875">
        <v>12</v>
      </c>
      <c r="Q29" s="27">
        <f t="shared" si="0"/>
        <v>1.2E-2</v>
      </c>
      <c r="R29" s="876">
        <f t="shared" si="1"/>
        <v>0.88736400000000004</v>
      </c>
      <c r="S29" s="877">
        <f t="shared" si="2"/>
        <v>1.1304000000000001</v>
      </c>
    </row>
    <row r="30" spans="1:19" ht="19.899999999999999" customHeight="1">
      <c r="A30" s="761" t="s">
        <v>651</v>
      </c>
      <c r="B30" s="761"/>
      <c r="C30" s="753"/>
      <c r="D30" s="753"/>
      <c r="E30" s="753"/>
      <c r="F30" s="753"/>
      <c r="G30" s="753"/>
      <c r="H30" s="754"/>
      <c r="I30" s="842"/>
      <c r="J30" s="857" t="s">
        <v>117</v>
      </c>
      <c r="K30" s="357">
        <f>(K10*K11-K20^2)*K19+(K10+K11)*2*K16*(K17-K19)-K16^2*4*(K17-K19)+(K14-K17)*K23^2*4+K21^2*(K17-K19)*8</f>
        <v>60.837000000000003</v>
      </c>
      <c r="L30" s="856" t="s">
        <v>1</v>
      </c>
      <c r="M30" s="355"/>
      <c r="N30" s="355"/>
      <c r="P30" s="875"/>
      <c r="Q30" s="27"/>
      <c r="R30" s="876"/>
      <c r="S30" s="877"/>
    </row>
    <row r="31" spans="1:19" ht="19.899999999999999" customHeight="1">
      <c r="A31" s="1586" t="s">
        <v>652</v>
      </c>
      <c r="B31" s="1587"/>
      <c r="C31" s="755" t="s">
        <v>653</v>
      </c>
      <c r="D31" s="755" t="s">
        <v>654</v>
      </c>
      <c r="E31" s="755" t="s">
        <v>655</v>
      </c>
      <c r="F31" s="755" t="s">
        <v>656</v>
      </c>
      <c r="G31" s="755" t="s">
        <v>657</v>
      </c>
      <c r="H31" s="755" t="s">
        <v>658</v>
      </c>
      <c r="I31" s="842"/>
      <c r="J31" s="842" t="s">
        <v>614</v>
      </c>
      <c r="K31" s="842"/>
      <c r="L31" s="842"/>
      <c r="M31" s="355"/>
      <c r="N31" s="355"/>
      <c r="P31" s="875"/>
      <c r="Q31" s="27"/>
      <c r="R31" s="876"/>
      <c r="S31" s="877"/>
    </row>
    <row r="32" spans="1:19" ht="19.899999999999999" customHeight="1">
      <c r="A32" s="1494" t="s">
        <v>564</v>
      </c>
      <c r="B32" s="1494"/>
      <c r="C32" s="412">
        <f>'D122-42'!C42</f>
        <v>-4.6744000000000003</v>
      </c>
      <c r="D32" s="412">
        <f>'D122-42'!D42</f>
        <v>-4.9444999999999997</v>
      </c>
      <c r="E32" s="412">
        <f>'D122-42'!E42</f>
        <v>80.48060000000001</v>
      </c>
      <c r="F32" s="412">
        <f>'D122-42'!F42</f>
        <v>4.58E-2</v>
      </c>
      <c r="G32" s="412">
        <f>'D122-42'!G42</f>
        <v>-1.9E-3</v>
      </c>
      <c r="H32" s="412">
        <f>'D122-42'!H42</f>
        <v>-1.5E-3</v>
      </c>
      <c r="I32" s="842"/>
      <c r="J32" s="857" t="s">
        <v>118</v>
      </c>
      <c r="K32" s="839">
        <f>K10*K11-K20^2</f>
        <v>119</v>
      </c>
      <c r="L32" s="856" t="s">
        <v>2</v>
      </c>
      <c r="M32" s="355"/>
      <c r="N32" s="355"/>
      <c r="P32" s="875"/>
      <c r="Q32" s="27"/>
      <c r="R32" s="876"/>
      <c r="S32" s="877"/>
    </row>
    <row r="33" spans="1:26" ht="19.899999999999999" customHeight="1">
      <c r="A33" s="1494" t="s">
        <v>659</v>
      </c>
      <c r="B33" s="1494"/>
      <c r="C33" s="412">
        <f>'D122-42'!C43</f>
        <v>-6.408199999999999</v>
      </c>
      <c r="D33" s="412">
        <f>'D122-42'!D43</f>
        <v>-4.7540999999999993</v>
      </c>
      <c r="E33" s="412">
        <f>'D122-42'!E43</f>
        <v>-87.999899999999997</v>
      </c>
      <c r="F33" s="412">
        <f>'D122-42'!F43</f>
        <v>-5.9799999999999999E-2</v>
      </c>
      <c r="G33" s="412">
        <f>'D122-42'!G43</f>
        <v>-6.6900000000000001E-2</v>
      </c>
      <c r="H33" s="412">
        <f>'D122-42'!H43</f>
        <v>-7.6E-3</v>
      </c>
      <c r="I33" s="842"/>
      <c r="K33" s="758"/>
      <c r="L33" s="759" t="s">
        <v>616</v>
      </c>
      <c r="M33" s="355"/>
      <c r="N33" s="355"/>
      <c r="P33" s="875"/>
      <c r="Q33" s="27"/>
      <c r="R33" s="876"/>
      <c r="S33" s="877"/>
    </row>
    <row r="34" spans="1:26" ht="19.899999999999999" customHeight="1">
      <c r="A34" s="1494" t="s">
        <v>660</v>
      </c>
      <c r="B34" s="1494"/>
      <c r="C34" s="412">
        <f>'D122-42'!C44</f>
        <v>-17.82</v>
      </c>
      <c r="D34" s="412">
        <f>'D122-42'!D44</f>
        <v>-2.7599999999999993</v>
      </c>
      <c r="E34" s="412">
        <f>'D122-42'!E44</f>
        <v>15.269499999999994</v>
      </c>
      <c r="F34" s="412">
        <f>'D122-42'!F44</f>
        <v>108.8412</v>
      </c>
      <c r="G34" s="412">
        <f>'D122-42'!G44</f>
        <v>564.86349999999993</v>
      </c>
      <c r="H34" s="412">
        <f>'D122-42'!H44</f>
        <v>1.9052800000000001</v>
      </c>
      <c r="I34" s="842"/>
      <c r="J34" s="857" t="s">
        <v>937</v>
      </c>
      <c r="K34" s="839">
        <f>(K11*K10^3-K20^4)/6/K10</f>
        <v>199.98333333333332</v>
      </c>
      <c r="L34" s="856" t="s">
        <v>1</v>
      </c>
      <c r="M34" s="355"/>
      <c r="N34" s="355"/>
      <c r="P34" s="875"/>
      <c r="Q34" s="27"/>
      <c r="R34" s="876"/>
      <c r="S34" s="877"/>
    </row>
    <row r="35" spans="1:26" ht="19.899999999999999" customHeight="1">
      <c r="A35" s="1494" t="s">
        <v>661</v>
      </c>
      <c r="B35" s="1494"/>
      <c r="C35" s="412">
        <f>'D122-42'!C45</f>
        <v>-11.067600000000002</v>
      </c>
      <c r="D35" s="412">
        <f>'D122-42'!D45</f>
        <v>-7.6415999999999995</v>
      </c>
      <c r="E35" s="412">
        <f>'D122-42'!E45</f>
        <v>15.269399999999999</v>
      </c>
      <c r="F35" s="412">
        <f>'D122-42'!F45</f>
        <v>226.97150000000002</v>
      </c>
      <c r="G35" s="412">
        <f>'D122-42'!G45</f>
        <v>341.53899999999999</v>
      </c>
      <c r="H35" s="412">
        <f>'D122-42'!H45</f>
        <v>1.6241000000000003</v>
      </c>
      <c r="I35" s="842"/>
      <c r="K35" s="758"/>
      <c r="L35" s="759" t="s">
        <v>615</v>
      </c>
      <c r="M35" s="758"/>
      <c r="N35" s="758"/>
      <c r="P35" s="875"/>
      <c r="Q35" s="27"/>
      <c r="R35" s="876"/>
      <c r="S35" s="877"/>
    </row>
    <row r="36" spans="1:26" ht="19.899999999999999" customHeight="1">
      <c r="A36" s="1494" t="s">
        <v>549</v>
      </c>
      <c r="B36" s="1494"/>
      <c r="C36" s="412">
        <f>'D122-42'!C46</f>
        <v>-17.82</v>
      </c>
      <c r="D36" s="412">
        <f>'D122-42'!D46</f>
        <v>-2.7599999999999993</v>
      </c>
      <c r="E36" s="412">
        <f>'D122-42'!E46</f>
        <v>15.269499999999994</v>
      </c>
      <c r="F36" s="412">
        <f>'D122-42'!F46</f>
        <v>108.8412</v>
      </c>
      <c r="G36" s="412">
        <f>'D122-42'!G46</f>
        <v>564.86349999999993</v>
      </c>
      <c r="H36" s="412">
        <f>'D122-42'!H46</f>
        <v>1.9052800000000001</v>
      </c>
      <c r="I36" s="842"/>
      <c r="J36" s="857" t="s">
        <v>938</v>
      </c>
      <c r="K36" s="839">
        <f>+(K10*K11^3-K20^4)/12/K11*2</f>
        <v>239.98611111111111</v>
      </c>
      <c r="L36" s="856" t="s">
        <v>1</v>
      </c>
      <c r="M36" s="355"/>
      <c r="N36" s="355"/>
      <c r="P36" s="875"/>
      <c r="Q36" s="27"/>
      <c r="R36" s="876"/>
      <c r="S36" s="877"/>
    </row>
    <row r="37" spans="1:26" ht="19.899999999999999" customHeight="1">
      <c r="A37" s="1255" t="s">
        <v>662</v>
      </c>
      <c r="B37" s="880"/>
      <c r="C37" s="412">
        <f>'D122-42'!C47</f>
        <v>-9.6999999999999993</v>
      </c>
      <c r="D37" s="412">
        <f>'D122-42'!D47</f>
        <v>0</v>
      </c>
      <c r="E37" s="412">
        <f>'D122-42'!E47</f>
        <v>13.7995</v>
      </c>
      <c r="F37" s="412">
        <f>'D122-42'!F47</f>
        <v>4.0000000000077309E-3</v>
      </c>
      <c r="G37" s="412">
        <f>'D122-42'!G47</f>
        <v>349.31220000000002</v>
      </c>
      <c r="H37" s="412">
        <f>'D122-42'!H47</f>
        <v>0.91809999999999992</v>
      </c>
      <c r="I37" s="842"/>
      <c r="J37" s="842" t="s">
        <v>212</v>
      </c>
      <c r="K37" s="842"/>
      <c r="L37" s="842"/>
      <c r="M37" s="355"/>
      <c r="N37" s="355"/>
      <c r="P37" s="875"/>
      <c r="Q37" s="27"/>
      <c r="R37" s="876"/>
      <c r="S37" s="877"/>
    </row>
    <row r="38" spans="1:26" ht="19.899999999999999" customHeight="1">
      <c r="A38" s="881" t="s">
        <v>663</v>
      </c>
      <c r="B38" s="756"/>
      <c r="C38" s="757"/>
      <c r="D38" s="757"/>
      <c r="E38" s="757"/>
      <c r="F38" s="757"/>
      <c r="G38" s="757"/>
      <c r="H38" s="757"/>
      <c r="I38" s="842"/>
      <c r="J38" s="857" t="s">
        <v>940</v>
      </c>
      <c r="K38" s="840">
        <f>'D122-42'!K39</f>
        <v>1</v>
      </c>
      <c r="L38" s="856" t="s">
        <v>0</v>
      </c>
      <c r="M38" s="355"/>
      <c r="N38" s="355"/>
      <c r="P38" s="875"/>
      <c r="Q38" s="27"/>
      <c r="R38" s="876"/>
      <c r="S38" s="877"/>
    </row>
    <row r="39" spans="1:26" ht="19.899999999999999" customHeight="1">
      <c r="A39" s="1573" t="s">
        <v>855</v>
      </c>
      <c r="B39" s="857" t="s">
        <v>856</v>
      </c>
      <c r="C39" s="357">
        <f>'D122-42'!C49/1.15</f>
        <v>13.277826086956518</v>
      </c>
      <c r="D39" s="842" t="s">
        <v>3</v>
      </c>
      <c r="E39" s="859"/>
      <c r="F39" s="842"/>
      <c r="G39" s="842"/>
      <c r="H39" s="842"/>
      <c r="I39" s="842"/>
      <c r="J39" s="842" t="s">
        <v>617</v>
      </c>
      <c r="K39" s="355"/>
      <c r="L39" s="856"/>
      <c r="M39" s="355"/>
      <c r="N39" s="355"/>
      <c r="P39" s="875">
        <v>10</v>
      </c>
      <c r="Q39" s="27">
        <f t="shared" si="0"/>
        <v>0.01</v>
      </c>
      <c r="R39" s="876">
        <f t="shared" si="1"/>
        <v>0.61622500000000013</v>
      </c>
      <c r="S39" s="877">
        <f t="shared" si="2"/>
        <v>0.78500000000000014</v>
      </c>
    </row>
    <row r="40" spans="1:26" ht="19.899999999999999" customHeight="1">
      <c r="A40" s="1573"/>
      <c r="B40" s="857" t="s">
        <v>857</v>
      </c>
      <c r="C40" s="357">
        <f>'D122-42'!C50/1.15</f>
        <v>15.495652173913046</v>
      </c>
      <c r="D40" s="842" t="s">
        <v>3</v>
      </c>
      <c r="E40" s="857" t="s">
        <v>858</v>
      </c>
      <c r="F40" s="357">
        <f>'D122-42'!F50/1.15</f>
        <v>2.3999999999999995</v>
      </c>
      <c r="G40" s="758" t="s">
        <v>3</v>
      </c>
      <c r="H40" s="842"/>
      <c r="I40" s="842"/>
      <c r="J40" s="857" t="s">
        <v>939</v>
      </c>
      <c r="K40" s="840">
        <f>'D122-42'!K41</f>
        <v>2.5</v>
      </c>
      <c r="L40" s="856" t="s">
        <v>0</v>
      </c>
      <c r="M40" s="355"/>
      <c r="N40" s="355"/>
      <c r="P40" s="875">
        <v>8</v>
      </c>
      <c r="Q40" s="27">
        <f t="shared" si="0"/>
        <v>8.0000000000000002E-3</v>
      </c>
      <c r="R40" s="876">
        <f t="shared" si="1"/>
        <v>0.39438400000000001</v>
      </c>
      <c r="S40" s="877">
        <f t="shared" si="2"/>
        <v>0.50239999999999996</v>
      </c>
    </row>
    <row r="41" spans="1:26" ht="19.899999999999999" customHeight="1" thickBot="1">
      <c r="A41" s="1573"/>
      <c r="B41" s="857" t="s">
        <v>859</v>
      </c>
      <c r="C41" s="357">
        <f>'D122-42'!C51/1.15</f>
        <v>491.18565217391301</v>
      </c>
      <c r="D41" s="842" t="s">
        <v>4</v>
      </c>
      <c r="E41" s="857" t="s">
        <v>860</v>
      </c>
      <c r="F41" s="357">
        <f>'D122-42'!F51/1.15</f>
        <v>94.64452173913044</v>
      </c>
      <c r="G41" s="758" t="s">
        <v>4</v>
      </c>
      <c r="H41" s="842"/>
      <c r="I41" s="842"/>
      <c r="J41" s="842" t="s">
        <v>618</v>
      </c>
      <c r="K41" s="355"/>
      <c r="L41" s="856"/>
      <c r="M41" s="355"/>
      <c r="N41" s="355"/>
      <c r="P41" s="882">
        <v>6</v>
      </c>
      <c r="Q41" s="28">
        <f t="shared" si="0"/>
        <v>6.0000000000000001E-3</v>
      </c>
      <c r="R41" s="883">
        <f t="shared" si="1"/>
        <v>0.22184100000000001</v>
      </c>
      <c r="S41" s="884">
        <f t="shared" si="2"/>
        <v>0.28260000000000002</v>
      </c>
    </row>
    <row r="42" spans="1:26" ht="19.899999999999999" customHeight="1">
      <c r="A42" s="1573" t="s">
        <v>861</v>
      </c>
      <c r="B42" s="759" t="s">
        <v>856</v>
      </c>
      <c r="C42" s="760">
        <f>'D122-42'!C54/1.15</f>
        <v>13.277739130434783</v>
      </c>
      <c r="D42" s="758" t="s">
        <v>3</v>
      </c>
      <c r="E42" s="759"/>
      <c r="F42" s="757"/>
      <c r="G42" s="758"/>
      <c r="H42" s="842"/>
      <c r="I42" s="842"/>
      <c r="J42" s="857" t="s">
        <v>943</v>
      </c>
      <c r="K42" s="357">
        <f>K10*K11*K38-K30</f>
        <v>59.162999999999997</v>
      </c>
      <c r="L42" s="856" t="s">
        <v>1</v>
      </c>
      <c r="M42" s="355"/>
      <c r="N42" s="355"/>
      <c r="P42" s="11"/>
      <c r="R42" s="885"/>
      <c r="S42" s="886"/>
    </row>
    <row r="43" spans="1:26" ht="19.899999999999999" customHeight="1">
      <c r="A43" s="1573"/>
      <c r="B43" s="759" t="s">
        <v>857</v>
      </c>
      <c r="C43" s="760">
        <f>'D122-42'!C55/1.15</f>
        <v>9.6240000000000023</v>
      </c>
      <c r="D43" s="758" t="s">
        <v>3</v>
      </c>
      <c r="E43" s="759" t="s">
        <v>858</v>
      </c>
      <c r="F43" s="760">
        <f>'D122-42'!F55/1.15</f>
        <v>6.644869565217391</v>
      </c>
      <c r="G43" s="758" t="s">
        <v>3</v>
      </c>
      <c r="H43" s="842"/>
      <c r="I43" s="842"/>
      <c r="J43" s="842" t="s">
        <v>619</v>
      </c>
      <c r="K43" s="842"/>
      <c r="L43" s="856"/>
      <c r="M43" s="355"/>
      <c r="N43" s="355"/>
    </row>
    <row r="44" spans="1:26" ht="19.899999999999999" customHeight="1">
      <c r="A44" s="1573"/>
      <c r="B44" s="759" t="s">
        <v>859</v>
      </c>
      <c r="C44" s="760">
        <f>'D122-42'!C56/1.15</f>
        <v>296.9904347826087</v>
      </c>
      <c r="D44" s="758" t="s">
        <v>4</v>
      </c>
      <c r="E44" s="759" t="s">
        <v>860</v>
      </c>
      <c r="F44" s="760">
        <f>'D122-42'!F56/1.15</f>
        <v>197.36652173913046</v>
      </c>
      <c r="G44" s="758" t="s">
        <v>4</v>
      </c>
      <c r="H44" s="842"/>
      <c r="I44" s="842"/>
      <c r="J44" s="857" t="s">
        <v>862</v>
      </c>
      <c r="K44" s="839">
        <f>'D122-42'!K45</f>
        <v>0</v>
      </c>
      <c r="L44" s="856" t="s">
        <v>0</v>
      </c>
      <c r="M44" s="355"/>
      <c r="N44" s="355"/>
      <c r="Z44" s="7"/>
    </row>
    <row r="45" spans="1:26" ht="19.899999999999999" customHeight="1" thickBot="1">
      <c r="A45" s="1573" t="s">
        <v>549</v>
      </c>
      <c r="B45" s="759" t="s">
        <v>856</v>
      </c>
      <c r="C45" s="760">
        <f>'D122-42'!C57/1.15</f>
        <v>13.277826086956518</v>
      </c>
      <c r="D45" s="758" t="s">
        <v>3</v>
      </c>
      <c r="E45" s="759"/>
      <c r="F45" s="760"/>
      <c r="G45" s="758"/>
      <c r="H45" s="842"/>
      <c r="I45" s="842"/>
      <c r="J45" s="842" t="s">
        <v>620</v>
      </c>
      <c r="K45" s="355"/>
      <c r="L45" s="856"/>
      <c r="M45" s="355"/>
      <c r="N45" s="355"/>
      <c r="V45" s="1574" t="s">
        <v>850</v>
      </c>
      <c r="W45" s="1575"/>
      <c r="X45" s="1575"/>
      <c r="Y45" s="1576"/>
      <c r="Z45" s="7"/>
    </row>
    <row r="46" spans="1:26" ht="19.899999999999999" customHeight="1">
      <c r="A46" s="1573"/>
      <c r="B46" s="759" t="s">
        <v>857</v>
      </c>
      <c r="C46" s="760">
        <f>'D122-42'!C58/1.15</f>
        <v>15.495652173913046</v>
      </c>
      <c r="D46" s="758" t="s">
        <v>3</v>
      </c>
      <c r="E46" s="759" t="s">
        <v>858</v>
      </c>
      <c r="F46" s="760">
        <f>'D122-42'!F58/1.15</f>
        <v>2.3999999999999995</v>
      </c>
      <c r="G46" s="758" t="s">
        <v>3</v>
      </c>
      <c r="H46" s="842"/>
      <c r="I46" s="842"/>
      <c r="J46" s="857" t="s">
        <v>863</v>
      </c>
      <c r="K46" s="357">
        <f>K44*K10*K11</f>
        <v>0</v>
      </c>
      <c r="L46" s="856" t="s">
        <v>1</v>
      </c>
      <c r="M46" s="355"/>
      <c r="N46" s="355"/>
      <c r="Q46" s="63"/>
      <c r="R46" s="63"/>
      <c r="S46" s="108"/>
      <c r="V46" s="254" t="s">
        <v>851</v>
      </c>
      <c r="W46" s="467" t="s">
        <v>152</v>
      </c>
      <c r="X46" s="254" t="s">
        <v>153</v>
      </c>
      <c r="Y46" s="254" t="s">
        <v>699</v>
      </c>
      <c r="Z46" s="7"/>
    </row>
    <row r="47" spans="1:26" ht="19.899999999999999" customHeight="1">
      <c r="A47" s="1573"/>
      <c r="B47" s="759" t="s">
        <v>859</v>
      </c>
      <c r="C47" s="760">
        <f>'D122-42'!C59/1.15</f>
        <v>491.18565217391301</v>
      </c>
      <c r="D47" s="758" t="s">
        <v>4</v>
      </c>
      <c r="E47" s="759" t="s">
        <v>860</v>
      </c>
      <c r="F47" s="760">
        <f>'D122-42'!F59/1.15</f>
        <v>94.64452173913044</v>
      </c>
      <c r="G47" s="758" t="s">
        <v>4</v>
      </c>
      <c r="H47" s="842"/>
      <c r="I47" s="842"/>
      <c r="J47" s="857" t="s">
        <v>941</v>
      </c>
      <c r="K47" s="357">
        <f>K46*1.55*K11/4</f>
        <v>0</v>
      </c>
      <c r="L47" s="856" t="s">
        <v>4</v>
      </c>
      <c r="M47" s="355"/>
      <c r="N47" s="355"/>
      <c r="S47" s="117"/>
      <c r="V47" s="254" t="s">
        <v>696</v>
      </c>
      <c r="W47" s="467">
        <f>F41+F40*$K$14</f>
        <v>103.04452173913043</v>
      </c>
      <c r="X47" s="467">
        <f>C41+C40*$K$14</f>
        <v>545.42043478260871</v>
      </c>
      <c r="Y47" s="467">
        <f>SQRT(W47^2+X47^2)</f>
        <v>555.0690264632824</v>
      </c>
    </row>
    <row r="48" spans="1:26" ht="19.899999999999999" customHeight="1">
      <c r="A48" s="1573" t="s">
        <v>662</v>
      </c>
      <c r="B48" s="759" t="s">
        <v>856</v>
      </c>
      <c r="C48" s="760">
        <f>'D122-42'!R23/1.15</f>
        <v>11.999565217391305</v>
      </c>
      <c r="D48" s="758" t="s">
        <v>3</v>
      </c>
      <c r="E48" s="759"/>
      <c r="F48" s="760"/>
      <c r="G48" s="758"/>
      <c r="H48" s="842"/>
      <c r="I48" s="1577" t="s">
        <v>864</v>
      </c>
      <c r="J48" s="1577"/>
      <c r="K48" s="357">
        <f>'D122-42'!K52</f>
        <v>0</v>
      </c>
      <c r="L48" s="842" t="s">
        <v>1</v>
      </c>
      <c r="M48" s="355"/>
      <c r="N48" s="355"/>
      <c r="S48" s="117"/>
      <c r="V48" s="254" t="s">
        <v>697</v>
      </c>
      <c r="W48" s="467">
        <f>F44+F43*$K$14</f>
        <v>220.62356521739133</v>
      </c>
      <c r="X48" s="467">
        <f>C44+C43*$K$14</f>
        <v>330.67443478260873</v>
      </c>
      <c r="Y48" s="467">
        <f>SQRT(W48^2+X48^2)</f>
        <v>397.51772205529437</v>
      </c>
    </row>
    <row r="49" spans="1:33" ht="19.899999999999999" customHeight="1">
      <c r="A49" s="1573"/>
      <c r="B49" s="759" t="s">
        <v>857</v>
      </c>
      <c r="C49" s="760">
        <f>ABS('D122-42'!P23/1.15)</f>
        <v>8.4347826086956523</v>
      </c>
      <c r="D49" s="758" t="s">
        <v>3</v>
      </c>
      <c r="E49" s="759" t="s">
        <v>858</v>
      </c>
      <c r="F49" s="760">
        <f>ABS('D122-42'!Q23/1.15)</f>
        <v>0</v>
      </c>
      <c r="G49" s="758" t="s">
        <v>3</v>
      </c>
      <c r="H49" s="842"/>
      <c r="I49" s="1577" t="s">
        <v>865</v>
      </c>
      <c r="J49" s="1577"/>
      <c r="K49" s="357">
        <f>'D122-42'!K53</f>
        <v>0</v>
      </c>
      <c r="L49" s="842" t="s">
        <v>4</v>
      </c>
      <c r="M49" s="355"/>
      <c r="N49" s="355"/>
      <c r="S49" s="117"/>
      <c r="V49" s="254" t="s">
        <v>698</v>
      </c>
      <c r="W49" s="467">
        <f>F47+F46*$K$14</f>
        <v>103.04452173913043</v>
      </c>
      <c r="X49" s="467">
        <f>C47+C46*$K$14</f>
        <v>545.42043478260871</v>
      </c>
      <c r="Y49" s="467">
        <f t="shared" ref="Y49:Y50" si="3">SQRT(W49^2+X49^2)</f>
        <v>555.0690264632824</v>
      </c>
    </row>
    <row r="50" spans="1:33" ht="19.899999999999999" customHeight="1">
      <c r="A50" s="1573"/>
      <c r="B50" s="759" t="s">
        <v>859</v>
      </c>
      <c r="C50" s="760">
        <f>ABS('D122-42'!T23/1.15)</f>
        <v>303.74973913043482</v>
      </c>
      <c r="D50" s="758" t="s">
        <v>4</v>
      </c>
      <c r="E50" s="759" t="s">
        <v>860</v>
      </c>
      <c r="F50" s="760">
        <f>ABS('D122-42'!S23/1.15)</f>
        <v>3.47826086957194E-3</v>
      </c>
      <c r="G50" s="758" t="s">
        <v>4</v>
      </c>
      <c r="H50" s="842"/>
      <c r="I50" s="842"/>
      <c r="J50" s="842"/>
      <c r="K50" s="355"/>
      <c r="L50" s="856"/>
      <c r="M50" s="355"/>
      <c r="N50" s="355"/>
      <c r="S50" s="117"/>
      <c r="V50" s="12" t="s">
        <v>706</v>
      </c>
      <c r="W50" s="467">
        <f>F50+F49*$K$14</f>
        <v>3.47826086957194E-3</v>
      </c>
      <c r="X50" s="467">
        <f>C50+C49*$K$14</f>
        <v>333.27147826086957</v>
      </c>
      <c r="Y50" s="467">
        <f t="shared" si="3"/>
        <v>333.27147827902041</v>
      </c>
    </row>
    <row r="51" spans="1:33" ht="19.899999999999999" customHeight="1">
      <c r="A51" s="887" t="s">
        <v>664</v>
      </c>
      <c r="D51" s="888" t="s">
        <v>548</v>
      </c>
      <c r="E51" s="4" t="str">
        <f>J3</f>
        <v>G1</v>
      </c>
      <c r="V51" s="889" t="s">
        <v>995</v>
      </c>
    </row>
    <row r="52" spans="1:33" ht="19.899999999999999" customHeight="1">
      <c r="A52" s="1482" t="s">
        <v>216</v>
      </c>
      <c r="B52" s="1482" t="s">
        <v>217</v>
      </c>
      <c r="C52" s="1504"/>
      <c r="D52" s="890" t="s">
        <v>218</v>
      </c>
      <c r="E52" s="890" t="s">
        <v>945</v>
      </c>
      <c r="F52" s="1475" t="s">
        <v>39</v>
      </c>
      <c r="G52" s="891" t="s">
        <v>946</v>
      </c>
      <c r="H52" s="892" t="s">
        <v>221</v>
      </c>
      <c r="I52" s="890" t="s">
        <v>25</v>
      </c>
      <c r="J52" s="890" t="s">
        <v>26</v>
      </c>
      <c r="K52" s="890" t="s">
        <v>947</v>
      </c>
      <c r="V52" s="893" t="s">
        <v>996</v>
      </c>
      <c r="Y52" s="11">
        <f>Y50*0.5</f>
        <v>166.63573913951021</v>
      </c>
    </row>
    <row r="53" spans="1:33" ht="19.899999999999999" customHeight="1">
      <c r="A53" s="1482"/>
      <c r="B53" s="1482"/>
      <c r="C53" s="1504"/>
      <c r="D53" s="894" t="s">
        <v>0</v>
      </c>
      <c r="E53" s="894" t="s">
        <v>24</v>
      </c>
      <c r="F53" s="1471"/>
      <c r="G53" s="895"/>
      <c r="H53" s="894" t="s">
        <v>219</v>
      </c>
      <c r="I53" s="894" t="s">
        <v>10</v>
      </c>
      <c r="J53" s="894" t="s">
        <v>10</v>
      </c>
      <c r="K53" s="894" t="s">
        <v>24</v>
      </c>
    </row>
    <row r="54" spans="1:33" ht="24" customHeight="1">
      <c r="A54" s="896" t="str">
        <f>V10</f>
        <v>Lớp 1</v>
      </c>
      <c r="B54" s="1567" t="str">
        <f>W10</f>
        <v>Sét màu xám nâu, dẻo mềm.</v>
      </c>
      <c r="C54" s="1567"/>
      <c r="D54" s="897">
        <f t="shared" ref="D54:J54" si="4">X10</f>
        <v>1.5</v>
      </c>
      <c r="E54" s="897">
        <f t="shared" si="4"/>
        <v>1.6</v>
      </c>
      <c r="F54" s="897">
        <f t="shared" si="4"/>
        <v>2.62</v>
      </c>
      <c r="G54" s="898">
        <f t="shared" si="4"/>
        <v>1.6353925</v>
      </c>
      <c r="H54" s="897">
        <f t="shared" si="4"/>
        <v>2.7833333333333332</v>
      </c>
      <c r="I54" s="897">
        <f t="shared" si="4"/>
        <v>0.66600000000000059</v>
      </c>
      <c r="J54" s="897">
        <f t="shared" si="4"/>
        <v>57.233271464646442</v>
      </c>
      <c r="K54" s="897">
        <f>(F54-1)/(G54+1)</f>
        <v>0.61470919417126679</v>
      </c>
      <c r="M54" s="9"/>
    </row>
    <row r="55" spans="1:33" ht="19.899999999999999" customHeight="1">
      <c r="A55" s="896"/>
      <c r="B55" s="1559" t="s">
        <v>536</v>
      </c>
      <c r="C55" s="1559"/>
      <c r="D55" s="897">
        <v>0.5</v>
      </c>
      <c r="E55" s="897">
        <v>1.55</v>
      </c>
      <c r="F55" s="899"/>
      <c r="G55" s="900"/>
      <c r="H55" s="897">
        <v>26</v>
      </c>
      <c r="I55" s="897">
        <v>0</v>
      </c>
      <c r="J55" s="897">
        <v>1100</v>
      </c>
      <c r="K55" s="901">
        <f>E55-1</f>
        <v>0.55000000000000004</v>
      </c>
      <c r="M55" s="9"/>
    </row>
    <row r="56" spans="1:33" s="7" customFormat="1" ht="24" customHeight="1">
      <c r="A56" s="896" t="str">
        <f>V11</f>
        <v>Lớp 2</v>
      </c>
      <c r="B56" s="1567" t="str">
        <f>W11</f>
        <v>Bùn sét lẫn ít cát mịn màu xám đen, xám nâu, trạng thái nhão.</v>
      </c>
      <c r="C56" s="1567"/>
      <c r="D56" s="897">
        <f t="shared" ref="D56:J56" si="5">X11</f>
        <v>5.7</v>
      </c>
      <c r="E56" s="897">
        <f t="shared" si="5"/>
        <v>1.62</v>
      </c>
      <c r="F56" s="897">
        <f t="shared" si="5"/>
        <v>2.63</v>
      </c>
      <c r="G56" s="898">
        <f t="shared" si="5"/>
        <v>1.5814586419753081</v>
      </c>
      <c r="H56" s="897">
        <f t="shared" si="5"/>
        <v>3.0833333333333335</v>
      </c>
      <c r="I56" s="897">
        <f t="shared" si="5"/>
        <v>0.67199999999999993</v>
      </c>
      <c r="J56" s="897">
        <f t="shared" si="5"/>
        <v>64.163422893027871</v>
      </c>
      <c r="K56" s="897">
        <f>(F56-1)/(G56+1)</f>
        <v>0.63142595953144498</v>
      </c>
      <c r="M56" s="410"/>
      <c r="N56" s="267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</row>
    <row r="57" spans="1:33" ht="24" customHeight="1">
      <c r="A57" s="896" t="str">
        <f>IF(V12=0,"",V12)</f>
        <v>Lớp 3</v>
      </c>
      <c r="B57" s="1567" t="str">
        <f>IF(W12=0,"",W12)</f>
        <v>Bùn sét lẫn ít cát mịn màu xám đen, xám nâu, trạng thái nhão.</v>
      </c>
      <c r="C57" s="1567"/>
      <c r="D57" s="897">
        <f t="shared" ref="D57:J57" si="6">IF(X12=0,"",X12)</f>
        <v>10</v>
      </c>
      <c r="E57" s="897">
        <f t="shared" si="6"/>
        <v>1.56</v>
      </c>
      <c r="F57" s="897">
        <f t="shared" si="6"/>
        <v>2.62</v>
      </c>
      <c r="G57" s="898">
        <f t="shared" si="6"/>
        <v>1.8544564102564101</v>
      </c>
      <c r="H57" s="897">
        <f t="shared" si="6"/>
        <v>2.3666666666666667</v>
      </c>
      <c r="I57" s="897">
        <f t="shared" si="6"/>
        <v>0.67799999999999927</v>
      </c>
      <c r="J57" s="897">
        <f t="shared" si="6"/>
        <v>61.990720020720019</v>
      </c>
      <c r="K57" s="897">
        <f>IF(F57="","",(F57-1)/(G57+1))</f>
        <v>0.56753362713094602</v>
      </c>
      <c r="M57" s="9"/>
    </row>
    <row r="58" spans="1:33" ht="19.899999999999999" customHeight="1">
      <c r="A58" s="879" t="s">
        <v>222</v>
      </c>
      <c r="B58" s="842"/>
      <c r="C58" s="842"/>
      <c r="D58" s="842"/>
      <c r="E58" s="842"/>
      <c r="F58" s="842"/>
      <c r="G58" s="842"/>
      <c r="H58" s="842"/>
      <c r="I58" s="842"/>
      <c r="J58" s="842"/>
      <c r="K58" s="355"/>
      <c r="L58" s="856"/>
    </row>
    <row r="59" spans="1:33" ht="19.899999999999999" customHeight="1">
      <c r="A59" s="879" t="s">
        <v>665</v>
      </c>
      <c r="B59" s="842"/>
      <c r="C59" s="842"/>
      <c r="D59" s="842"/>
      <c r="E59" s="842"/>
      <c r="F59" s="842"/>
      <c r="G59" s="842"/>
      <c r="H59" s="842"/>
      <c r="I59" s="842"/>
      <c r="J59" s="842"/>
      <c r="K59" s="355"/>
      <c r="L59" s="856"/>
      <c r="N59" s="4" t="s">
        <v>580</v>
      </c>
      <c r="O59" s="1561" t="s">
        <v>589</v>
      </c>
      <c r="P59" s="1561"/>
    </row>
    <row r="60" spans="1:33" ht="19.899999999999999" customHeight="1">
      <c r="A60" s="842"/>
      <c r="B60" s="857" t="s">
        <v>120</v>
      </c>
      <c r="C60" s="357">
        <f>IF(D55&gt;0,H55,H54)</f>
        <v>26</v>
      </c>
      <c r="D60" s="856" t="s">
        <v>666</v>
      </c>
      <c r="E60" s="857"/>
      <c r="F60" s="355"/>
      <c r="G60" s="842"/>
      <c r="H60" s="842"/>
      <c r="I60" s="842"/>
      <c r="J60" s="842"/>
      <c r="K60" s="355"/>
      <c r="L60" s="856"/>
      <c r="M60" s="4" t="s">
        <v>581</v>
      </c>
      <c r="N60" s="4" t="s">
        <v>583</v>
      </c>
      <c r="O60" s="4" t="s">
        <v>590</v>
      </c>
      <c r="P60" s="4" t="s">
        <v>591</v>
      </c>
    </row>
    <row r="61" spans="1:33" ht="19.899999999999999" customHeight="1">
      <c r="A61" s="355"/>
      <c r="B61" s="857" t="s">
        <v>59</v>
      </c>
      <c r="C61" s="355">
        <f>ROUND(0.25*3.1416/(1/TAN(RADIANS(C60))+RADIANS(C60)-3.1516/2),2)</f>
        <v>0.85</v>
      </c>
      <c r="D61" s="857" t="s">
        <v>112</v>
      </c>
      <c r="E61" s="355">
        <f>ROUND((1+3.1416/(1/TAN(RADIANS(C60))+RADIANS(C60)-3.1416/2)),2)</f>
        <v>4.37</v>
      </c>
      <c r="F61" s="857" t="s">
        <v>121</v>
      </c>
      <c r="G61" s="355">
        <f>ROUND(3.1416*1/TAN(RADIANS(C60))/(1/TAN(RADIANS(C60))+RADIANS(C60)-3.1416/2),2)</f>
        <v>6.9</v>
      </c>
      <c r="H61" s="842"/>
      <c r="I61" s="842"/>
      <c r="J61" s="355"/>
      <c r="K61" s="355"/>
      <c r="L61" s="355"/>
      <c r="M61" s="902" t="s">
        <v>582</v>
      </c>
      <c r="N61" s="4">
        <v>1.4</v>
      </c>
      <c r="O61" s="4">
        <v>1.2</v>
      </c>
      <c r="P61" s="4">
        <v>1.4</v>
      </c>
    </row>
    <row r="62" spans="1:33" ht="19.899999999999999" customHeight="1">
      <c r="A62" s="842"/>
      <c r="C62" s="857" t="s">
        <v>667</v>
      </c>
      <c r="D62" s="842" t="s">
        <v>948</v>
      </c>
      <c r="E62" s="842"/>
      <c r="F62" s="842"/>
      <c r="G62" s="857"/>
      <c r="H62" s="857" t="s">
        <v>949</v>
      </c>
      <c r="I62" s="355">
        <f>D63*F63/H63</f>
        <v>1.32</v>
      </c>
      <c r="J62" s="842"/>
      <c r="K62" s="355"/>
      <c r="L62" s="856"/>
      <c r="M62" s="4" t="s">
        <v>584</v>
      </c>
    </row>
    <row r="63" spans="1:33" ht="19.899999999999999" customHeight="1">
      <c r="A63" s="842"/>
      <c r="B63" s="842" t="s">
        <v>668</v>
      </c>
      <c r="C63" s="857" t="s">
        <v>577</v>
      </c>
      <c r="D63" s="355">
        <v>1.1000000000000001</v>
      </c>
      <c r="E63" s="857" t="s">
        <v>578</v>
      </c>
      <c r="F63" s="355">
        <v>1.2</v>
      </c>
      <c r="G63" s="857" t="s">
        <v>579</v>
      </c>
      <c r="H63" s="355">
        <v>1</v>
      </c>
      <c r="I63" s="355"/>
      <c r="J63" s="355"/>
      <c r="K63" s="355"/>
      <c r="L63" s="355"/>
      <c r="M63" s="903" t="s">
        <v>585</v>
      </c>
      <c r="N63" s="4">
        <v>1.3</v>
      </c>
      <c r="O63" s="4">
        <v>1.1000000000000001</v>
      </c>
      <c r="P63" s="4">
        <v>1.3</v>
      </c>
    </row>
    <row r="64" spans="1:33" ht="19.899999999999999" customHeight="1">
      <c r="A64" s="842"/>
      <c r="B64" s="904" t="s">
        <v>669</v>
      </c>
      <c r="D64" s="842"/>
      <c r="E64" s="857" t="s">
        <v>950</v>
      </c>
      <c r="F64" s="357">
        <f>W50</f>
        <v>3.47826086957194E-3</v>
      </c>
      <c r="G64" s="842" t="s">
        <v>4</v>
      </c>
      <c r="J64" s="857" t="s">
        <v>951</v>
      </c>
      <c r="K64" s="356">
        <f>Y50</f>
        <v>333.27147827902041</v>
      </c>
      <c r="L64" s="842" t="s">
        <v>4</v>
      </c>
      <c r="M64" s="4" t="s">
        <v>586</v>
      </c>
    </row>
    <row r="65" spans="1:22" ht="19.899999999999999" customHeight="1">
      <c r="A65" s="842"/>
      <c r="B65" s="904" t="s">
        <v>670</v>
      </c>
      <c r="C65" s="842"/>
      <c r="D65" s="842"/>
      <c r="E65" s="842"/>
      <c r="F65" s="859"/>
      <c r="G65" s="859"/>
      <c r="H65" s="859"/>
      <c r="I65" s="842"/>
      <c r="J65" s="842"/>
      <c r="K65" s="355"/>
      <c r="L65" s="856"/>
      <c r="M65" s="903" t="s">
        <v>587</v>
      </c>
      <c r="N65" s="4">
        <v>1.2</v>
      </c>
      <c r="O65" s="4">
        <v>1</v>
      </c>
      <c r="P65" s="4">
        <v>1.1000000000000001</v>
      </c>
    </row>
    <row r="66" spans="1:22" ht="19.899999999999999" customHeight="1">
      <c r="A66" s="904"/>
      <c r="B66" s="857" t="s">
        <v>145</v>
      </c>
      <c r="C66" s="357">
        <f>(C61*K10*K55+E61*D54*K54+G61*I55)*I62</f>
        <v>11.489832773486304</v>
      </c>
      <c r="D66" s="842" t="s">
        <v>10</v>
      </c>
      <c r="E66" s="857" t="s">
        <v>952</v>
      </c>
      <c r="F66" s="357">
        <f>F67+F64/K34+K64/K36</f>
        <v>3.0840093052454089</v>
      </c>
      <c r="G66" s="842" t="s">
        <v>146</v>
      </c>
      <c r="H66" s="842"/>
      <c r="I66" s="357">
        <f>+C66*1.2</f>
        <v>13.787799328183565</v>
      </c>
      <c r="J66" s="842" t="s">
        <v>10</v>
      </c>
      <c r="K66" s="355"/>
      <c r="L66" s="856"/>
      <c r="V66" s="4" t="str">
        <f>IF(I66&gt;F66,"Đạt", "Chưa đạt")</f>
        <v>Đạt</v>
      </c>
    </row>
    <row r="67" spans="1:22" ht="19.899999999999999" customHeight="1">
      <c r="A67" s="904"/>
      <c r="B67" s="857" t="s">
        <v>164</v>
      </c>
      <c r="C67" s="357">
        <f>C39+K30*2.5+K42*K54+K46*K54</f>
        <v>201.73836614171117</v>
      </c>
      <c r="D67" s="842" t="s">
        <v>3</v>
      </c>
      <c r="E67" s="857" t="s">
        <v>953</v>
      </c>
      <c r="F67" s="357">
        <f>C67/K32</f>
        <v>1.6952803877454721</v>
      </c>
      <c r="G67" s="842" t="s">
        <v>147</v>
      </c>
      <c r="H67" s="842"/>
      <c r="I67" s="357">
        <f>+C66</f>
        <v>11.489832773486304</v>
      </c>
      <c r="J67" s="842" t="s">
        <v>10</v>
      </c>
      <c r="K67" s="355"/>
      <c r="L67" s="856"/>
      <c r="M67" s="903" t="s">
        <v>588</v>
      </c>
      <c r="N67" s="4">
        <v>1.1000000000000001</v>
      </c>
      <c r="O67" s="4">
        <v>1</v>
      </c>
      <c r="P67" s="4">
        <v>1</v>
      </c>
      <c r="V67" s="4" t="str">
        <f>IF(I67&gt;F67,"Đạt", "Chưa đạt")</f>
        <v>Đạt</v>
      </c>
    </row>
    <row r="68" spans="1:22" ht="19.899999999999999" customHeight="1">
      <c r="A68" s="904"/>
      <c r="B68" s="842"/>
      <c r="C68" s="842"/>
      <c r="D68" s="842"/>
      <c r="E68" s="857" t="s">
        <v>954</v>
      </c>
      <c r="F68" s="357">
        <f>F67-F64/K34-K64/K36</f>
        <v>0.3065514702455352</v>
      </c>
      <c r="G68" s="842" t="s">
        <v>10</v>
      </c>
      <c r="H68" s="905" t="str">
        <f>+IF(F68&gt;0,"&gt; 0","@ 0")</f>
        <v>&gt; 0</v>
      </c>
      <c r="I68" s="357"/>
      <c r="J68" s="842"/>
      <c r="K68" s="357"/>
      <c r="L68" s="906"/>
      <c r="V68" s="4" t="str">
        <f>IF(F68&lt;-0.1,"Chưa đạt", "Đạt")</f>
        <v>Đạt</v>
      </c>
    </row>
    <row r="69" spans="1:22" ht="19.899999999999999" customHeight="1">
      <c r="A69" s="842"/>
      <c r="B69" s="904" t="s">
        <v>671</v>
      </c>
      <c r="C69" s="842"/>
      <c r="D69" s="842"/>
      <c r="E69" s="842"/>
      <c r="F69" s="357"/>
      <c r="G69" s="859"/>
      <c r="H69" s="859"/>
      <c r="I69" s="355"/>
      <c r="J69" s="842"/>
      <c r="K69" s="355"/>
      <c r="L69" s="856"/>
    </row>
    <row r="70" spans="1:22" ht="19.899999999999999" customHeight="1">
      <c r="A70" s="904"/>
      <c r="B70" s="857" t="s">
        <v>145</v>
      </c>
      <c r="C70" s="357">
        <f>(C61*K10*K55+E61*D54*E54+G61*I55)*I62</f>
        <v>20.015160000000002</v>
      </c>
      <c r="D70" s="842" t="s">
        <v>10</v>
      </c>
      <c r="E70" s="857" t="s">
        <v>952</v>
      </c>
      <c r="F70" s="357">
        <f>F71+F64/K34+K64/K36</f>
        <v>3.5490060274743613</v>
      </c>
      <c r="G70" s="842" t="s">
        <v>146</v>
      </c>
      <c r="H70" s="842"/>
      <c r="I70" s="357">
        <f>+C70*1.2</f>
        <v>24.018192000000003</v>
      </c>
      <c r="J70" s="842" t="s">
        <v>10</v>
      </c>
      <c r="K70" s="355"/>
      <c r="L70" s="856"/>
      <c r="V70" s="4" t="str">
        <f>IF(I70&gt;F70,"Đạt", "Chưa đạt")</f>
        <v>Đạt</v>
      </c>
    </row>
    <row r="71" spans="1:22" ht="19.899999999999999" customHeight="1">
      <c r="A71" s="904"/>
      <c r="B71" s="857" t="s">
        <v>164</v>
      </c>
      <c r="C71" s="357">
        <f>C39+K30*2.5+K42*1.55+K46*1.55</f>
        <v>257.07297608695649</v>
      </c>
      <c r="D71" s="842" t="s">
        <v>3</v>
      </c>
      <c r="E71" s="857" t="s">
        <v>953</v>
      </c>
      <c r="F71" s="357">
        <f>C71/K32</f>
        <v>2.1602771099744245</v>
      </c>
      <c r="G71" s="842" t="s">
        <v>147</v>
      </c>
      <c r="H71" s="842"/>
      <c r="I71" s="357">
        <f>+C70</f>
        <v>20.015160000000002</v>
      </c>
      <c r="J71" s="842" t="s">
        <v>10</v>
      </c>
      <c r="K71" s="355"/>
      <c r="L71" s="856"/>
      <c r="V71" s="4" t="str">
        <f>IF(I71&gt;F71,"Đạt", "Chưa đạt")</f>
        <v>Đạt</v>
      </c>
    </row>
    <row r="72" spans="1:22" ht="19.899999999999999" customHeight="1">
      <c r="A72" s="904"/>
      <c r="B72" s="857"/>
      <c r="C72" s="842"/>
      <c r="D72" s="842"/>
      <c r="E72" s="857" t="s">
        <v>954</v>
      </c>
      <c r="F72" s="357">
        <f>F71-F64/K34-K64/K36</f>
        <v>0.77154819247448758</v>
      </c>
      <c r="G72" s="842" t="s">
        <v>10</v>
      </c>
      <c r="H72" s="842" t="s">
        <v>148</v>
      </c>
      <c r="I72" s="357"/>
      <c r="J72" s="842"/>
      <c r="K72" s="355"/>
      <c r="L72" s="856"/>
      <c r="V72" s="4" t="str">
        <f>IF(F72&lt;-0.1,"Chưa đạt", "Đạt")</f>
        <v>Đạt</v>
      </c>
    </row>
    <row r="73" spans="1:22" ht="19.899999999999999" customHeight="1">
      <c r="A73" s="879" t="s">
        <v>672</v>
      </c>
      <c r="B73" s="842"/>
      <c r="C73" s="842"/>
      <c r="D73" s="842"/>
      <c r="E73" s="842"/>
      <c r="F73" s="859"/>
      <c r="G73" s="859"/>
      <c r="H73" s="859"/>
      <c r="I73" s="842"/>
      <c r="J73" s="842"/>
      <c r="K73" s="355"/>
      <c r="L73" s="856"/>
    </row>
    <row r="74" spans="1:22" ht="19.899999999999999" customHeight="1">
      <c r="A74" s="842"/>
      <c r="B74" s="857" t="s">
        <v>120</v>
      </c>
      <c r="C74" s="357">
        <f>H56</f>
        <v>3.0833333333333335</v>
      </c>
      <c r="D74" s="842"/>
      <c r="E74" s="842" t="s">
        <v>955</v>
      </c>
      <c r="F74" s="859">
        <f>+K10+2*V74</f>
        <v>10.6</v>
      </c>
      <c r="G74" s="859" t="s">
        <v>0</v>
      </c>
      <c r="H74" s="859"/>
      <c r="I74" s="842"/>
      <c r="J74" s="842"/>
      <c r="K74" s="355"/>
      <c r="L74" s="856"/>
      <c r="V74" s="4">
        <f>IF(D55&gt;0.5,0.6,0.3)</f>
        <v>0.3</v>
      </c>
    </row>
    <row r="75" spans="1:22" ht="19.899999999999999" customHeight="1">
      <c r="A75" s="842"/>
      <c r="B75" s="857" t="s">
        <v>59</v>
      </c>
      <c r="C75" s="355">
        <f>ROUND(0.25*3.1416/(1/TAN(RADIANS(C74))+RADIANS(C74)-3.1516/2),2)</f>
        <v>0.05</v>
      </c>
      <c r="D75" s="842"/>
      <c r="E75" s="842" t="s">
        <v>141</v>
      </c>
      <c r="F75" s="859">
        <f>+K11+2*V74</f>
        <v>12.6</v>
      </c>
      <c r="G75" s="859" t="s">
        <v>0</v>
      </c>
      <c r="H75" s="859"/>
      <c r="I75" s="842"/>
      <c r="J75" s="842"/>
      <c r="K75" s="355"/>
      <c r="L75" s="856"/>
      <c r="N75" s="2"/>
    </row>
    <row r="76" spans="1:22" ht="19.899999999999999" customHeight="1">
      <c r="A76" s="842"/>
      <c r="B76" s="857" t="s">
        <v>112</v>
      </c>
      <c r="C76" s="355">
        <f>ROUND((1+3.1416/(1/TAN(RADIANS(C74))+RADIANS(C74)-3.1416/2)),2)</f>
        <v>1.18</v>
      </c>
      <c r="D76" s="842"/>
      <c r="E76" s="842" t="s">
        <v>142</v>
      </c>
      <c r="F76" s="859">
        <f>+D55+K38</f>
        <v>1.5</v>
      </c>
      <c r="G76" s="859" t="s">
        <v>0</v>
      </c>
      <c r="H76" s="859"/>
      <c r="I76" s="842"/>
      <c r="J76" s="842"/>
      <c r="K76" s="355"/>
      <c r="L76" s="856"/>
      <c r="N76" s="2"/>
    </row>
    <row r="77" spans="1:22" ht="19.899999999999999" customHeight="1">
      <c r="A77" s="842"/>
      <c r="B77" s="857" t="s">
        <v>121</v>
      </c>
      <c r="C77" s="355">
        <f>ROUND(3.1416*1/TAN(RADIANS(C74))/(1/TAN(RADIANS(C74))+RADIANS(C74)-3.1416/2),2)</f>
        <v>3.42</v>
      </c>
      <c r="D77" s="842"/>
      <c r="E77" s="842" t="s">
        <v>143</v>
      </c>
      <c r="F77" s="859">
        <f>+(F75*F74^3-K20^4)/6/F74</f>
        <v>235.94027672955968</v>
      </c>
      <c r="G77" s="856" t="s">
        <v>1</v>
      </c>
      <c r="H77" s="859"/>
      <c r="I77" s="842"/>
      <c r="J77" s="842"/>
      <c r="K77" s="355"/>
      <c r="L77" s="856"/>
    </row>
    <row r="78" spans="1:22" ht="19.899999999999999" customHeight="1">
      <c r="A78" s="842"/>
      <c r="B78" s="857"/>
      <c r="C78" s="842"/>
      <c r="D78" s="842"/>
      <c r="E78" s="842" t="s">
        <v>144</v>
      </c>
      <c r="F78" s="859">
        <f>+(F74*F75^3-K20^4)/6/F75</f>
        <v>280.46277248677245</v>
      </c>
      <c r="G78" s="856" t="s">
        <v>1</v>
      </c>
      <c r="H78" s="859"/>
      <c r="I78" s="842"/>
      <c r="J78" s="842"/>
      <c r="K78" s="355"/>
      <c r="L78" s="856"/>
    </row>
    <row r="79" spans="1:22" ht="19.899999999999999" customHeight="1">
      <c r="A79" s="842"/>
      <c r="B79" s="842"/>
      <c r="C79" s="857" t="s">
        <v>673</v>
      </c>
      <c r="D79" s="842" t="s">
        <v>956</v>
      </c>
      <c r="E79" s="842"/>
      <c r="F79" s="859"/>
      <c r="G79" s="842"/>
      <c r="H79" s="859"/>
      <c r="I79" s="842"/>
      <c r="J79" s="842"/>
      <c r="K79" s="355"/>
      <c r="L79" s="856"/>
    </row>
    <row r="80" spans="1:22" ht="19.899999999999999" customHeight="1">
      <c r="A80" s="842"/>
      <c r="B80" s="842" t="s">
        <v>669</v>
      </c>
      <c r="D80" s="842"/>
      <c r="E80" s="857" t="s">
        <v>957</v>
      </c>
      <c r="F80" s="839">
        <f>+F64+F40*D55</f>
        <v>1.2034782608695718</v>
      </c>
      <c r="G80" s="842" t="s">
        <v>4</v>
      </c>
      <c r="J80" s="857" t="s">
        <v>958</v>
      </c>
      <c r="K80" s="839">
        <f>+K64+D55*C40</f>
        <v>341.01930436597695</v>
      </c>
      <c r="L80" s="842" t="s">
        <v>4</v>
      </c>
    </row>
    <row r="81" spans="1:22" ht="19.899999999999999" customHeight="1">
      <c r="A81" s="842"/>
      <c r="B81" s="904" t="s">
        <v>670</v>
      </c>
      <c r="C81" s="842"/>
      <c r="D81" s="842"/>
      <c r="E81" s="842"/>
      <c r="F81" s="859"/>
      <c r="G81" s="859"/>
      <c r="H81" s="859"/>
      <c r="I81" s="842"/>
      <c r="J81" s="842"/>
      <c r="K81" s="355"/>
      <c r="L81" s="856"/>
    </row>
    <row r="82" spans="1:22" ht="19.899999999999999" customHeight="1">
      <c r="A82" s="842"/>
      <c r="B82" s="857" t="s">
        <v>145</v>
      </c>
      <c r="C82" s="356">
        <f>(+C75*F74*K56+C76*(D54*K54+D55*K55)+C77*I56)*I62</f>
        <v>5.3399689625499462</v>
      </c>
      <c r="D82" s="842" t="s">
        <v>10</v>
      </c>
      <c r="E82" s="857" t="s">
        <v>952</v>
      </c>
      <c r="F82" s="357">
        <f>+C83/(F74*F75-K20^2)+F80/F77+K80/F78</f>
        <v>2.6094440040933895</v>
      </c>
      <c r="G82" s="842" t="s">
        <v>10</v>
      </c>
      <c r="H82" s="842" t="s">
        <v>1011</v>
      </c>
      <c r="I82" s="356">
        <f>1.2*C82</f>
        <v>6.407962755059935</v>
      </c>
      <c r="J82" s="842" t="s">
        <v>10</v>
      </c>
      <c r="K82" s="355"/>
      <c r="L82" s="856"/>
      <c r="V82" s="4" t="str">
        <f>IF(I82&gt;F82,"Đạt", "Chưa đạt")</f>
        <v>Đạt</v>
      </c>
    </row>
    <row r="83" spans="1:22" ht="19.899999999999999" customHeight="1">
      <c r="A83" s="842"/>
      <c r="B83" s="857" t="s">
        <v>164</v>
      </c>
      <c r="C83" s="356">
        <f>+C39+K42*K54+K30*1.4+(F74*F75-K10*K11)*D54*K54+F75*F74*D55*K55+K46*K54</f>
        <v>184.04985115115477</v>
      </c>
      <c r="D83" s="842" t="s">
        <v>3</v>
      </c>
      <c r="E83" s="857" t="s">
        <v>953</v>
      </c>
      <c r="F83" s="357">
        <f>+(F84+F82)/2</f>
        <v>1.3884267588349033</v>
      </c>
      <c r="G83" s="842" t="s">
        <v>10</v>
      </c>
      <c r="H83" s="842" t="s">
        <v>165</v>
      </c>
      <c r="I83" s="356">
        <f>+C82</f>
        <v>5.3399689625499462</v>
      </c>
      <c r="J83" s="842" t="s">
        <v>10</v>
      </c>
      <c r="K83" s="355"/>
      <c r="L83" s="856"/>
      <c r="V83" s="4" t="str">
        <f>IF(I83&gt;F83,"Đạt", "Chưa đạt")</f>
        <v>Đạt</v>
      </c>
    </row>
    <row r="84" spans="1:22" ht="19.899999999999999" customHeight="1">
      <c r="A84" s="842"/>
      <c r="B84" s="842"/>
      <c r="C84" s="842"/>
      <c r="D84" s="842"/>
      <c r="E84" s="857" t="s">
        <v>954</v>
      </c>
      <c r="F84" s="357">
        <f>+C83/(F74*F75-K20^2)-F80/F77-K80/F78</f>
        <v>0.16740951357641687</v>
      </c>
      <c r="G84" s="842" t="s">
        <v>10</v>
      </c>
      <c r="H84" s="859" t="s">
        <v>148</v>
      </c>
      <c r="I84" s="355"/>
      <c r="J84" s="842"/>
      <c r="K84" s="355"/>
      <c r="L84" s="856"/>
      <c r="V84" s="4" t="str">
        <f>IF(F84&lt;-0.1,"Chưa đạt", "Đạt")</f>
        <v>Đạt</v>
      </c>
    </row>
    <row r="85" spans="1:22" ht="19.899999999999999" hidden="1" customHeight="1">
      <c r="A85" s="842"/>
      <c r="B85" s="842"/>
      <c r="C85" s="842"/>
      <c r="D85" s="842"/>
      <c r="E85" s="842"/>
      <c r="F85" s="355"/>
      <c r="G85" s="842"/>
      <c r="H85" s="842"/>
      <c r="I85" s="355"/>
      <c r="J85" s="355"/>
      <c r="K85" s="355"/>
      <c r="L85" s="856"/>
    </row>
    <row r="86" spans="1:22" ht="19.899999999999999" hidden="1" customHeight="1">
      <c r="A86" s="842"/>
      <c r="B86" s="842"/>
      <c r="C86" s="842"/>
      <c r="D86" s="842"/>
      <c r="E86" s="842"/>
      <c r="F86" s="355"/>
      <c r="G86" s="842"/>
      <c r="H86" s="842"/>
      <c r="I86" s="355"/>
      <c r="J86" s="355"/>
      <c r="K86" s="355"/>
      <c r="L86" s="856"/>
    </row>
    <row r="87" spans="1:22" ht="19.899999999999999" customHeight="1">
      <c r="A87" s="842"/>
      <c r="B87" s="904" t="s">
        <v>671</v>
      </c>
      <c r="C87" s="842"/>
      <c r="D87" s="857"/>
      <c r="E87" s="859"/>
      <c r="F87" s="355"/>
      <c r="G87" s="859"/>
      <c r="H87" s="859"/>
      <c r="I87" s="355"/>
      <c r="J87" s="355"/>
      <c r="K87" s="355"/>
      <c r="L87" s="856"/>
    </row>
    <row r="88" spans="1:22" ht="19.899999999999999" customHeight="1">
      <c r="A88" s="842"/>
      <c r="B88" s="857" t="s">
        <v>145</v>
      </c>
      <c r="C88" s="907">
        <f>(+C75*F74*K56+C76*(D54*E54+D55*E55)+C77*I56)*I62</f>
        <v>8.4208024012881992</v>
      </c>
      <c r="D88" s="842" t="s">
        <v>10</v>
      </c>
      <c r="E88" s="857" t="s">
        <v>952</v>
      </c>
      <c r="F88" s="357">
        <f>+C89/(F74*F75-K20^2)+F80/F77+K80/F78</f>
        <v>3.629325000893342</v>
      </c>
      <c r="G88" s="842" t="s">
        <v>10</v>
      </c>
      <c r="H88" s="842" t="s">
        <v>1011</v>
      </c>
      <c r="I88" s="356">
        <f>1.2*C88</f>
        <v>10.104962881545839</v>
      </c>
      <c r="J88" s="842" t="s">
        <v>10</v>
      </c>
      <c r="K88" s="355"/>
      <c r="L88" s="856"/>
      <c r="V88" s="4" t="str">
        <f>IF(I88&gt;F88,"Đạt", "Chưa đạt")</f>
        <v>Đạt</v>
      </c>
    </row>
    <row r="89" spans="1:22" ht="19.899999999999999" customHeight="1">
      <c r="A89" s="842"/>
      <c r="B89" s="857" t="s">
        <v>164</v>
      </c>
      <c r="C89" s="907">
        <f>+C39+K42*1.55+K30*2.4+(F74*F75-K10*K11)*D54*1.55+F75*F74*D55*K55+K46*1.55</f>
        <v>319.24527608695649</v>
      </c>
      <c r="D89" s="842" t="s">
        <v>3</v>
      </c>
      <c r="E89" s="857" t="s">
        <v>953</v>
      </c>
      <c r="F89" s="357">
        <f>+(F88+F90)/2</f>
        <v>2.4083077556348558</v>
      </c>
      <c r="G89" s="842" t="s">
        <v>10</v>
      </c>
      <c r="H89" s="842" t="s">
        <v>165</v>
      </c>
      <c r="I89" s="356">
        <f>+C88</f>
        <v>8.4208024012881992</v>
      </c>
      <c r="J89" s="842" t="s">
        <v>10</v>
      </c>
      <c r="K89" s="355"/>
      <c r="L89" s="856"/>
      <c r="V89" s="4" t="str">
        <f>IF(I89&gt;F89,"Đạt", "Chưa đạt")</f>
        <v>Đạt</v>
      </c>
    </row>
    <row r="90" spans="1:22" ht="19.899999999999999" customHeight="1">
      <c r="A90" s="842"/>
      <c r="B90" s="842"/>
      <c r="C90" s="842"/>
      <c r="D90" s="842"/>
      <c r="E90" s="857" t="s">
        <v>954</v>
      </c>
      <c r="F90" s="357">
        <f>+C89/(F74*F75-K20^2)-F80/F77-K80/F78</f>
        <v>1.1872905103763693</v>
      </c>
      <c r="G90" s="842" t="s">
        <v>10</v>
      </c>
      <c r="H90" s="859" t="s">
        <v>148</v>
      </c>
      <c r="I90" s="859"/>
      <c r="J90" s="842"/>
      <c r="K90" s="842"/>
      <c r="L90" s="856"/>
      <c r="V90" s="4" t="str">
        <f>IF(F90&lt;-0.1,"Chưa đạt", "Đạt")</f>
        <v>Đạt</v>
      </c>
    </row>
    <row r="91" spans="1:22" ht="19.899999999999999" hidden="1" customHeight="1">
      <c r="B91" s="842"/>
      <c r="C91" s="842"/>
      <c r="D91" s="842"/>
      <c r="E91" s="842"/>
      <c r="F91" s="842"/>
      <c r="G91" s="842"/>
      <c r="H91" s="842"/>
      <c r="I91" s="842"/>
      <c r="J91" s="842"/>
      <c r="K91" s="355"/>
      <c r="L91" s="856"/>
    </row>
    <row r="92" spans="1:22" ht="19.899999999999999" hidden="1" customHeight="1">
      <c r="B92" s="842"/>
      <c r="C92" s="842"/>
      <c r="D92" s="842"/>
      <c r="E92" s="842"/>
      <c r="F92" s="842"/>
      <c r="G92" s="842"/>
      <c r="H92" s="842"/>
      <c r="I92" s="842"/>
      <c r="J92" s="842"/>
      <c r="K92" s="355"/>
      <c r="L92" s="856"/>
    </row>
    <row r="93" spans="1:22" ht="19.899999999999999" hidden="1" customHeight="1">
      <c r="B93" s="842"/>
      <c r="C93" s="842"/>
      <c r="D93" s="857"/>
      <c r="E93" s="859"/>
      <c r="F93" s="842"/>
      <c r="G93" s="859"/>
      <c r="H93" s="859"/>
      <c r="I93" s="842"/>
      <c r="J93" s="842"/>
      <c r="K93" s="355"/>
      <c r="L93" s="856"/>
    </row>
    <row r="94" spans="1:22" ht="19.899999999999999" hidden="1" customHeight="1">
      <c r="A94" s="429"/>
      <c r="B94" s="424"/>
      <c r="C94" s="424"/>
      <c r="D94" s="857"/>
      <c r="E94" s="859"/>
      <c r="F94" s="842"/>
      <c r="G94" s="842"/>
      <c r="H94" s="859"/>
      <c r="I94" s="842"/>
      <c r="J94" s="842"/>
      <c r="K94" s="355"/>
      <c r="L94" s="856"/>
    </row>
    <row r="95" spans="1:22" ht="19.899999999999999" hidden="1" customHeight="1">
      <c r="A95" s="908"/>
      <c r="B95" s="842"/>
      <c r="C95" s="842"/>
      <c r="D95" s="857"/>
      <c r="E95" s="859"/>
      <c r="F95" s="842"/>
      <c r="G95" s="859"/>
      <c r="H95" s="859"/>
      <c r="I95" s="842"/>
      <c r="J95" s="842"/>
      <c r="K95" s="355"/>
      <c r="L95" s="856"/>
    </row>
    <row r="96" spans="1:22" ht="19.899999999999999" customHeight="1">
      <c r="B96" s="879" t="s">
        <v>674</v>
      </c>
      <c r="C96" s="842"/>
      <c r="D96" s="842"/>
      <c r="E96" s="842"/>
      <c r="F96" s="842"/>
      <c r="G96" s="842"/>
      <c r="H96" s="842"/>
      <c r="I96" s="842"/>
      <c r="J96" s="842"/>
      <c r="K96" s="355"/>
      <c r="L96" s="856"/>
    </row>
    <row r="97" spans="1:23" ht="19.899999999999999" customHeight="1">
      <c r="A97" s="879" t="s">
        <v>675</v>
      </c>
      <c r="B97" s="842"/>
      <c r="C97" s="842"/>
      <c r="D97" s="842"/>
      <c r="E97" s="842"/>
      <c r="F97" s="842"/>
      <c r="G97" s="842"/>
      <c r="H97" s="842"/>
      <c r="I97" s="842"/>
      <c r="J97" s="842"/>
      <c r="K97" s="355"/>
      <c r="L97" s="856"/>
    </row>
    <row r="98" spans="1:23" ht="19.899999999999999" customHeight="1">
      <c r="A98" s="842"/>
      <c r="B98" s="842" t="s">
        <v>676</v>
      </c>
      <c r="C98" s="842"/>
      <c r="D98" s="842"/>
      <c r="E98" s="842"/>
      <c r="F98" s="842"/>
      <c r="G98" s="842"/>
      <c r="H98" s="842"/>
      <c r="I98" s="842"/>
      <c r="J98" s="842"/>
      <c r="K98" s="355"/>
      <c r="L98" s="856"/>
    </row>
    <row r="99" spans="1:23" ht="19.899999999999999" customHeight="1">
      <c r="A99" s="842"/>
      <c r="B99" s="842" t="s">
        <v>677</v>
      </c>
      <c r="C99" s="842"/>
      <c r="D99" s="842"/>
      <c r="E99" s="842"/>
      <c r="G99" s="909" t="s">
        <v>959</v>
      </c>
      <c r="H99" s="910">
        <f>F67-K38*K54</f>
        <v>1.0805711935742053</v>
      </c>
      <c r="I99" s="842" t="s">
        <v>10</v>
      </c>
      <c r="J99" s="842"/>
      <c r="K99" s="355"/>
      <c r="L99" s="856"/>
    </row>
    <row r="100" spans="1:23" ht="19.899999999999999" customHeight="1">
      <c r="A100" s="842"/>
      <c r="B100" s="842" t="s">
        <v>678</v>
      </c>
      <c r="C100" s="842"/>
      <c r="D100" s="842"/>
      <c r="E100" s="842"/>
      <c r="G100" s="909" t="s">
        <v>959</v>
      </c>
      <c r="H100" s="910">
        <f>F71-E54*K38</f>
        <v>0.56027710997442437</v>
      </c>
      <c r="I100" s="842" t="s">
        <v>10</v>
      </c>
      <c r="J100" s="842"/>
      <c r="K100" s="355"/>
      <c r="L100" s="856"/>
    </row>
    <row r="101" spans="1:23" ht="19.899999999999999" customHeight="1">
      <c r="A101" s="842"/>
      <c r="B101" s="842" t="s">
        <v>223</v>
      </c>
      <c r="C101" s="842"/>
      <c r="D101" s="842"/>
      <c r="E101" s="842"/>
      <c r="G101" s="911" t="s">
        <v>960</v>
      </c>
      <c r="H101" s="910">
        <f>+MAX(H99,H100)</f>
        <v>1.0805711935742053</v>
      </c>
      <c r="I101" s="842" t="s">
        <v>10</v>
      </c>
      <c r="K101" s="857" t="s">
        <v>679</v>
      </c>
      <c r="L101" s="842" t="s">
        <v>64</v>
      </c>
    </row>
    <row r="102" spans="1:23" ht="19.899999999999999" customHeight="1">
      <c r="A102" s="842"/>
      <c r="B102" s="758" t="s">
        <v>961</v>
      </c>
      <c r="C102" s="842"/>
      <c r="D102" s="842"/>
      <c r="E102" s="842"/>
      <c r="F102" s="842"/>
      <c r="G102" s="842"/>
      <c r="H102" s="842"/>
      <c r="I102" s="842"/>
      <c r="J102" s="842"/>
      <c r="K102" s="355"/>
      <c r="L102" s="856"/>
    </row>
    <row r="103" spans="1:23" ht="40.15" customHeight="1">
      <c r="B103" s="912" t="s">
        <v>140</v>
      </c>
      <c r="C103" s="913" t="s">
        <v>28</v>
      </c>
      <c r="D103" s="913" t="s">
        <v>27</v>
      </c>
      <c r="E103" s="914" t="s">
        <v>29</v>
      </c>
      <c r="F103" s="915" t="s">
        <v>962</v>
      </c>
      <c r="G103" s="914" t="s">
        <v>963</v>
      </c>
      <c r="H103" s="914" t="s">
        <v>964</v>
      </c>
      <c r="I103" s="914" t="s">
        <v>965</v>
      </c>
      <c r="J103" s="916" t="s">
        <v>837</v>
      </c>
    </row>
    <row r="104" spans="1:23" ht="19.899999999999999" customHeight="1">
      <c r="B104" s="917">
        <v>1</v>
      </c>
      <c r="C104" s="918">
        <f t="shared" ref="C104:C125" si="7">+$K$10/2*D104</f>
        <v>0</v>
      </c>
      <c r="D104" s="919">
        <v>0</v>
      </c>
      <c r="E104" s="920">
        <f>+VLOOKUP(D104,Tra!$C$19:$J$115,5,0)</f>
        <v>1</v>
      </c>
      <c r="F104" s="921">
        <f>IF(D55=0,J54,J55)</f>
        <v>1100</v>
      </c>
      <c r="G104" s="920">
        <f>H101*E104</f>
        <v>1.0805711935742053</v>
      </c>
      <c r="H104" s="920">
        <f t="shared" ref="H104:H125" si="8">$K$38*$K$54+$K$56*C104</f>
        <v>0.61470919417126679</v>
      </c>
      <c r="I104" s="920">
        <f>IF(G104&gt;0.1*H104,0.8*C104*(G104+G105)/2/F104*1000,"-")</f>
        <v>0</v>
      </c>
      <c r="J104" s="922" t="str">
        <f>IF(H104/G104&gt;$I$126,"STOP","CONT")</f>
        <v>CONT</v>
      </c>
      <c r="M104" s="923">
        <f t="shared" ref="M104:M118" si="9">+H104/G104</f>
        <v>0.56887431187018156</v>
      </c>
      <c r="P104" s="4">
        <f>SUMIF($J$104:$J$118,"CONT",$I$104:$I$118)</f>
        <v>53.186193998452552</v>
      </c>
      <c r="Q104" s="4">
        <f>SUMIF($J$104:$J$118,"CONT",$D$104:$D$118)</f>
        <v>5.5</v>
      </c>
    </row>
    <row r="105" spans="1:23" ht="19.899999999999999" customHeight="1">
      <c r="B105" s="924">
        <f t="shared" ref="B105:B125" si="10">+B104+1</f>
        <v>2</v>
      </c>
      <c r="C105" s="925">
        <f t="shared" si="7"/>
        <v>0.5</v>
      </c>
      <c r="D105" s="926">
        <f t="shared" ref="D105:D125" si="11">+ROUND(D104+0.1,2)</f>
        <v>0.1</v>
      </c>
      <c r="E105" s="927">
        <f>+VLOOKUP(D105,Tra!$C$19:$J$115,5,0)</f>
        <v>0.99199999999999999</v>
      </c>
      <c r="F105" s="928">
        <f>IF(C105&lt;=$D$55,$J$55,IF(AND($D$55&lt;C105,C105&lt;=($D$56+$D$55)),$J$56,$J$57))</f>
        <v>1100</v>
      </c>
      <c r="G105" s="927">
        <f t="shared" ref="G105:G125" si="12">$H$101*E105</f>
        <v>1.0719266240256116</v>
      </c>
      <c r="H105" s="927">
        <f t="shared" si="8"/>
        <v>0.93042217393698934</v>
      </c>
      <c r="I105" s="927">
        <f t="shared" ref="I105:I117" si="13">0.8*$C$105*(G105+G106)/2/F105*1000</f>
        <v>0.38821975972775086</v>
      </c>
      <c r="J105" s="929" t="str">
        <f>IF(H105/G105&gt;$I$126,"STOP","CONT")</f>
        <v>CONT</v>
      </c>
      <c r="M105" s="923">
        <f t="shared" si="9"/>
        <v>0.86799054439267176</v>
      </c>
      <c r="N105" s="6" t="str">
        <f t="shared" ref="N105:N118" si="14">+IF(H105/G105&lt;=$I$126,"X","")</f>
        <v>X</v>
      </c>
      <c r="O105" s="4">
        <v>1</v>
      </c>
    </row>
    <row r="106" spans="1:23" ht="19.899999999999999" customHeight="1">
      <c r="B106" s="924">
        <f t="shared" si="10"/>
        <v>3</v>
      </c>
      <c r="C106" s="925">
        <f t="shared" si="7"/>
        <v>1</v>
      </c>
      <c r="D106" s="926">
        <f>+ROUND(D105+0.1,2)</f>
        <v>0.2</v>
      </c>
      <c r="E106" s="927">
        <f>+VLOOKUP(D106,Tra!$C$19:$J$115,5,0)</f>
        <v>0.98399999999999999</v>
      </c>
      <c r="F106" s="928">
        <f t="shared" ref="F106:F125" si="15">IF(C106&lt;=$D$55,$J$55,IF(AND($D$55&lt;C106,C106&lt;=($D$56+$D$55)),$J$56,$J$57))</f>
        <v>64.163422893027871</v>
      </c>
      <c r="G106" s="927">
        <f t="shared" si="12"/>
        <v>1.0632820544770181</v>
      </c>
      <c r="H106" s="927">
        <f t="shared" si="8"/>
        <v>1.2461351537027117</v>
      </c>
      <c r="I106" s="927">
        <f t="shared" si="13"/>
        <v>6.6016413835539947</v>
      </c>
      <c r="J106" s="929" t="str">
        <f t="shared" ref="J106:J117" si="16">IF(H106/G106&gt;$I$126,"STOP","CONT")</f>
        <v>CONT</v>
      </c>
      <c r="M106" s="923">
        <f t="shared" si="9"/>
        <v>1.171970455492763</v>
      </c>
      <c r="N106" s="6" t="str">
        <f t="shared" si="14"/>
        <v>X</v>
      </c>
      <c r="O106" s="4">
        <v>1</v>
      </c>
    </row>
    <row r="107" spans="1:23" ht="19.899999999999999" customHeight="1">
      <c r="B107" s="924">
        <f t="shared" si="10"/>
        <v>4</v>
      </c>
      <c r="C107" s="925">
        <f t="shared" si="7"/>
        <v>1.5</v>
      </c>
      <c r="D107" s="926">
        <f t="shared" si="11"/>
        <v>0.3</v>
      </c>
      <c r="E107" s="927">
        <f>+VLOOKUP(D107,Tra!$C$19:$J$115,5,0)</f>
        <v>0.97599999999999998</v>
      </c>
      <c r="F107" s="928">
        <f t="shared" si="15"/>
        <v>64.163422893027871</v>
      </c>
      <c r="G107" s="927">
        <f t="shared" si="12"/>
        <v>1.0546374849284244</v>
      </c>
      <c r="H107" s="927">
        <f t="shared" si="8"/>
        <v>1.5618481334684342</v>
      </c>
      <c r="I107" s="927">
        <f t="shared" si="13"/>
        <v>6.5477504334841639</v>
      </c>
      <c r="J107" s="929" t="str">
        <f t="shared" si="16"/>
        <v>CONT</v>
      </c>
      <c r="M107" s="923">
        <f t="shared" si="9"/>
        <v>1.4809336438240037</v>
      </c>
      <c r="N107" s="6" t="str">
        <f t="shared" si="14"/>
        <v>X</v>
      </c>
      <c r="O107" s="4">
        <v>1</v>
      </c>
      <c r="V107" s="722" t="s">
        <v>843</v>
      </c>
      <c r="W107" s="930">
        <f>COUNTIF(J104:J118,"CONT")</f>
        <v>11</v>
      </c>
    </row>
    <row r="108" spans="1:23" ht="19.899999999999999" customHeight="1">
      <c r="B108" s="924">
        <f t="shared" si="10"/>
        <v>5</v>
      </c>
      <c r="C108" s="925">
        <f t="shared" si="7"/>
        <v>2</v>
      </c>
      <c r="D108" s="926">
        <f t="shared" si="11"/>
        <v>0.4</v>
      </c>
      <c r="E108" s="927">
        <f>+VLOOKUP(D108,Tra!$C$19:$J$115,5,0)</f>
        <v>0.96799999999999997</v>
      </c>
      <c r="F108" s="928">
        <f t="shared" si="15"/>
        <v>64.163422893027871</v>
      </c>
      <c r="G108" s="927">
        <f t="shared" si="12"/>
        <v>1.0459929153798306</v>
      </c>
      <c r="H108" s="927">
        <f t="shared" si="8"/>
        <v>1.8775611132341568</v>
      </c>
      <c r="I108" s="927">
        <f t="shared" si="13"/>
        <v>6.4046025973611815</v>
      </c>
      <c r="J108" s="929" t="str">
        <f t="shared" si="16"/>
        <v>CONT</v>
      </c>
      <c r="M108" s="923">
        <f t="shared" si="9"/>
        <v>1.7950036617144385</v>
      </c>
      <c r="N108" s="6" t="str">
        <f t="shared" si="14"/>
        <v>X</v>
      </c>
      <c r="O108" s="4">
        <v>1</v>
      </c>
    </row>
    <row r="109" spans="1:23" ht="19.899999999999999" customHeight="1">
      <c r="B109" s="924">
        <f t="shared" si="10"/>
        <v>6</v>
      </c>
      <c r="C109" s="925">
        <f t="shared" si="7"/>
        <v>2.5</v>
      </c>
      <c r="D109" s="926">
        <f t="shared" si="11"/>
        <v>0.5</v>
      </c>
      <c r="E109" s="927">
        <f>+VLOOKUP(D109,Tra!$C$19:$J$115,5,0)</f>
        <v>0.9335</v>
      </c>
      <c r="F109" s="928">
        <f t="shared" si="15"/>
        <v>64.163422893027871</v>
      </c>
      <c r="G109" s="927">
        <f t="shared" si="12"/>
        <v>1.0087132092015205</v>
      </c>
      <c r="H109" s="927">
        <f t="shared" si="8"/>
        <v>2.1932740929998795</v>
      </c>
      <c r="I109" s="927">
        <f t="shared" si="13"/>
        <v>6.1721978751850477</v>
      </c>
      <c r="J109" s="929" t="str">
        <f t="shared" si="16"/>
        <v>CONT</v>
      </c>
      <c r="M109" s="923">
        <f t="shared" si="9"/>
        <v>2.1743287120588382</v>
      </c>
      <c r="N109" s="6" t="str">
        <f t="shared" si="14"/>
        <v>X</v>
      </c>
      <c r="O109" s="4">
        <v>1</v>
      </c>
    </row>
    <row r="110" spans="1:23" ht="19.899999999999999" customHeight="1">
      <c r="B110" s="924">
        <f t="shared" si="10"/>
        <v>7</v>
      </c>
      <c r="C110" s="925">
        <f t="shared" si="7"/>
        <v>3</v>
      </c>
      <c r="D110" s="926">
        <f t="shared" si="11"/>
        <v>0.6</v>
      </c>
      <c r="E110" s="927">
        <f>+VLOOKUP(D110,Tra!$C$19:$J$115,5,0)</f>
        <v>0.89900000000000002</v>
      </c>
      <c r="F110" s="928">
        <f t="shared" si="15"/>
        <v>64.163422893027871</v>
      </c>
      <c r="G110" s="927">
        <f t="shared" si="12"/>
        <v>0.97143350302321052</v>
      </c>
      <c r="H110" s="927">
        <f t="shared" si="8"/>
        <v>2.5089870727656018</v>
      </c>
      <c r="I110" s="927">
        <f t="shared" si="13"/>
        <v>5.9397931530089121</v>
      </c>
      <c r="J110" s="929" t="str">
        <f t="shared" si="16"/>
        <v>CONT</v>
      </c>
      <c r="M110" s="923">
        <f t="shared" si="9"/>
        <v>2.5827676984140977</v>
      </c>
      <c r="N110" s="6" t="str">
        <f t="shared" si="14"/>
        <v>X</v>
      </c>
      <c r="O110" s="4">
        <v>1</v>
      </c>
      <c r="P110" s="4">
        <f>COUNTIF($J$104:$J$118,"STOP")</f>
        <v>4</v>
      </c>
    </row>
    <row r="111" spans="1:23" ht="19.899999999999999" customHeight="1">
      <c r="B111" s="924">
        <f t="shared" si="10"/>
        <v>8</v>
      </c>
      <c r="C111" s="925">
        <f t="shared" si="7"/>
        <v>3.5</v>
      </c>
      <c r="D111" s="926">
        <f t="shared" si="11"/>
        <v>0.7</v>
      </c>
      <c r="E111" s="927">
        <f>+VLOOKUP(D111,Tra!$C$19:$J$115,5,0)</f>
        <v>0.86450000000000005</v>
      </c>
      <c r="F111" s="928">
        <f t="shared" si="15"/>
        <v>64.163422893027871</v>
      </c>
      <c r="G111" s="927">
        <f t="shared" si="12"/>
        <v>0.93415379684490052</v>
      </c>
      <c r="H111" s="927">
        <f t="shared" si="8"/>
        <v>2.8247000525313242</v>
      </c>
      <c r="I111" s="927">
        <f t="shared" si="13"/>
        <v>5.7073884308327756</v>
      </c>
      <c r="J111" s="929" t="str">
        <f t="shared" si="16"/>
        <v>CONT</v>
      </c>
      <c r="M111" s="923">
        <f t="shared" si="9"/>
        <v>3.0238062105744619</v>
      </c>
      <c r="N111" s="6" t="str">
        <f t="shared" si="14"/>
        <v>X</v>
      </c>
      <c r="O111" s="4">
        <v>1</v>
      </c>
    </row>
    <row r="112" spans="1:23" ht="19.899999999999999" customHeight="1">
      <c r="B112" s="924">
        <f t="shared" si="10"/>
        <v>9</v>
      </c>
      <c r="C112" s="925">
        <f t="shared" si="7"/>
        <v>4</v>
      </c>
      <c r="D112" s="926">
        <f t="shared" si="11"/>
        <v>0.8</v>
      </c>
      <c r="E112" s="927">
        <f>+VLOOKUP(D112,Tra!$C$19:$J$115,5,0)</f>
        <v>0.83</v>
      </c>
      <c r="F112" s="928">
        <f t="shared" si="15"/>
        <v>64.163422893027871</v>
      </c>
      <c r="G112" s="927">
        <f t="shared" si="12"/>
        <v>0.8968740906665903</v>
      </c>
      <c r="H112" s="927">
        <f t="shared" si="8"/>
        <v>3.1404130322970465</v>
      </c>
      <c r="I112" s="927">
        <f>0.8*$C$105*(G112+G113)/2/F112*1000</f>
        <v>5.4413018648629983</v>
      </c>
      <c r="J112" s="929" t="str">
        <f t="shared" si="16"/>
        <v>CONT</v>
      </c>
      <c r="M112" s="923">
        <f t="shared" si="9"/>
        <v>3.5015093701312905</v>
      </c>
      <c r="N112" s="6" t="str">
        <f t="shared" si="14"/>
        <v>X</v>
      </c>
      <c r="O112" s="4">
        <v>1</v>
      </c>
    </row>
    <row r="113" spans="2:24" ht="19.899999999999999" customHeight="1">
      <c r="B113" s="924">
        <f t="shared" si="10"/>
        <v>10</v>
      </c>
      <c r="C113" s="925">
        <f t="shared" si="7"/>
        <v>4.5</v>
      </c>
      <c r="D113" s="926">
        <f t="shared" si="11"/>
        <v>0.9</v>
      </c>
      <c r="E113" s="927">
        <f>+VLOOKUP(D113,Tra!$C$19:$J$115,5,0)</f>
        <v>0.78549999999999998</v>
      </c>
      <c r="F113" s="928">
        <f t="shared" si="15"/>
        <v>64.163422893027871</v>
      </c>
      <c r="G113" s="927">
        <f t="shared" si="12"/>
        <v>0.8487886725525382</v>
      </c>
      <c r="H113" s="927">
        <f t="shared" si="8"/>
        <v>3.4561260120627688</v>
      </c>
      <c r="I113" s="927">
        <f t="shared" si="13"/>
        <v>5.1415334550995775</v>
      </c>
      <c r="J113" s="929" t="str">
        <f t="shared" si="16"/>
        <v>CONT</v>
      </c>
      <c r="M113" s="923">
        <f t="shared" si="9"/>
        <v>4.0718333359342065</v>
      </c>
      <c r="N113" s="6" t="str">
        <f t="shared" si="14"/>
        <v>X</v>
      </c>
      <c r="O113" s="4">
        <v>1</v>
      </c>
    </row>
    <row r="114" spans="2:24" ht="19.899999999999999" customHeight="1">
      <c r="B114" s="924">
        <f t="shared" si="10"/>
        <v>11</v>
      </c>
      <c r="C114" s="925">
        <f t="shared" si="7"/>
        <v>5</v>
      </c>
      <c r="D114" s="926">
        <f t="shared" si="11"/>
        <v>1</v>
      </c>
      <c r="E114" s="927">
        <f>+VLOOKUP(D114,Tra!$C$19:$J$115,5,0)</f>
        <v>0.74099999999999999</v>
      </c>
      <c r="F114" s="928">
        <f t="shared" si="15"/>
        <v>64.163422893027871</v>
      </c>
      <c r="G114" s="927">
        <f t="shared" si="12"/>
        <v>0.80070325443848611</v>
      </c>
      <c r="H114" s="927">
        <f t="shared" si="8"/>
        <v>3.771838991828492</v>
      </c>
      <c r="I114" s="927">
        <f t="shared" si="13"/>
        <v>4.8417650453361567</v>
      </c>
      <c r="J114" s="929" t="str">
        <f t="shared" si="16"/>
        <v>CONT</v>
      </c>
      <c r="M114" s="923">
        <f t="shared" si="9"/>
        <v>4.7106577510710776</v>
      </c>
      <c r="N114" s="6" t="str">
        <f>+IF(H114/G114&lt;=$I$126,"X","")</f>
        <v>X</v>
      </c>
      <c r="O114" s="4">
        <v>1</v>
      </c>
    </row>
    <row r="115" spans="2:24" ht="19.899999999999999" customHeight="1">
      <c r="B115" s="924">
        <f t="shared" si="10"/>
        <v>12</v>
      </c>
      <c r="C115" s="925">
        <f t="shared" si="7"/>
        <v>5.5</v>
      </c>
      <c r="D115" s="926">
        <f t="shared" si="11"/>
        <v>1.1000000000000001</v>
      </c>
      <c r="E115" s="927">
        <f>+VLOOKUP(D115,Tra!$C$19:$J$115,5,0)</f>
        <v>0.69650000000000001</v>
      </c>
      <c r="F115" s="928">
        <f t="shared" si="15"/>
        <v>64.163422893027871</v>
      </c>
      <c r="G115" s="927">
        <f t="shared" si="12"/>
        <v>0.75261783632443402</v>
      </c>
      <c r="H115" s="927">
        <f t="shared" si="8"/>
        <v>4.0875519715942144</v>
      </c>
      <c r="I115" s="927">
        <f t="shared" si="13"/>
        <v>4.541996635572735</v>
      </c>
      <c r="J115" s="929" t="str">
        <f t="shared" si="16"/>
        <v>STOP</v>
      </c>
      <c r="M115" s="923">
        <f t="shared" si="9"/>
        <v>5.4311122781206276</v>
      </c>
      <c r="N115" s="6" t="str">
        <f>+IF(H115/G115&lt;=$I$126,"X","")</f>
        <v/>
      </c>
      <c r="O115" s="4">
        <v>1</v>
      </c>
    </row>
    <row r="116" spans="2:24" ht="19.899999999999999" customHeight="1">
      <c r="B116" s="924">
        <f t="shared" si="10"/>
        <v>13</v>
      </c>
      <c r="C116" s="925">
        <f t="shared" si="7"/>
        <v>6</v>
      </c>
      <c r="D116" s="926">
        <f t="shared" si="11"/>
        <v>1.2</v>
      </c>
      <c r="E116" s="927">
        <f>+VLOOKUP(D116,Tra!$C$19:$J$115,5,0)</f>
        <v>0.65200000000000002</v>
      </c>
      <c r="F116" s="928">
        <f t="shared" si="15"/>
        <v>64.163422893027871</v>
      </c>
      <c r="G116" s="927">
        <f t="shared" si="12"/>
        <v>0.70453241821038182</v>
      </c>
      <c r="H116" s="927">
        <f t="shared" si="8"/>
        <v>4.4032649513599367</v>
      </c>
      <c r="I116" s="927">
        <f t="shared" si="13"/>
        <v>4.2607532398958163</v>
      </c>
      <c r="J116" s="929" t="str">
        <f t="shared" si="16"/>
        <v>STOP</v>
      </c>
      <c r="M116" s="923">
        <f t="shared" si="9"/>
        <v>6.2499110580956536</v>
      </c>
      <c r="N116" s="6" t="str">
        <f t="shared" si="14"/>
        <v/>
      </c>
      <c r="O116" s="4">
        <v>1</v>
      </c>
    </row>
    <row r="117" spans="2:24" ht="19.899999999999999" customHeight="1">
      <c r="B117" s="924">
        <f t="shared" si="10"/>
        <v>14</v>
      </c>
      <c r="C117" s="925">
        <f t="shared" si="7"/>
        <v>6.5</v>
      </c>
      <c r="D117" s="926">
        <f t="shared" si="11"/>
        <v>1.3</v>
      </c>
      <c r="E117" s="927">
        <f>+VLOOKUP(D117,Tra!$C$19:$J$115,5,0)</f>
        <v>0.61299999999999999</v>
      </c>
      <c r="F117" s="928">
        <f t="shared" si="15"/>
        <v>61.990720020720019</v>
      </c>
      <c r="G117" s="927">
        <f t="shared" si="12"/>
        <v>0.66239014166098786</v>
      </c>
      <c r="H117" s="927">
        <f t="shared" si="8"/>
        <v>4.718977931125659</v>
      </c>
      <c r="I117" s="927">
        <f t="shared" si="13"/>
        <v>4.1381613452589932</v>
      </c>
      <c r="J117" s="929" t="str">
        <f t="shared" si="16"/>
        <v>STOP</v>
      </c>
      <c r="M117" s="923">
        <f t="shared" si="9"/>
        <v>7.124166913614542</v>
      </c>
      <c r="N117" s="6" t="str">
        <f t="shared" si="14"/>
        <v/>
      </c>
      <c r="O117" s="4">
        <v>1</v>
      </c>
    </row>
    <row r="118" spans="2:24" ht="19.899999999999999" customHeight="1">
      <c r="B118" s="924">
        <f t="shared" si="10"/>
        <v>15</v>
      </c>
      <c r="C118" s="925">
        <f t="shared" si="7"/>
        <v>7</v>
      </c>
      <c r="D118" s="926">
        <f t="shared" si="11"/>
        <v>1.4</v>
      </c>
      <c r="E118" s="927">
        <f>+VLOOKUP(D118,Tra!$C$19:$J$115,5,0)</f>
        <v>0.57400000000000007</v>
      </c>
      <c r="F118" s="928">
        <f t="shared" si="15"/>
        <v>61.990720020720019</v>
      </c>
      <c r="G118" s="925">
        <f t="shared" si="12"/>
        <v>0.62024786511159391</v>
      </c>
      <c r="H118" s="925">
        <f t="shared" si="8"/>
        <v>5.0346909108913822</v>
      </c>
      <c r="I118" s="931">
        <f>0.8*$C$105*(G118+I119)/2/F118*1000</f>
        <v>3.8662349889572227</v>
      </c>
      <c r="J118" s="932" t="str">
        <f>IF(H118/G118&gt;$I$126,"STOP","CONT")</f>
        <v>STOP</v>
      </c>
      <c r="M118" s="923">
        <f t="shared" si="9"/>
        <v>8.1172240874792045</v>
      </c>
      <c r="N118" s="6" t="str">
        <f t="shared" si="14"/>
        <v/>
      </c>
      <c r="O118" s="4">
        <v>1</v>
      </c>
    </row>
    <row r="119" spans="2:24" ht="19.899999999999999" hidden="1" customHeight="1">
      <c r="B119" s="933">
        <f t="shared" si="10"/>
        <v>16</v>
      </c>
      <c r="C119" s="934">
        <f t="shared" si="7"/>
        <v>7.5</v>
      </c>
      <c r="D119" s="935">
        <f t="shared" si="11"/>
        <v>1.5</v>
      </c>
      <c r="E119" s="936">
        <f>+VLOOKUP(D119,Tra!$C$19:$J$115,5,0)</f>
        <v>0.53500000000000003</v>
      </c>
      <c r="F119" s="928">
        <f t="shared" si="15"/>
        <v>61.990720020720019</v>
      </c>
      <c r="G119" s="934">
        <f t="shared" si="12"/>
        <v>0.57810558856219985</v>
      </c>
      <c r="H119" s="934">
        <f t="shared" si="8"/>
        <v>5.3504038906571045</v>
      </c>
      <c r="I119" s="937">
        <f t="shared" ref="I119:I125" si="17">$H$101*E119</f>
        <v>0.57810558856219985</v>
      </c>
      <c r="J119" s="937">
        <f t="shared" ref="J119:J125" si="18">$K$38*$K$54+$K$56*C119</f>
        <v>5.3504038906571045</v>
      </c>
      <c r="K119" s="938">
        <f t="shared" ref="K119:K124" si="19">0.8*$C$105*(I119+I120)/2/F119*1000</f>
        <v>3.5943086326554528</v>
      </c>
      <c r="L119" s="939"/>
      <c r="M119" s="923">
        <f t="shared" ref="M119:M125" si="20">+J119/I119</f>
        <v>9.2550634287484339</v>
      </c>
      <c r="N119" s="6" t="str">
        <f t="shared" ref="N119:N125" si="21">+IF(J119/I119&lt;=$I$126,"X","")</f>
        <v/>
      </c>
      <c r="O119" s="4">
        <v>1</v>
      </c>
      <c r="X119" s="4">
        <f>IF(C119&lt;D67,K67,K68)</f>
        <v>0</v>
      </c>
    </row>
    <row r="120" spans="2:24" ht="19.899999999999999" hidden="1" customHeight="1">
      <c r="B120" s="933">
        <f t="shared" si="10"/>
        <v>17</v>
      </c>
      <c r="C120" s="934">
        <f t="shared" si="7"/>
        <v>8</v>
      </c>
      <c r="D120" s="935">
        <f t="shared" si="11"/>
        <v>1.6</v>
      </c>
      <c r="E120" s="936">
        <f>+VLOOKUP(D120,Tra!$C$19:$J$115,5,0)</f>
        <v>0.496</v>
      </c>
      <c r="F120" s="928">
        <f t="shared" si="15"/>
        <v>61.990720020720019</v>
      </c>
      <c r="G120" s="934">
        <f t="shared" si="12"/>
        <v>0.53596331201280578</v>
      </c>
      <c r="H120" s="934">
        <f t="shared" si="8"/>
        <v>5.6661168704228269</v>
      </c>
      <c r="I120" s="936">
        <f t="shared" si="17"/>
        <v>0.53596331201280578</v>
      </c>
      <c r="J120" s="936">
        <f t="shared" si="18"/>
        <v>5.6661168704228269</v>
      </c>
      <c r="K120" s="938">
        <f t="shared" si="19"/>
        <v>3.3563730708914035</v>
      </c>
      <c r="L120" s="939"/>
      <c r="M120" s="923">
        <f t="shared" si="20"/>
        <v>10.571837182555971</v>
      </c>
      <c r="N120" s="6" t="str">
        <f t="shared" si="21"/>
        <v/>
      </c>
      <c r="O120" s="4">
        <v>1</v>
      </c>
      <c r="X120" s="4" t="e">
        <f>IF(C120&lt;D68,K68,#REF!)</f>
        <v>#REF!</v>
      </c>
    </row>
    <row r="121" spans="2:24" ht="19.899999999999999" hidden="1" customHeight="1">
      <c r="B121" s="933">
        <f t="shared" si="10"/>
        <v>18</v>
      </c>
      <c r="C121" s="934">
        <f t="shared" si="7"/>
        <v>8.5</v>
      </c>
      <c r="D121" s="935">
        <f t="shared" si="11"/>
        <v>1.7</v>
      </c>
      <c r="E121" s="936">
        <f>+VLOOKUP(D121,Tra!$C$19:$J$115,5,0)</f>
        <v>0.46675</v>
      </c>
      <c r="F121" s="928">
        <f t="shared" si="15"/>
        <v>61.990720020720019</v>
      </c>
      <c r="G121" s="934">
        <f t="shared" si="12"/>
        <v>0.50435660460076026</v>
      </c>
      <c r="H121" s="934">
        <f t="shared" si="8"/>
        <v>5.9818298501885492</v>
      </c>
      <c r="I121" s="936">
        <f t="shared" si="17"/>
        <v>0.50435660460076026</v>
      </c>
      <c r="J121" s="936">
        <f t="shared" si="18"/>
        <v>5.9818298501885492</v>
      </c>
      <c r="K121" s="938">
        <f t="shared" si="19"/>
        <v>3.1524283036650753</v>
      </c>
      <c r="L121" s="939"/>
      <c r="M121" s="923">
        <f t="shared" si="20"/>
        <v>11.860318266127713</v>
      </c>
      <c r="N121" s="6" t="str">
        <f t="shared" si="21"/>
        <v/>
      </c>
      <c r="O121" s="4">
        <v>1</v>
      </c>
      <c r="X121" s="4" t="e">
        <f>IF(C121&lt;#REF!,#REF!,#REF!)</f>
        <v>#REF!</v>
      </c>
    </row>
    <row r="122" spans="2:24" ht="19.899999999999999" hidden="1" customHeight="1">
      <c r="B122" s="933">
        <f t="shared" si="10"/>
        <v>19</v>
      </c>
      <c r="C122" s="934">
        <f t="shared" si="7"/>
        <v>9</v>
      </c>
      <c r="D122" s="935">
        <f t="shared" si="11"/>
        <v>1.8</v>
      </c>
      <c r="E122" s="936">
        <f>+VLOOKUP(D122,Tra!$C$19:$J$115,5,0)</f>
        <v>0.4375</v>
      </c>
      <c r="F122" s="928">
        <f t="shared" si="15"/>
        <v>61.990720020720019</v>
      </c>
      <c r="G122" s="934">
        <f t="shared" si="12"/>
        <v>0.4727498971887148</v>
      </c>
      <c r="H122" s="934">
        <f t="shared" si="8"/>
        <v>6.2975428299542715</v>
      </c>
      <c r="I122" s="936">
        <f t="shared" si="17"/>
        <v>0.4727498971887148</v>
      </c>
      <c r="J122" s="936">
        <f t="shared" si="18"/>
        <v>6.2975428299542715</v>
      </c>
      <c r="K122" s="938">
        <f t="shared" si="19"/>
        <v>2.9484835364387476</v>
      </c>
      <c r="L122" s="939"/>
      <c r="M122" s="923">
        <f t="shared" si="20"/>
        <v>13.321087677445618</v>
      </c>
      <c r="N122" s="6" t="str">
        <f t="shared" si="21"/>
        <v/>
      </c>
      <c r="O122" s="4">
        <v>1</v>
      </c>
      <c r="X122" s="4" t="e">
        <f>IF(C122&lt;#REF!,#REF!,K69)</f>
        <v>#REF!</v>
      </c>
    </row>
    <row r="123" spans="2:24" ht="19.899999999999999" hidden="1" customHeight="1">
      <c r="B123" s="933">
        <f t="shared" si="10"/>
        <v>20</v>
      </c>
      <c r="C123" s="934">
        <f t="shared" si="7"/>
        <v>9.5</v>
      </c>
      <c r="D123" s="935">
        <f t="shared" si="11"/>
        <v>1.9</v>
      </c>
      <c r="E123" s="936">
        <f>+VLOOKUP(D123,Tra!$C$19:$J$115,5,0)</f>
        <v>0.40825</v>
      </c>
      <c r="F123" s="928">
        <f t="shared" si="15"/>
        <v>61.990720020720019</v>
      </c>
      <c r="G123" s="934">
        <f t="shared" si="12"/>
        <v>0.44114318977666933</v>
      </c>
      <c r="H123" s="934">
        <f t="shared" si="8"/>
        <v>6.6132558097199947</v>
      </c>
      <c r="I123" s="936">
        <f t="shared" si="17"/>
        <v>0.44114318977666933</v>
      </c>
      <c r="J123" s="936">
        <f t="shared" si="18"/>
        <v>6.6132558097199947</v>
      </c>
      <c r="K123" s="938">
        <f t="shared" si="19"/>
        <v>2.7445387692124199</v>
      </c>
      <c r="L123" s="939"/>
      <c r="M123" s="923">
        <f t="shared" si="20"/>
        <v>14.991177384077909</v>
      </c>
      <c r="N123" s="6" t="str">
        <f t="shared" si="21"/>
        <v/>
      </c>
      <c r="O123" s="4">
        <v>1</v>
      </c>
      <c r="X123" s="4">
        <f>IF(C123&lt;D69,K69,K70)</f>
        <v>0</v>
      </c>
    </row>
    <row r="124" spans="2:24" ht="19.899999999999999" hidden="1" customHeight="1">
      <c r="B124" s="933">
        <f t="shared" si="10"/>
        <v>21</v>
      </c>
      <c r="C124" s="934">
        <f t="shared" si="7"/>
        <v>10</v>
      </c>
      <c r="D124" s="935">
        <f t="shared" si="11"/>
        <v>2</v>
      </c>
      <c r="E124" s="936">
        <f>+VLOOKUP(D124,Tra!$C$19:$J$115,5,0)</f>
        <v>0.379</v>
      </c>
      <c r="F124" s="928">
        <f t="shared" si="15"/>
        <v>61.990720020720019</v>
      </c>
      <c r="G124" s="934">
        <f t="shared" si="12"/>
        <v>0.40953648236462381</v>
      </c>
      <c r="H124" s="934">
        <f t="shared" si="8"/>
        <v>6.928968789485717</v>
      </c>
      <c r="I124" s="936">
        <f t="shared" si="17"/>
        <v>0.40953648236462381</v>
      </c>
      <c r="J124" s="936">
        <f t="shared" si="18"/>
        <v>6.928968789485717</v>
      </c>
      <c r="K124" s="938">
        <f t="shared" si="19"/>
        <v>2.5684838846837095</v>
      </c>
      <c r="L124" s="939"/>
      <c r="M124" s="923">
        <f t="shared" si="20"/>
        <v>16.919051385797243</v>
      </c>
      <c r="N124" s="6" t="str">
        <f t="shared" si="21"/>
        <v/>
      </c>
      <c r="O124" s="4">
        <v>1</v>
      </c>
      <c r="X124" s="4">
        <f>IF(C124&lt;D70,K70,K71)</f>
        <v>0</v>
      </c>
    </row>
    <row r="125" spans="2:24" ht="19.899999999999999" hidden="1" customHeight="1">
      <c r="B125" s="940">
        <f t="shared" si="10"/>
        <v>22</v>
      </c>
      <c r="C125" s="941">
        <f t="shared" si="7"/>
        <v>10.5</v>
      </c>
      <c r="D125" s="942">
        <f t="shared" si="11"/>
        <v>2.1</v>
      </c>
      <c r="E125" s="943">
        <f>+VLOOKUP(D125,Tra!$C$19:$J$115,5,0)</f>
        <v>0.35775000000000001</v>
      </c>
      <c r="F125" s="928">
        <f t="shared" si="15"/>
        <v>61.990720020720019</v>
      </c>
      <c r="G125" s="934">
        <f t="shared" si="12"/>
        <v>0.38657434450117195</v>
      </c>
      <c r="H125" s="934">
        <f t="shared" si="8"/>
        <v>7.2446817692514394</v>
      </c>
      <c r="I125" s="943">
        <f t="shared" si="17"/>
        <v>0.38657434450117195</v>
      </c>
      <c r="J125" s="943">
        <f t="shared" si="18"/>
        <v>7.2446817692514394</v>
      </c>
      <c r="K125" s="944" t="e">
        <f>0.8*$C$105*(I125+#REF!)/2/F125*1000</f>
        <v>#REF!</v>
      </c>
      <c r="L125" s="939"/>
      <c r="M125" s="923">
        <f t="shared" si="20"/>
        <v>18.740720568510145</v>
      </c>
      <c r="N125" s="6" t="str">
        <f t="shared" si="21"/>
        <v/>
      </c>
      <c r="O125" s="4">
        <v>1</v>
      </c>
      <c r="X125" s="4">
        <f>IF(C125&lt;D71,K71,K72)</f>
        <v>0</v>
      </c>
    </row>
    <row r="126" spans="2:24" ht="19.899999999999999" customHeight="1">
      <c r="B126" s="945" t="s">
        <v>680</v>
      </c>
      <c r="C126" s="945"/>
      <c r="D126" s="945"/>
      <c r="E126" s="945"/>
      <c r="F126" s="945"/>
      <c r="G126" s="1568" t="s">
        <v>966</v>
      </c>
      <c r="H126" s="1568"/>
      <c r="I126" s="355">
        <v>5</v>
      </c>
      <c r="J126" s="842"/>
      <c r="M126" s="923"/>
    </row>
    <row r="127" spans="2:24" ht="19.899999999999999" hidden="1" customHeight="1">
      <c r="B127" s="946" t="s">
        <v>681</v>
      </c>
      <c r="C127" s="355"/>
      <c r="D127" s="910" t="s">
        <v>534</v>
      </c>
      <c r="E127" s="357">
        <f>+SUMIF(N104:N125,"X",$K$104:$K$125)</f>
        <v>0</v>
      </c>
      <c r="F127" s="856" t="s">
        <v>30</v>
      </c>
      <c r="G127" s="842" t="s">
        <v>601</v>
      </c>
      <c r="H127" s="355">
        <v>20</v>
      </c>
      <c r="I127" s="842" t="s">
        <v>54</v>
      </c>
      <c r="J127" s="842" t="str">
        <f>"="&amp;200</f>
        <v>=200</v>
      </c>
      <c r="K127" s="4" t="s">
        <v>554</v>
      </c>
      <c r="L127" s="3" t="str">
        <f>IF(H127*10&gt;E127,"=&gt; Thỏa mãn ","NO")</f>
        <v xml:space="preserve">=&gt; Thỏa mãn </v>
      </c>
      <c r="M127" s="923"/>
    </row>
    <row r="128" spans="2:24" ht="19.899999999999999" hidden="1" customHeight="1">
      <c r="B128" s="856" t="s">
        <v>682</v>
      </c>
      <c r="C128" s="356"/>
      <c r="D128" s="856"/>
      <c r="E128" s="946"/>
      <c r="F128" s="946"/>
      <c r="G128" s="355"/>
      <c r="H128" s="355"/>
      <c r="I128" s="910"/>
      <c r="J128" s="910"/>
      <c r="K128" s="11"/>
      <c r="M128" s="923"/>
    </row>
    <row r="129" spans="1:26" ht="19.899999999999999" hidden="1" customHeight="1">
      <c r="A129" s="947"/>
      <c r="B129" s="842"/>
      <c r="C129" s="356"/>
      <c r="D129" s="856"/>
      <c r="E129" s="946"/>
      <c r="F129" s="946"/>
      <c r="G129" s="355"/>
      <c r="H129" s="355"/>
      <c r="I129" s="910"/>
      <c r="J129" s="910"/>
      <c r="K129" s="11"/>
      <c r="M129" s="923"/>
    </row>
    <row r="130" spans="1:26" ht="19.899999999999999" hidden="1" customHeight="1">
      <c r="A130" s="947"/>
      <c r="B130" s="842"/>
      <c r="C130" s="356"/>
      <c r="D130" s="948"/>
      <c r="E130" s="946"/>
      <c r="F130" s="946"/>
      <c r="G130" s="355"/>
      <c r="H130" s="355"/>
      <c r="I130" s="910"/>
      <c r="J130" s="910"/>
      <c r="K130" s="11"/>
      <c r="M130" s="923"/>
    </row>
    <row r="131" spans="1:26" ht="19.899999999999999" customHeight="1">
      <c r="B131" s="842" t="s">
        <v>983</v>
      </c>
      <c r="C131" s="910"/>
      <c r="D131" s="910" t="s">
        <v>535</v>
      </c>
      <c r="E131" s="357">
        <f>SUMIF(J104:J118,"CONT",C104:C118)/(W107/2)</f>
        <v>5</v>
      </c>
      <c r="F131" s="856" t="s">
        <v>0</v>
      </c>
      <c r="H131" s="857" t="s">
        <v>681</v>
      </c>
      <c r="I131" s="355" t="s">
        <v>683</v>
      </c>
      <c r="J131" s="357">
        <f>SUMIF(J104:J118,"CONT",I104:I118)</f>
        <v>53.186193998452552</v>
      </c>
      <c r="K131" s="856" t="s">
        <v>30</v>
      </c>
      <c r="M131" s="923"/>
      <c r="V131" s="4" t="str">
        <f>IF(J131&lt;80,"OK","NOT")</f>
        <v>OK</v>
      </c>
    </row>
    <row r="132" spans="1:26" ht="19.899999999999999" hidden="1" customHeight="1">
      <c r="B132" s="355"/>
      <c r="C132" s="356"/>
      <c r="D132" s="357"/>
      <c r="E132" s="910"/>
      <c r="F132" s="842"/>
      <c r="G132" s="842"/>
      <c r="H132" s="842"/>
      <c r="I132" s="842"/>
      <c r="J132" s="842"/>
    </row>
    <row r="133" spans="1:26" ht="19.899999999999999" hidden="1" customHeight="1">
      <c r="A133" s="2" t="s">
        <v>224</v>
      </c>
      <c r="B133" s="842"/>
      <c r="C133" s="842"/>
      <c r="D133" s="949">
        <f>C113</f>
        <v>4.5</v>
      </c>
      <c r="E133" s="909" t="s">
        <v>967</v>
      </c>
      <c r="F133" s="950">
        <f>G113</f>
        <v>0.8487886725525382</v>
      </c>
      <c r="G133" s="951"/>
      <c r="H133" s="856" t="s">
        <v>968</v>
      </c>
      <c r="I133" s="842"/>
      <c r="J133" s="950">
        <f>0.1*H113</f>
        <v>0.3456126012062769</v>
      </c>
      <c r="K133" s="4" t="s">
        <v>10</v>
      </c>
    </row>
    <row r="134" spans="1:26" ht="19.899999999999999" hidden="1" customHeight="1">
      <c r="A134" s="2" t="s">
        <v>225</v>
      </c>
      <c r="B134" s="842"/>
      <c r="C134" s="842"/>
      <c r="D134" s="842"/>
      <c r="E134" s="866">
        <f>+D133</f>
        <v>4.5</v>
      </c>
      <c r="F134" s="842" t="s">
        <v>0</v>
      </c>
      <c r="G134" s="842"/>
      <c r="H134" s="842"/>
      <c r="I134" s="842"/>
      <c r="J134" s="842"/>
    </row>
    <row r="135" spans="1:26" ht="19.899999999999999" customHeight="1">
      <c r="B135" s="1253" t="s">
        <v>226</v>
      </c>
      <c r="C135" s="1253"/>
      <c r="D135" s="1253"/>
      <c r="E135" s="1253"/>
      <c r="F135" s="1253"/>
      <c r="G135" s="1253"/>
      <c r="H135" s="1253"/>
      <c r="I135" s="1252" t="s">
        <v>1010</v>
      </c>
      <c r="J135" s="357">
        <f>Y52-K47</f>
        <v>166.63573913951021</v>
      </c>
      <c r="K135" s="856" t="s">
        <v>31</v>
      </c>
      <c r="O135" s="952"/>
    </row>
    <row r="136" spans="1:26" ht="19.899999999999999" hidden="1" customHeight="1">
      <c r="A136" s="953"/>
      <c r="B136" s="842"/>
      <c r="C136" s="842"/>
      <c r="D136" s="842"/>
      <c r="E136" s="842"/>
      <c r="F136" s="842"/>
      <c r="G136" s="842"/>
      <c r="H136" s="842"/>
      <c r="I136" s="842"/>
      <c r="J136" s="859"/>
      <c r="O136" s="952"/>
    </row>
    <row r="137" spans="1:26" ht="19.899999999999999" customHeight="1">
      <c r="B137" s="1569" t="s">
        <v>969</v>
      </c>
      <c r="C137" s="1569"/>
      <c r="D137" s="1569"/>
      <c r="E137" s="1570" t="s">
        <v>970</v>
      </c>
      <c r="F137" s="821" t="s">
        <v>437</v>
      </c>
      <c r="G137" s="1570" t="s">
        <v>6</v>
      </c>
      <c r="H137" s="1571">
        <f>+SUM(F104:F115)*$C$105/E131</f>
        <v>284.16342289302793</v>
      </c>
      <c r="I137" s="1570" t="s">
        <v>10</v>
      </c>
      <c r="J137" s="842"/>
    </row>
    <row r="138" spans="1:26" ht="19.899999999999999" customHeight="1">
      <c r="B138" s="1569"/>
      <c r="C138" s="1569"/>
      <c r="D138" s="1569"/>
      <c r="E138" s="1570"/>
      <c r="F138" s="954" t="s">
        <v>438</v>
      </c>
      <c r="G138" s="1570"/>
      <c r="H138" s="1571"/>
      <c r="I138" s="1570"/>
      <c r="J138" s="842"/>
    </row>
    <row r="139" spans="1:26" ht="19.899999999999999" customHeight="1">
      <c r="A139" s="908"/>
      <c r="B139" s="1569" t="s">
        <v>523</v>
      </c>
      <c r="C139" s="1569"/>
      <c r="D139" s="1570" t="s">
        <v>971</v>
      </c>
      <c r="E139" s="955" t="s">
        <v>972</v>
      </c>
      <c r="F139" s="1570" t="s">
        <v>6</v>
      </c>
      <c r="G139" s="1566">
        <f>0.5*J135*(1-0.42^2)/(H137*(K10/2)^3)</f>
        <v>1.9318629168816625E-3</v>
      </c>
      <c r="H139" s="1572" t="str">
        <f>IF(I139&gt;G139, "&lt; [tg] ="," &gt; [tg] =")</f>
        <v>&lt; [tg] =</v>
      </c>
      <c r="I139" s="1566">
        <f>IF(LEFT(C3,1)= "N",0.0025,0.003)</f>
        <v>3.0000000000000001E-3</v>
      </c>
      <c r="J139" s="842"/>
      <c r="K139" s="7"/>
      <c r="L139" s="7"/>
      <c r="V139" s="4" t="str">
        <f>IF(G139&lt;I139,"OK","NOT")</f>
        <v>OK</v>
      </c>
    </row>
    <row r="140" spans="1:26" ht="19.899999999999999" customHeight="1">
      <c r="B140" s="1569"/>
      <c r="C140" s="1569"/>
      <c r="D140" s="1570"/>
      <c r="E140" s="956" t="s">
        <v>973</v>
      </c>
      <c r="F140" s="1570"/>
      <c r="G140" s="1566"/>
      <c r="H140" s="1572"/>
      <c r="I140" s="1566"/>
      <c r="J140" s="842"/>
      <c r="K140" s="7"/>
      <c r="L140" s="7"/>
    </row>
    <row r="141" spans="1:26" ht="19.899999999999999" customHeight="1">
      <c r="A141" s="424" t="s">
        <v>684</v>
      </c>
      <c r="B141" s="842"/>
      <c r="C141" s="842"/>
      <c r="D141" s="842"/>
      <c r="E141" s="842"/>
      <c r="F141" s="842"/>
      <c r="G141" s="842"/>
      <c r="H141" s="842"/>
      <c r="I141" s="842"/>
      <c r="J141" s="842"/>
      <c r="K141" s="355"/>
      <c r="L141" s="856"/>
      <c r="W141" s="1559" t="s">
        <v>849</v>
      </c>
      <c r="X141" s="1559"/>
      <c r="Y141" s="1559"/>
      <c r="Z141" s="1559"/>
    </row>
    <row r="142" spans="1:26" ht="19.899999999999999" customHeight="1">
      <c r="A142" s="879" t="s">
        <v>685</v>
      </c>
      <c r="B142" s="842"/>
      <c r="C142" s="842"/>
      <c r="D142" s="842"/>
      <c r="E142" s="842"/>
      <c r="F142" s="842"/>
      <c r="G142" s="842"/>
      <c r="H142" s="842"/>
      <c r="I142" s="842"/>
      <c r="J142" s="842"/>
      <c r="K142" s="355"/>
      <c r="L142" s="856"/>
      <c r="W142" s="12"/>
      <c r="X142" s="12" t="s">
        <v>149</v>
      </c>
      <c r="Y142" s="12" t="s">
        <v>150</v>
      </c>
      <c r="Z142" s="12" t="s">
        <v>765</v>
      </c>
    </row>
    <row r="143" spans="1:26" ht="22.15" customHeight="1">
      <c r="A143" s="842"/>
      <c r="B143" s="911" t="s">
        <v>686</v>
      </c>
      <c r="C143" s="842"/>
      <c r="D143" s="842"/>
      <c r="E143" s="842"/>
      <c r="F143" s="842"/>
      <c r="G143" s="842"/>
      <c r="H143" s="760">
        <f>(TAN(RADIANS(45-$H$56/2)))^2</f>
        <v>0.89791432358949475</v>
      </c>
      <c r="I143" s="842"/>
      <c r="J143" s="842"/>
      <c r="K143" s="355"/>
      <c r="L143" s="856"/>
      <c r="W143" s="12" t="s">
        <v>766</v>
      </c>
      <c r="X143" s="957">
        <f>C40</f>
        <v>15.495652173913046</v>
      </c>
      <c r="Y143" s="146">
        <f>F40</f>
        <v>2.3999999999999995</v>
      </c>
      <c r="Z143" s="12">
        <f>SQRT(X143^2+Y143^2)</f>
        <v>15.680409315285621</v>
      </c>
    </row>
    <row r="144" spans="1:26" ht="22.15" customHeight="1">
      <c r="A144" s="842"/>
      <c r="B144" s="911" t="s">
        <v>687</v>
      </c>
      <c r="C144" s="842"/>
      <c r="D144" s="842"/>
      <c r="E144" s="842"/>
      <c r="F144" s="909" t="s">
        <v>974</v>
      </c>
      <c r="G144" s="355">
        <f>U144</f>
        <v>-0.55000000000000004</v>
      </c>
      <c r="H144" s="842" t="s">
        <v>600</v>
      </c>
      <c r="I144" s="842"/>
      <c r="J144" s="355">
        <f>G144*K10</f>
        <v>-5.5</v>
      </c>
      <c r="K144" s="856" t="s">
        <v>592</v>
      </c>
      <c r="L144" s="856"/>
      <c r="N144" s="4">
        <f>TAN(RADIANS(45-H56/2))</f>
        <v>0.9475834124706356</v>
      </c>
      <c r="U144" s="4">
        <f>ROUND(0.5*$E$56*$K$38^2*H143-2*$I$56*$K$38*SQRT(H143),2)</f>
        <v>-0.55000000000000004</v>
      </c>
      <c r="W144" s="12" t="s">
        <v>767</v>
      </c>
      <c r="X144" s="957">
        <f>C43</f>
        <v>9.6240000000000023</v>
      </c>
      <c r="Y144" s="957">
        <f>F43</f>
        <v>6.644869565217391</v>
      </c>
      <c r="Z144" s="12">
        <f t="shared" ref="Z144:Z146" si="22">SQRT(X144^2+Y144^2)</f>
        <v>11.695112976741713</v>
      </c>
    </row>
    <row r="145" spans="1:26" ht="22.15" customHeight="1">
      <c r="A145" s="842"/>
      <c r="B145" s="958" t="s">
        <v>688</v>
      </c>
      <c r="C145" s="842"/>
      <c r="D145" s="842"/>
      <c r="E145" s="842"/>
      <c r="F145" s="842"/>
      <c r="G145" s="909"/>
      <c r="H145" s="760">
        <f>(TAN(RADIANS(45+$H$56/2)))^2</f>
        <v>1.1136920012617781</v>
      </c>
      <c r="I145" s="842"/>
      <c r="J145" s="842"/>
      <c r="K145" s="355"/>
      <c r="L145" s="856"/>
      <c r="W145" s="12" t="s">
        <v>549</v>
      </c>
      <c r="X145" s="957">
        <f>C46</f>
        <v>15.495652173913046</v>
      </c>
      <c r="Y145" s="957">
        <f>F46</f>
        <v>2.3999999999999995</v>
      </c>
      <c r="Z145" s="12">
        <f t="shared" si="22"/>
        <v>15.680409315285621</v>
      </c>
    </row>
    <row r="146" spans="1:26" ht="22.15" customHeight="1">
      <c r="A146" s="842"/>
      <c r="B146" s="911" t="s">
        <v>689</v>
      </c>
      <c r="C146" s="842"/>
      <c r="D146" s="842"/>
      <c r="E146" s="842"/>
      <c r="F146" s="909" t="s">
        <v>975</v>
      </c>
      <c r="G146" s="355">
        <f>U146</f>
        <v>2.3199999999999998</v>
      </c>
      <c r="H146" s="842" t="s">
        <v>600</v>
      </c>
      <c r="I146" s="842"/>
      <c r="J146" s="355">
        <f>G146*K10</f>
        <v>23.2</v>
      </c>
      <c r="K146" s="856" t="s">
        <v>592</v>
      </c>
      <c r="L146" s="856"/>
      <c r="U146" s="4">
        <f>ROUND(0.5*$E$56*$K$38^2*H145+2*$I$56*$K$38*SQRT(H145),2)</f>
        <v>2.3199999999999998</v>
      </c>
      <c r="W146" s="12" t="s">
        <v>768</v>
      </c>
      <c r="X146" s="957">
        <f>C49</f>
        <v>8.4347826086956523</v>
      </c>
      <c r="Y146" s="957">
        <f>F49</f>
        <v>0</v>
      </c>
      <c r="Z146" s="12">
        <f t="shared" si="22"/>
        <v>8.4347826086956523</v>
      </c>
    </row>
    <row r="147" spans="1:26" ht="22.15" customHeight="1">
      <c r="A147" s="842"/>
      <c r="B147" s="911" t="s">
        <v>690</v>
      </c>
      <c r="C147" s="842"/>
      <c r="D147" s="842" t="s">
        <v>976</v>
      </c>
      <c r="E147" s="1254">
        <f>J144+MAX(Z143:Z146)</f>
        <v>10.180409315285621</v>
      </c>
      <c r="F147" s="842" t="s">
        <v>592</v>
      </c>
      <c r="G147" s="842"/>
      <c r="H147" s="842"/>
      <c r="I147" s="842"/>
      <c r="J147" s="842"/>
      <c r="K147" s="355"/>
      <c r="L147" s="856"/>
    </row>
    <row r="148" spans="1:26" ht="22.15" customHeight="1">
      <c r="A148" s="842"/>
      <c r="B148" s="842" t="s">
        <v>691</v>
      </c>
      <c r="C148" s="842"/>
      <c r="D148" s="842"/>
      <c r="E148" s="857">
        <f>ROUND(SUM(K30*2.5+MAX(E34:E37))*0.45*0.9+J146,2)</f>
        <v>90.98</v>
      </c>
      <c r="F148" s="842" t="s">
        <v>592</v>
      </c>
      <c r="H148" s="857" t="s">
        <v>979</v>
      </c>
      <c r="I148" s="355">
        <f>ABS(ROUND(E148/E147,2))</f>
        <v>8.94</v>
      </c>
      <c r="J148" s="355" t="s">
        <v>598</v>
      </c>
      <c r="K148" s="856" t="str">
        <f>IF(I148&gt;1.5,"Thỏa mãn điều kiện","NO")</f>
        <v>Thỏa mãn điều kiện</v>
      </c>
      <c r="L148" s="856"/>
      <c r="V148" s="4" t="str">
        <f>IF(I148&gt;1.5,"OK","NO")</f>
        <v>OK</v>
      </c>
    </row>
    <row r="149" spans="1:26" ht="22.15" customHeight="1">
      <c r="A149" s="842"/>
      <c r="B149" s="959" t="s">
        <v>593</v>
      </c>
      <c r="C149" s="842"/>
      <c r="D149" s="842"/>
      <c r="E149" s="842"/>
      <c r="F149" s="842"/>
      <c r="G149" s="842"/>
      <c r="H149" s="842"/>
      <c r="I149" s="842"/>
      <c r="J149" s="842"/>
      <c r="K149" s="355"/>
      <c r="L149" s="856"/>
      <c r="N149" s="960" t="s">
        <v>594</v>
      </c>
    </row>
    <row r="150" spans="1:26" ht="22.15" customHeight="1">
      <c r="A150" s="842"/>
      <c r="B150" s="959" t="s">
        <v>977</v>
      </c>
      <c r="C150" s="842"/>
      <c r="D150" s="842"/>
      <c r="E150" s="842"/>
      <c r="F150" s="842"/>
      <c r="G150" s="842"/>
      <c r="H150" s="842"/>
      <c r="I150" s="842"/>
      <c r="J150" s="842"/>
      <c r="K150" s="355"/>
      <c r="L150" s="856"/>
      <c r="N150" s="960" t="s">
        <v>595</v>
      </c>
    </row>
    <row r="151" spans="1:26" ht="22.15" customHeight="1">
      <c r="A151" s="842"/>
      <c r="B151" s="959" t="s">
        <v>978</v>
      </c>
      <c r="C151" s="842"/>
      <c r="D151" s="842"/>
      <c r="E151" s="842"/>
      <c r="F151" s="842"/>
      <c r="G151" s="842"/>
      <c r="H151" s="842"/>
      <c r="I151" s="842"/>
      <c r="J151" s="842"/>
      <c r="K151" s="355"/>
      <c r="L151" s="856"/>
      <c r="N151" s="960" t="s">
        <v>596</v>
      </c>
    </row>
    <row r="152" spans="1:26" ht="22.15" customHeight="1">
      <c r="A152" s="842"/>
      <c r="B152" s="959" t="s">
        <v>1012</v>
      </c>
      <c r="C152" s="842"/>
      <c r="D152" s="842"/>
      <c r="E152" s="842"/>
      <c r="F152" s="842"/>
      <c r="G152" s="842"/>
      <c r="I152" s="959" t="s">
        <v>693</v>
      </c>
      <c r="J152" s="842"/>
      <c r="K152" s="355"/>
      <c r="L152" s="856"/>
      <c r="N152" s="960" t="s">
        <v>597</v>
      </c>
    </row>
    <row r="153" spans="1:26" ht="22.15" customHeight="1">
      <c r="A153" s="961" t="s">
        <v>692</v>
      </c>
      <c r="B153" s="842"/>
      <c r="C153" s="842"/>
      <c r="D153" s="842"/>
      <c r="E153" s="842"/>
      <c r="F153" s="842"/>
      <c r="G153" s="842"/>
      <c r="H153" s="842"/>
      <c r="I153" s="842"/>
      <c r="J153" s="842"/>
      <c r="K153" s="355"/>
      <c r="L153" s="856"/>
    </row>
    <row r="154" spans="1:26" ht="19.899999999999999" customHeight="1">
      <c r="A154" s="842"/>
      <c r="B154" s="842"/>
      <c r="C154" s="842"/>
      <c r="D154" s="842"/>
      <c r="E154" s="357">
        <f>0.9*(C67*K11/2)/((C40*K14+C41)*1.2)</f>
        <v>1.6644456088256694</v>
      </c>
      <c r="F154" s="842" t="s">
        <v>599</v>
      </c>
      <c r="G154" s="856" t="str">
        <f>IF(E154&gt;1.5,"Thỏa mãn điều kiện","NO")</f>
        <v>Thỏa mãn điều kiện</v>
      </c>
      <c r="H154" s="842"/>
      <c r="I154" s="842"/>
      <c r="J154" s="842"/>
      <c r="K154" s="355"/>
      <c r="L154" s="856"/>
      <c r="V154" s="4" t="str">
        <f>IF(E154&gt;1.5,"OK", "NO")</f>
        <v>OK</v>
      </c>
    </row>
    <row r="155" spans="1:26" ht="19.899999999999999" customHeight="1">
      <c r="A155" s="842"/>
      <c r="B155" s="842"/>
      <c r="C155" s="842"/>
      <c r="D155" s="842"/>
      <c r="E155" s="842"/>
      <c r="F155" s="842"/>
      <c r="G155" s="842"/>
      <c r="H155" s="842"/>
      <c r="I155" s="842"/>
      <c r="J155" s="842"/>
      <c r="K155" s="355"/>
      <c r="L155" s="856"/>
    </row>
    <row r="156" spans="1:26" ht="19.899999999999999" hidden="1" customHeight="1"/>
    <row r="187" spans="1:17" ht="19.899999999999999" customHeight="1">
      <c r="A187" s="5" t="s">
        <v>522</v>
      </c>
    </row>
    <row r="188" spans="1:17" ht="19.899999999999999" customHeight="1">
      <c r="A188" s="2" t="s">
        <v>537</v>
      </c>
      <c r="C188" s="6" t="str">
        <f>IF(D188="M200","B15  -  Mác","B20-  Mác")</f>
        <v>B15  -  Mác</v>
      </c>
      <c r="D188" s="962" t="s">
        <v>5</v>
      </c>
      <c r="I188" s="6" t="s">
        <v>540</v>
      </c>
      <c r="J188" s="963" t="s">
        <v>56</v>
      </c>
      <c r="K188" s="4" t="s">
        <v>538</v>
      </c>
      <c r="O188" s="185" t="s">
        <v>280</v>
      </c>
      <c r="P188" s="964">
        <f>+(K11-K10)/2</f>
        <v>1</v>
      </c>
      <c r="Q188" s="965" t="s">
        <v>281</v>
      </c>
    </row>
    <row r="189" spans="1:17" ht="19.899999999999999" customHeight="1">
      <c r="B189" s="2" t="s">
        <v>541</v>
      </c>
      <c r="E189" s="2">
        <f>IF(D188="M200",85,IF(D188="M250",115,IF(D188="M300",130,"Maùc beâ toâng")))</f>
        <v>85</v>
      </c>
      <c r="F189" s="2" t="s">
        <v>66</v>
      </c>
      <c r="J189" s="6" t="s">
        <v>543</v>
      </c>
      <c r="K189" s="2">
        <f>IF(J188="AI",2250,IF(J188="AII",2800,IF(J188="AIII",3650,"nhóm cốt thép")))</f>
        <v>3650</v>
      </c>
      <c r="L189" s="4" t="s">
        <v>66</v>
      </c>
      <c r="O189" s="966" t="s">
        <v>282</v>
      </c>
      <c r="P189" s="9" t="e">
        <f>+F197-K11/2</f>
        <v>#REF!</v>
      </c>
      <c r="Q189" s="967" t="s">
        <v>281</v>
      </c>
    </row>
    <row r="190" spans="1:17" ht="19.899999999999999" customHeight="1">
      <c r="B190" s="2" t="s">
        <v>542</v>
      </c>
      <c r="E190" s="2">
        <f>IF(D188="M200",7.5,IF(D188="M250",8.8,IF(D188="M300",10,"Maùc be toâng")))</f>
        <v>7.5</v>
      </c>
      <c r="F190" s="2" t="s">
        <v>66</v>
      </c>
      <c r="O190" s="966" t="s">
        <v>283</v>
      </c>
      <c r="P190" s="4">
        <f>+K25/2</f>
        <v>1.75</v>
      </c>
      <c r="Q190" s="967" t="s">
        <v>281</v>
      </c>
    </row>
    <row r="191" spans="1:17" ht="19.899999999999999" customHeight="1">
      <c r="A191" s="2" t="s">
        <v>227</v>
      </c>
      <c r="O191" s="968" t="e">
        <f>+IF(P190&gt;P189,"ok")</f>
        <v>#REF!</v>
      </c>
      <c r="Q191" s="967"/>
    </row>
    <row r="192" spans="1:17" ht="19.899999999999999" customHeight="1">
      <c r="B192" s="3" t="s">
        <v>166</v>
      </c>
      <c r="D192" s="6" t="s">
        <v>63</v>
      </c>
      <c r="E192" s="4" t="s">
        <v>6</v>
      </c>
      <c r="F192" s="437" t="e">
        <f>#REF!+#REF!*K14</f>
        <v>#REF!</v>
      </c>
      <c r="G192" s="437"/>
      <c r="H192" s="2" t="s">
        <v>4</v>
      </c>
      <c r="O192" s="966" t="s">
        <v>11</v>
      </c>
      <c r="Q192" s="967"/>
    </row>
    <row r="193" spans="1:17" ht="19.899999999999999" customHeight="1">
      <c r="D193" s="6" t="s">
        <v>7</v>
      </c>
      <c r="E193" s="4" t="s">
        <v>6</v>
      </c>
      <c r="F193" s="100" t="e">
        <f>#REF!/K32</f>
        <v>#REF!</v>
      </c>
      <c r="G193" s="100"/>
      <c r="H193" s="2" t="s">
        <v>10</v>
      </c>
      <c r="O193" s="966" t="s">
        <v>284</v>
      </c>
      <c r="Q193" s="967"/>
    </row>
    <row r="194" spans="1:17" ht="19.899999999999999" customHeight="1">
      <c r="D194" s="6" t="s">
        <v>8</v>
      </c>
      <c r="E194" s="4" t="s">
        <v>6</v>
      </c>
      <c r="F194" s="100" t="e">
        <f>F193+F192/K34</f>
        <v>#REF!</v>
      </c>
      <c r="G194" s="100"/>
      <c r="H194" s="2" t="s">
        <v>10</v>
      </c>
      <c r="O194" s="966" t="s">
        <v>285</v>
      </c>
      <c r="Q194" s="967"/>
    </row>
    <row r="195" spans="1:17" ht="19.899999999999999" customHeight="1">
      <c r="D195" s="6" t="s">
        <v>9</v>
      </c>
      <c r="E195" s="4" t="s">
        <v>6</v>
      </c>
      <c r="F195" s="100" t="e">
        <f>F193-F192/K34</f>
        <v>#REF!</v>
      </c>
      <c r="G195" s="100"/>
      <c r="H195" s="2" t="s">
        <v>10</v>
      </c>
      <c r="O195" s="966" t="s">
        <v>286</v>
      </c>
      <c r="Q195" s="967"/>
    </row>
    <row r="196" spans="1:17" ht="19.899999999999999" customHeight="1">
      <c r="A196" s="2" t="s">
        <v>228</v>
      </c>
      <c r="O196" s="966" t="s">
        <v>287</v>
      </c>
      <c r="Q196" s="967"/>
    </row>
    <row r="197" spans="1:17" ht="19.899999999999999" customHeight="1">
      <c r="B197" s="2" t="s">
        <v>11</v>
      </c>
      <c r="D197" s="6"/>
      <c r="E197" s="4" t="s">
        <v>6</v>
      </c>
      <c r="F197" s="100" t="e">
        <f>(F194*K11)/(F194-F195)</f>
        <v>#REF!</v>
      </c>
      <c r="G197" s="100"/>
      <c r="H197" s="100"/>
      <c r="O197" s="966" t="s">
        <v>288</v>
      </c>
      <c r="Q197" s="967"/>
    </row>
    <row r="198" spans="1:17" ht="19.899999999999999" customHeight="1">
      <c r="A198" s="2" t="s">
        <v>229</v>
      </c>
      <c r="O198" s="966"/>
      <c r="Q198" s="967"/>
    </row>
    <row r="199" spans="1:17" ht="19.899999999999999" customHeight="1">
      <c r="D199" s="6" t="s">
        <v>15</v>
      </c>
      <c r="E199" s="4" t="s">
        <v>6</v>
      </c>
      <c r="F199" s="100" t="e">
        <f>(F194*(F197-F26)/F197)</f>
        <v>#REF!</v>
      </c>
      <c r="H199" s="2" t="s">
        <v>10</v>
      </c>
      <c r="O199" s="966" t="s">
        <v>289</v>
      </c>
      <c r="Q199" s="967"/>
    </row>
    <row r="200" spans="1:17" ht="19.899999999999999" customHeight="1">
      <c r="D200" s="6" t="s">
        <v>16</v>
      </c>
      <c r="E200" s="4" t="s">
        <v>6</v>
      </c>
      <c r="F200" s="100" t="e">
        <f>(F194*(F197-K28-K16)/F197)</f>
        <v>#REF!</v>
      </c>
      <c r="H200" s="2" t="s">
        <v>10</v>
      </c>
      <c r="O200" s="966" t="s">
        <v>290</v>
      </c>
      <c r="Q200" s="967"/>
    </row>
    <row r="201" spans="1:17" ht="19.899999999999999" customHeight="1">
      <c r="D201" s="6" t="s">
        <v>14</v>
      </c>
      <c r="E201" s="4" t="s">
        <v>6</v>
      </c>
      <c r="F201" s="100" t="e">
        <f>-(F195*(K11-F197-K28)/(K11-F197))</f>
        <v>#REF!</v>
      </c>
      <c r="H201" s="2" t="s">
        <v>10</v>
      </c>
      <c r="O201" s="966"/>
      <c r="Q201" s="967"/>
    </row>
    <row r="202" spans="1:17" ht="19.899999999999999" customHeight="1">
      <c r="D202" s="6" t="s">
        <v>13</v>
      </c>
      <c r="E202" s="4" t="s">
        <v>6</v>
      </c>
      <c r="F202" s="100" t="e">
        <f>F195*(F197-K11+K28+K16)/(K11-F197)</f>
        <v>#REF!</v>
      </c>
      <c r="H202" s="2" t="s">
        <v>10</v>
      </c>
      <c r="O202" s="29" t="s">
        <v>299</v>
      </c>
      <c r="P202" s="854"/>
      <c r="Q202" s="969"/>
    </row>
    <row r="203" spans="1:17" ht="19.899999999999999" customHeight="1">
      <c r="D203" s="6" t="s">
        <v>12</v>
      </c>
      <c r="E203" s="4" t="s">
        <v>6</v>
      </c>
      <c r="F203" s="100" t="e">
        <f>F194*(F197-K11/2)/F197</f>
        <v>#REF!</v>
      </c>
      <c r="H203" s="2" t="s">
        <v>10</v>
      </c>
    </row>
    <row r="204" spans="1:17" ht="19.899999999999999" customHeight="1">
      <c r="D204" s="6" t="s">
        <v>22</v>
      </c>
      <c r="E204" s="4" t="s">
        <v>6</v>
      </c>
      <c r="F204" s="970" t="e">
        <f>F194*(F197-K28*2-K16)/F197</f>
        <v>#REF!</v>
      </c>
      <c r="H204" s="2" t="s">
        <v>10</v>
      </c>
    </row>
    <row r="205" spans="1:17" ht="19.899999999999999" customHeight="1">
      <c r="D205" s="6" t="s">
        <v>23</v>
      </c>
      <c r="E205" s="4" t="s">
        <v>6</v>
      </c>
      <c r="F205" s="970" t="e">
        <f>F194*(F197-K11/2+K20/2)/F197</f>
        <v>#REF!</v>
      </c>
      <c r="H205" s="2" t="s">
        <v>10</v>
      </c>
    </row>
    <row r="206" spans="1:17" ht="19.899999999999999" customHeight="1">
      <c r="D206" s="6" t="s">
        <v>154</v>
      </c>
      <c r="E206" s="4" t="s">
        <v>6</v>
      </c>
      <c r="F206" s="970" t="e">
        <f>(F194*(F197-(K11-K10)/2)/F197)</f>
        <v>#REF!</v>
      </c>
      <c r="H206" s="2" t="s">
        <v>10</v>
      </c>
    </row>
    <row r="207" spans="1:17" ht="19.899999999999999" customHeight="1">
      <c r="D207" s="6"/>
      <c r="E207" s="4"/>
      <c r="F207" s="100"/>
      <c r="G207" s="100"/>
      <c r="H207" s="100"/>
    </row>
    <row r="208" spans="1:17" ht="19.899999999999999" customHeight="1">
      <c r="A208" s="6" t="s">
        <v>9</v>
      </c>
      <c r="D208" s="6"/>
      <c r="E208" s="4" t="s">
        <v>12</v>
      </c>
      <c r="F208" s="970" t="s">
        <v>16</v>
      </c>
      <c r="G208" s="100"/>
      <c r="H208" s="100" t="s">
        <v>15</v>
      </c>
    </row>
    <row r="209" spans="1:14" ht="19.899999999999999" customHeight="1">
      <c r="D209" s="6"/>
      <c r="E209" s="4"/>
      <c r="F209" s="100"/>
      <c r="G209" s="100"/>
      <c r="H209" s="100"/>
    </row>
    <row r="210" spans="1:14" ht="19.899999999999999" customHeight="1">
      <c r="A210" s="6"/>
      <c r="B210" s="6" t="s">
        <v>14</v>
      </c>
      <c r="C210" s="4" t="s">
        <v>13</v>
      </c>
      <c r="D210" s="6" t="s">
        <v>41</v>
      </c>
      <c r="E210" s="4" t="s">
        <v>12</v>
      </c>
      <c r="J210" s="2" t="s">
        <v>8</v>
      </c>
    </row>
    <row r="211" spans="1:14" ht="19.899999999999999" customHeight="1">
      <c r="D211" s="6"/>
      <c r="G211" s="2" t="s">
        <v>35</v>
      </c>
    </row>
    <row r="212" spans="1:14" ht="19.899999999999999" customHeight="1">
      <c r="B212" s="6"/>
      <c r="D212" s="4"/>
    </row>
    <row r="213" spans="1:14" ht="19.899999999999999" customHeight="1">
      <c r="E213" s="2" t="s">
        <v>40</v>
      </c>
    </row>
    <row r="214" spans="1:14" ht="19.899999999999999" customHeight="1">
      <c r="A214" s="971" t="s">
        <v>519</v>
      </c>
    </row>
    <row r="215" spans="1:14" ht="19.899999999999999" customHeight="1">
      <c r="B215" s="972" t="s">
        <v>231</v>
      </c>
    </row>
    <row r="216" spans="1:14" ht="19.899999999999999" customHeight="1">
      <c r="B216" s="973" t="s">
        <v>230</v>
      </c>
    </row>
    <row r="217" spans="1:14" ht="19.899999999999999" customHeight="1">
      <c r="B217" s="973" t="s">
        <v>525</v>
      </c>
    </row>
    <row r="218" spans="1:14" ht="19.899999999999999" customHeight="1">
      <c r="B218" s="5" t="s">
        <v>232</v>
      </c>
      <c r="E218" s="4" t="s">
        <v>43</v>
      </c>
      <c r="F218" s="2">
        <f>K28+K16/2</f>
        <v>4</v>
      </c>
      <c r="G218" s="2" t="s">
        <v>0</v>
      </c>
    </row>
    <row r="219" spans="1:14" ht="19.899999999999999" customHeight="1">
      <c r="B219" s="5"/>
      <c r="E219" s="4" t="s">
        <v>44</v>
      </c>
      <c r="F219" s="2">
        <f>K26+K16/2</f>
        <v>3</v>
      </c>
      <c r="G219" s="2" t="s">
        <v>0</v>
      </c>
    </row>
    <row r="220" spans="1:14" ht="19.899999999999999" customHeight="1">
      <c r="B220" s="2" t="s">
        <v>233</v>
      </c>
    </row>
    <row r="221" spans="1:14" ht="19.899999999999999" customHeight="1">
      <c r="B221" s="2" t="s">
        <v>234</v>
      </c>
      <c r="E221" s="4" t="s">
        <v>167</v>
      </c>
      <c r="F221" s="100" t="e">
        <f>F194/(1+F218^4/(F219^4))</f>
        <v>#REF!</v>
      </c>
      <c r="G221" s="2" t="s">
        <v>235</v>
      </c>
      <c r="M221" s="11"/>
      <c r="N221" s="419" t="e">
        <f>+F194/(1+F219^4/F218^4)</f>
        <v>#REF!</v>
      </c>
    </row>
    <row r="222" spans="1:14" ht="19.899999999999999" customHeight="1">
      <c r="E222" s="4" t="s">
        <v>168</v>
      </c>
      <c r="F222" s="100" t="e">
        <f>+F194-F221</f>
        <v>#REF!</v>
      </c>
      <c r="G222" s="2" t="s">
        <v>235</v>
      </c>
      <c r="M222" s="11"/>
      <c r="N222" s="419" t="e">
        <f>+F194-N221</f>
        <v>#REF!</v>
      </c>
    </row>
    <row r="223" spans="1:14" ht="19.899999999999999" customHeight="1">
      <c r="B223" s="2" t="s">
        <v>238</v>
      </c>
      <c r="D223" s="2" t="s">
        <v>169</v>
      </c>
      <c r="J223" s="4"/>
    </row>
    <row r="224" spans="1:14" ht="19.899999999999999" customHeight="1">
      <c r="B224" s="4" t="s">
        <v>170</v>
      </c>
      <c r="C224" s="923" t="e">
        <f>F221*F218^2/2*100000</f>
        <v>#REF!</v>
      </c>
      <c r="D224" s="2" t="s">
        <v>17</v>
      </c>
      <c r="E224" s="6" t="s">
        <v>236</v>
      </c>
      <c r="F224" s="2">
        <f>K19*100</f>
        <v>35</v>
      </c>
      <c r="G224" s="2" t="s">
        <v>18</v>
      </c>
      <c r="I224" s="4">
        <f>+F218</f>
        <v>4</v>
      </c>
      <c r="M224" s="9"/>
    </row>
    <row r="225" spans="2:13" ht="19.899999999999999" customHeight="1">
      <c r="B225" s="4" t="s">
        <v>171</v>
      </c>
      <c r="C225" s="923" t="e">
        <f>F222*F219^2/2*100000</f>
        <v>#REF!</v>
      </c>
      <c r="D225" s="2" t="s">
        <v>17</v>
      </c>
      <c r="E225" s="6" t="s">
        <v>122</v>
      </c>
      <c r="F225" s="962">
        <v>7.5</v>
      </c>
      <c r="G225" s="2" t="s">
        <v>18</v>
      </c>
      <c r="M225" s="9"/>
    </row>
    <row r="226" spans="2:13" ht="19.899999999999999" customHeight="1">
      <c r="E226" s="974" t="s">
        <v>172</v>
      </c>
      <c r="F226" s="2">
        <f>+F224-F225</f>
        <v>27.5</v>
      </c>
      <c r="G226" s="2" t="s">
        <v>18</v>
      </c>
      <c r="M226" s="9"/>
    </row>
    <row r="227" spans="2:13" ht="19.899999999999999" customHeight="1">
      <c r="B227" s="4" t="s">
        <v>173</v>
      </c>
      <c r="C227" s="9" t="e">
        <f>+C224/(E189*100*F226^2)</f>
        <v>#REF!</v>
      </c>
      <c r="D227" s="2" t="s">
        <v>174</v>
      </c>
      <c r="E227" s="974"/>
      <c r="J227" s="4">
        <f>+F219</f>
        <v>3</v>
      </c>
      <c r="M227" s="9"/>
    </row>
    <row r="228" spans="2:13" ht="19.899999999999999" customHeight="1">
      <c r="B228" s="4" t="s">
        <v>175</v>
      </c>
      <c r="C228" s="9" t="e">
        <f>+C225/(E189*100*F226^2)</f>
        <v>#REF!</v>
      </c>
      <c r="D228" s="2" t="s">
        <v>174</v>
      </c>
      <c r="E228" s="974"/>
      <c r="M228" s="9"/>
    </row>
    <row r="229" spans="2:13" ht="19.899999999999999" customHeight="1">
      <c r="B229" s="4" t="s">
        <v>176</v>
      </c>
      <c r="C229" s="10" t="e">
        <f>0.5*(1+SQRT(1-2*C227))</f>
        <v>#REF!</v>
      </c>
      <c r="E229" s="4"/>
      <c r="F229" s="9"/>
      <c r="G229" s="9"/>
      <c r="M229" s="9"/>
    </row>
    <row r="230" spans="2:13" ht="19.899999999999999" customHeight="1">
      <c r="B230" s="4" t="s">
        <v>177</v>
      </c>
      <c r="C230" s="10" t="e">
        <f>0.5*(1+SQRT(1-2*C228))</f>
        <v>#REF!</v>
      </c>
      <c r="E230" s="4"/>
      <c r="F230" s="9"/>
      <c r="G230" s="9"/>
      <c r="M230" s="9"/>
    </row>
    <row r="231" spans="2:13" ht="19.899999999999999" customHeight="1">
      <c r="B231" s="2" t="s">
        <v>239</v>
      </c>
      <c r="M231" s="9"/>
    </row>
    <row r="232" spans="2:13" ht="19.899999999999999" customHeight="1">
      <c r="B232" s="2" t="s">
        <v>244</v>
      </c>
      <c r="D232" s="893" t="str">
        <f>J188</f>
        <v>AIII</v>
      </c>
      <c r="E232" s="4" t="s">
        <v>538</v>
      </c>
      <c r="F232" s="9"/>
      <c r="G232" s="9"/>
      <c r="M232" s="9"/>
    </row>
    <row r="233" spans="2:13" ht="19.899999999999999" customHeight="1">
      <c r="B233" s="2" t="s">
        <v>237</v>
      </c>
      <c r="D233" s="2">
        <f>IF(D232="AI",2250,IF(D232="AII",2800,IF(D232="AIII",3650,"nhóm cốt thép")))</f>
        <v>3650</v>
      </c>
      <c r="E233" s="4" t="s">
        <v>66</v>
      </c>
      <c r="F233" s="9"/>
      <c r="G233" s="9"/>
      <c r="M233" s="9"/>
    </row>
    <row r="234" spans="2:13" ht="19.899999999999999" customHeight="1">
      <c r="B234" s="6" t="s">
        <v>178</v>
      </c>
      <c r="C234" s="975" t="e">
        <f>+C224/(D233*C229*$F$226)</f>
        <v>#REF!</v>
      </c>
      <c r="D234" s="2" t="s">
        <v>20</v>
      </c>
      <c r="E234" s="4"/>
      <c r="F234" s="9"/>
      <c r="G234" s="9"/>
      <c r="M234" s="9"/>
    </row>
    <row r="235" spans="2:13" ht="19.899999999999999" customHeight="1">
      <c r="B235" s="6" t="s">
        <v>179</v>
      </c>
      <c r="C235" s="975" t="e">
        <f>+C225/(D233*C230*F226)</f>
        <v>#REF!</v>
      </c>
      <c r="D235" s="2" t="s">
        <v>20</v>
      </c>
      <c r="E235" s="4"/>
      <c r="F235" s="9"/>
      <c r="G235" s="9"/>
      <c r="M235" s="9"/>
    </row>
    <row r="236" spans="2:13" ht="19.899999999999999" customHeight="1">
      <c r="B236" s="2" t="s">
        <v>240</v>
      </c>
      <c r="C236" s="976" t="str">
        <f>12&amp;D232  &amp;"   a  ="</f>
        <v>12AIII   a  =</v>
      </c>
      <c r="D236" s="963">
        <v>200</v>
      </c>
      <c r="E236" s="903"/>
      <c r="F236" s="9"/>
      <c r="G236" s="9"/>
      <c r="M236" s="9"/>
    </row>
    <row r="237" spans="2:13" ht="19.899999999999999" customHeight="1">
      <c r="C237" s="973" t="s">
        <v>58</v>
      </c>
      <c r="D237" s="442" t="str">
        <f>ROUND(VLOOKUP(VALUE(LEFT(C236,2)),$P$21:$S$41,4,0)*1000/D236,2) &amp;"  (cm²/m dài)"</f>
        <v>5.65  (cm²/m dài)</v>
      </c>
      <c r="E237" s="111"/>
      <c r="F237" s="9"/>
      <c r="G237" s="9"/>
      <c r="M237" s="9"/>
    </row>
    <row r="238" spans="2:13" ht="19.899999999999999" customHeight="1">
      <c r="C238" s="972" t="s">
        <v>111</v>
      </c>
      <c r="E238" s="3" t="str">
        <f>0.1*100*F226/100&amp;" (cm²/m dài)"</f>
        <v>2.75 (cm²/m dài)</v>
      </c>
      <c r="F238" s="9"/>
      <c r="G238" s="9"/>
      <c r="M238" s="9"/>
    </row>
    <row r="239" spans="2:13" ht="19.899999999999999" customHeight="1">
      <c r="B239" s="5" t="s">
        <v>241</v>
      </c>
      <c r="C239" s="972"/>
      <c r="E239" s="4" t="s">
        <v>180</v>
      </c>
      <c r="F239" s="9">
        <f>K7</f>
        <v>4</v>
      </c>
      <c r="G239" s="9"/>
      <c r="M239" s="9"/>
    </row>
    <row r="240" spans="2:13" ht="19.899999999999999" customHeight="1">
      <c r="C240" s="972"/>
      <c r="E240" s="4" t="s">
        <v>181</v>
      </c>
      <c r="F240" s="9">
        <f>K28+K16/2</f>
        <v>4</v>
      </c>
      <c r="G240" s="9"/>
      <c r="M240" s="9"/>
    </row>
    <row r="241" spans="2:13" ht="19.899999999999999" customHeight="1">
      <c r="B241" s="2" t="s">
        <v>279</v>
      </c>
      <c r="C241" s="972"/>
      <c r="D241" s="10">
        <f>+F239/F240</f>
        <v>1</v>
      </c>
      <c r="E241" s="3" t="str">
        <f>IF(D241&lt;2,"&lt; 2  Tính theo bản ngàm 3 cạnh","&gt;= 2 Tính theo bản console")</f>
        <v>&lt; 2  Tính theo bản ngàm 3 cạnh</v>
      </c>
      <c r="F241" s="9"/>
      <c r="G241" s="9"/>
      <c r="I241" s="977">
        <f>+F239</f>
        <v>4</v>
      </c>
      <c r="M241" s="9"/>
    </row>
    <row r="242" spans="2:13" ht="19.899999999999999" customHeight="1">
      <c r="B242" s="978" t="s">
        <v>520</v>
      </c>
      <c r="C242" s="972"/>
      <c r="E242" s="4"/>
      <c r="F242" s="9"/>
      <c r="G242" s="9"/>
      <c r="M242" s="9"/>
    </row>
    <row r="243" spans="2:13" ht="19.899999999999999" customHeight="1">
      <c r="B243" s="2" t="s">
        <v>245</v>
      </c>
      <c r="C243" s="972"/>
      <c r="E243" s="4"/>
      <c r="F243" s="9"/>
      <c r="G243" s="9"/>
      <c r="M243" s="9"/>
    </row>
    <row r="244" spans="2:13" ht="19.899999999999999" customHeight="1">
      <c r="B244" s="6" t="s">
        <v>182</v>
      </c>
      <c r="C244" s="979">
        <f>+IF(D241&lt;=1.5,IF(D241&lt;=1.4,IF(D241&lt;=1.3,IF(D241&lt;=1.2,IF(D241&lt;=1.1,Tra!O$5+(D241-Tra!$L$5)*Tra!S$5,Tra!O$6+(D241-Tra!$L$6)*Tra!S$6),Tra!O$7+(D241-Tra!$L$7)*Tra!S$7),Tra!O$8+(D241-Tra!$L$8)*Tra!S$8),Tra!O$9+(D241-Tra!$L$9)*Tra!S$9),Tra!O$10)</f>
        <v>5.0999999999999997E-2</v>
      </c>
      <c r="D244" s="6" t="s">
        <v>183</v>
      </c>
      <c r="E244" s="979">
        <f>+IF(D241&lt;=1.5,IF(D241&lt;=1.4,IF(D241&lt;=1.3,IF(D241&lt;=1.2,IF(D241&lt;=1.1,Tra!M$5+(D241-Tra!$L$5)*Tra!Q$5,Tra!M$6+(D241-Tra!$L$6)*Tra!Q$6),Tra!M$7+(D241-Tra!$L$7)*Tra!Q$7),Tra!M$8+(D241-Tra!$L$8)*Tra!Q$8),Tra!M$9+(D241-Tra!$L$9)*Tra!Q$9),Tra!M$10)</f>
        <v>9.9000000000000008E-3</v>
      </c>
      <c r="F244" s="9"/>
      <c r="G244" s="977">
        <f>+F240</f>
        <v>4</v>
      </c>
      <c r="M244" s="9"/>
    </row>
    <row r="245" spans="2:13" ht="19.899999999999999" customHeight="1">
      <c r="B245" s="6" t="s">
        <v>184</v>
      </c>
      <c r="C245" s="979">
        <f>+IF(D241&lt;=1.5,IF(D241&lt;=1.4,IF(D241&lt;=1.3,IF(D241&lt;=1.2,IF(D241&lt;=1.1,Tra!P$5+(D241-Tra!$L$5)*Tra!T$5,Tra!P$6+(D241-Tra!$L$6)*Tra!T$6),Tra!P$7+(D241-Tra!$L$7)*Tra!T$7),Tra!P$8+(D241-Tra!$L$8)*Tra!T$8),Tra!P$9+(D241-Tra!$L$9)*Tra!T$9),Tra!P$10)</f>
        <v>8.5300000000000001E-2</v>
      </c>
      <c r="D245" s="6" t="s">
        <v>185</v>
      </c>
      <c r="E245" s="979">
        <f>+IF(D241&lt;=1.5,IF(D241&lt;=1.4,IF(D241&lt;=1.3,IF(D241&lt;=1.2,IF(D241&lt;=1.1,Tra!N$5+(D241-Tra!$L$5)*Tra!R$5,Tra!N$6+(D241-Tra!$L$6)*Tra!R$6),Tra!N$7+(D241-Tra!$L$7)*Tra!R$7),Tra!N$8+(D241-Tra!$L$8)*Tra!R$8),Tra!N$9+(D241-Tra!$L$9)*Tra!R$9),Tra!N$10)</f>
        <v>4.5699999999999998E-2</v>
      </c>
      <c r="F245" s="9"/>
      <c r="G245" s="9"/>
      <c r="M245" s="9"/>
    </row>
    <row r="246" spans="2:13" ht="19.899999999999999" customHeight="1">
      <c r="B246" s="3" t="s">
        <v>242</v>
      </c>
      <c r="D246" s="6"/>
      <c r="E246" s="4" t="s">
        <v>186</v>
      </c>
      <c r="F246" s="9" t="e">
        <f>+F194</f>
        <v>#REF!</v>
      </c>
      <c r="G246" s="2" t="s">
        <v>10</v>
      </c>
      <c r="M246" s="9"/>
    </row>
    <row r="247" spans="2:13" ht="19.899999999999999" customHeight="1">
      <c r="B247" s="6" t="s">
        <v>170</v>
      </c>
      <c r="C247" s="980" t="e">
        <f>+IF(D241&lt;2,C244*F246*F239*F240*1000,0)</f>
        <v>#REF!</v>
      </c>
      <c r="D247" s="3" t="s">
        <v>60</v>
      </c>
      <c r="E247" s="6" t="s">
        <v>187</v>
      </c>
      <c r="F247" s="981" t="e">
        <f>+IF(D241&lt;2,E244*F246*F239*F240*1000,0)</f>
        <v>#REF!</v>
      </c>
      <c r="G247" s="3" t="s">
        <v>60</v>
      </c>
      <c r="M247" s="9"/>
    </row>
    <row r="248" spans="2:13" ht="19.899999999999999" customHeight="1">
      <c r="B248" s="6" t="s">
        <v>171</v>
      </c>
      <c r="C248" s="980" t="e">
        <f>+IF(D241&lt;2,C245*F246*F239*F240*1000,0)</f>
        <v>#REF!</v>
      </c>
      <c r="D248" s="3" t="s">
        <v>60</v>
      </c>
      <c r="E248" s="6" t="s">
        <v>188</v>
      </c>
      <c r="F248" s="981" t="e">
        <f>+IF(D241&lt;2,E245*F246*F239*F240*1000,0)</f>
        <v>#REF!</v>
      </c>
      <c r="G248" s="3" t="s">
        <v>60</v>
      </c>
      <c r="M248" s="9"/>
    </row>
    <row r="249" spans="2:13" ht="19.899999999999999" customHeight="1">
      <c r="B249" s="3" t="s">
        <v>243</v>
      </c>
      <c r="D249" s="982" t="e">
        <f>+MAX(C247,C248,F247,F248)</f>
        <v>#REF!</v>
      </c>
      <c r="E249" s="3" t="s">
        <v>60</v>
      </c>
      <c r="F249" s="9"/>
      <c r="G249" s="9"/>
      <c r="M249" s="9"/>
    </row>
    <row r="250" spans="2:13" ht="19.899999999999999" customHeight="1">
      <c r="B250" s="6" t="s">
        <v>59</v>
      </c>
      <c r="C250" s="10" t="e">
        <f>+D249*100/(E189*100*F226^2)</f>
        <v>#REF!</v>
      </c>
      <c r="D250" s="2" t="s">
        <v>174</v>
      </c>
      <c r="E250" s="903" t="s">
        <v>539</v>
      </c>
      <c r="F250" s="983" t="e">
        <f>0.5*(1+SQRT(1-2*C250))</f>
        <v>#REF!</v>
      </c>
      <c r="G250" s="9"/>
      <c r="M250" s="9"/>
    </row>
    <row r="251" spans="2:13" ht="19.899999999999999" customHeight="1">
      <c r="B251" s="2" t="s">
        <v>239</v>
      </c>
      <c r="E251" s="3"/>
      <c r="F251" s="9"/>
      <c r="G251" s="9"/>
      <c r="M251" s="9"/>
    </row>
    <row r="252" spans="2:13" ht="19.899999999999999" customHeight="1">
      <c r="B252" s="2" t="s">
        <v>244</v>
      </c>
      <c r="D252" s="2" t="str">
        <f>+D232</f>
        <v>AIII</v>
      </c>
      <c r="E252" s="3"/>
      <c r="F252" s="9"/>
      <c r="G252" s="9"/>
      <c r="M252" s="9"/>
    </row>
    <row r="253" spans="2:13" ht="19.899999999999999" customHeight="1">
      <c r="B253" s="2" t="s">
        <v>237</v>
      </c>
      <c r="D253" s="2">
        <f>IF(D252="AI",2250,IF(D252="AII",2800,IF(D252="AIII",3650,"nhóm cốt thép")))</f>
        <v>3650</v>
      </c>
      <c r="E253" s="3" t="s">
        <v>66</v>
      </c>
      <c r="F253" s="9"/>
      <c r="G253" s="9"/>
      <c r="M253" s="9"/>
    </row>
    <row r="254" spans="2:13" ht="19.899999999999999" customHeight="1">
      <c r="B254" s="6" t="s">
        <v>61</v>
      </c>
      <c r="C254" s="984" t="e">
        <f>+D249*100/(D253*F250*F226)</f>
        <v>#REF!</v>
      </c>
      <c r="D254" s="442" t="s">
        <v>62</v>
      </c>
      <c r="E254" s="3"/>
      <c r="F254" s="9"/>
      <c r="G254" s="9"/>
      <c r="M254" s="9"/>
    </row>
    <row r="255" spans="2:13" ht="19.899999999999999" customHeight="1">
      <c r="F255" s="9"/>
      <c r="G255" s="9"/>
      <c r="M255" s="9"/>
    </row>
    <row r="256" spans="2:13" ht="19.899999999999999" customHeight="1">
      <c r="B256" s="978" t="s">
        <v>521</v>
      </c>
      <c r="D256" s="982"/>
      <c r="E256" s="3"/>
      <c r="F256" s="9"/>
      <c r="G256" s="9"/>
      <c r="M256" s="9"/>
    </row>
    <row r="257" spans="1:16" ht="19.899999999999999" customHeight="1">
      <c r="B257" s="2" t="s">
        <v>246</v>
      </c>
      <c r="D257" s="985">
        <f>IF(E241="&gt;= 2 Tính theo bản console",(F199*F240^2/2+(F194-F199)*F240^2/3)*1000,0)</f>
        <v>0</v>
      </c>
      <c r="E257" s="3" t="s">
        <v>247</v>
      </c>
      <c r="F257" s="9"/>
      <c r="G257" s="9"/>
      <c r="M257" s="9"/>
    </row>
    <row r="258" spans="1:16" ht="19.899999999999999" customHeight="1">
      <c r="B258" s="6" t="s">
        <v>42</v>
      </c>
      <c r="C258" s="10">
        <f>+D257*100/(E189*100*F226^2)</f>
        <v>0</v>
      </c>
      <c r="D258" s="2" t="s">
        <v>174</v>
      </c>
      <c r="E258" s="903" t="s">
        <v>539</v>
      </c>
      <c r="F258" s="983">
        <f>0.5*(1+SQRT(1-2*C258))</f>
        <v>1</v>
      </c>
      <c r="G258" s="9"/>
      <c r="M258" s="9"/>
    </row>
    <row r="259" spans="1:16" ht="19.899999999999999" customHeight="1">
      <c r="B259" s="2" t="s">
        <v>239</v>
      </c>
      <c r="E259" s="3"/>
      <c r="F259" s="9"/>
      <c r="G259" s="9"/>
      <c r="M259" s="9"/>
    </row>
    <row r="260" spans="1:16" ht="19.899999999999999" customHeight="1">
      <c r="B260" s="2" t="s">
        <v>244</v>
      </c>
      <c r="D260" s="2" t="str">
        <f>+D252</f>
        <v>AIII</v>
      </c>
      <c r="E260" s="3"/>
      <c r="F260" s="9"/>
      <c r="G260" s="9"/>
      <c r="M260" s="9"/>
    </row>
    <row r="261" spans="1:16" ht="19.899999999999999" customHeight="1">
      <c r="B261" s="2" t="s">
        <v>237</v>
      </c>
      <c r="D261" s="2">
        <f>IF(D260="AI",2250,IF(D260="AII",2800,IF(D260="AIII",3650,"nhóm cốt thép")))</f>
        <v>3650</v>
      </c>
      <c r="E261" s="3" t="s">
        <v>66</v>
      </c>
      <c r="F261" s="9"/>
      <c r="G261" s="9"/>
      <c r="M261" s="9"/>
    </row>
    <row r="262" spans="1:16" ht="19.899999999999999" customHeight="1">
      <c r="B262" s="6" t="s">
        <v>61</v>
      </c>
      <c r="C262" s="984">
        <f>+D257*100/(D261*F258*F226)</f>
        <v>0</v>
      </c>
      <c r="D262" s="442" t="s">
        <v>62</v>
      </c>
      <c r="E262" s="3"/>
      <c r="F262" s="9"/>
      <c r="G262" s="9"/>
      <c r="M262" s="9"/>
    </row>
    <row r="263" spans="1:16" ht="19.899999999999999" customHeight="1">
      <c r="B263" s="6"/>
      <c r="C263" s="10"/>
      <c r="D263" s="442"/>
      <c r="E263" s="3"/>
      <c r="F263" s="9"/>
      <c r="G263" s="9"/>
      <c r="M263" s="9"/>
    </row>
    <row r="264" spans="1:16" ht="19.899999999999999" customHeight="1">
      <c r="B264" s="2" t="s">
        <v>240</v>
      </c>
      <c r="C264" s="2" t="str">
        <f>C236</f>
        <v>12AIII   a  =</v>
      </c>
      <c r="D264" s="986">
        <v>200</v>
      </c>
      <c r="E264" s="3"/>
      <c r="F264" s="9"/>
      <c r="G264" s="9"/>
      <c r="M264" s="9"/>
    </row>
    <row r="265" spans="1:16" ht="19.899999999999999" customHeight="1">
      <c r="B265" s="3"/>
      <c r="C265" s="903" t="s">
        <v>58</v>
      </c>
      <c r="D265" s="442" t="str">
        <f>ROUND(VLOOKUP(VALUE(LEFT(C264,2)),$P$21:$S$41,4,0)*1000/D264,2) &amp;"  (cm²/m dài)"</f>
        <v>5.65  (cm²/m dài)</v>
      </c>
      <c r="E265" s="3"/>
      <c r="F265" s="9"/>
      <c r="G265" s="9"/>
      <c r="M265" s="9"/>
    </row>
    <row r="266" spans="1:16" ht="19.899999999999999" customHeight="1">
      <c r="A266" s="971" t="s">
        <v>518</v>
      </c>
      <c r="I266" s="981" t="e">
        <f>(F194+F204)*(2*K28+K16)/2*1000</f>
        <v>#REF!</v>
      </c>
      <c r="J266" s="4" t="s">
        <v>21</v>
      </c>
    </row>
    <row r="267" spans="1:16" ht="19.899999999999999" customHeight="1">
      <c r="J267" s="981"/>
    </row>
    <row r="268" spans="1:16" ht="19.899999999999999" customHeight="1">
      <c r="J268" s="981"/>
      <c r="M268" s="4" t="s">
        <v>155</v>
      </c>
      <c r="N268" s="977" t="e">
        <f>0.5*(K26+K16/2)^2*F199*2*1000</f>
        <v>#REF!</v>
      </c>
      <c r="O268" s="4" t="s">
        <v>159</v>
      </c>
      <c r="P268" s="11">
        <f>+K28+N272/2</f>
        <v>4.25</v>
      </c>
    </row>
    <row r="269" spans="1:16" ht="19.899999999999999" customHeight="1">
      <c r="J269" s="981"/>
      <c r="M269" s="4" t="s">
        <v>156</v>
      </c>
      <c r="N269" s="987" t="e">
        <f>0.5*(K26+K16/2)^2*0.5*(F194-F199)*2*1000</f>
        <v>#REF!</v>
      </c>
      <c r="O269" s="4" t="s">
        <v>160</v>
      </c>
      <c r="P269" s="11">
        <f>1/2*K28</f>
        <v>1.875</v>
      </c>
    </row>
    <row r="270" spans="1:16" ht="19.899999999999999" customHeight="1">
      <c r="J270" s="981"/>
      <c r="M270" s="4" t="s">
        <v>158</v>
      </c>
      <c r="N270" s="987" t="e">
        <f>+(K26+K16/2)*N272*F206*2*1000</f>
        <v>#REF!</v>
      </c>
      <c r="O270" s="4" t="s">
        <v>161</v>
      </c>
      <c r="P270" s="11">
        <f>2/3*K28</f>
        <v>2.5</v>
      </c>
    </row>
    <row r="271" spans="1:16" ht="19.899999999999999" customHeight="1">
      <c r="J271" s="981"/>
      <c r="L271" s="988"/>
      <c r="M271" s="4" t="s">
        <v>116</v>
      </c>
      <c r="N271" s="923">
        <f>+(K11-K8)/2-K16/2</f>
        <v>3.75</v>
      </c>
    </row>
    <row r="272" spans="1:16" ht="19.899999999999999" customHeight="1">
      <c r="J272" s="981"/>
      <c r="L272" s="988"/>
      <c r="M272" s="4" t="s">
        <v>157</v>
      </c>
      <c r="N272" s="11">
        <f>+K28-K26</f>
        <v>1</v>
      </c>
    </row>
    <row r="273" spans="2:14" ht="19.899999999999999" customHeight="1">
      <c r="J273" s="981"/>
      <c r="L273" s="988"/>
      <c r="M273" s="4" t="s">
        <v>162</v>
      </c>
      <c r="N273" s="977" t="e">
        <f>L277*L280^2*100*2/3</f>
        <v>#REF!</v>
      </c>
    </row>
    <row r="274" spans="2:14" ht="19.899999999999999" customHeight="1">
      <c r="J274" s="981"/>
      <c r="L274" s="988"/>
      <c r="M274" s="4" t="s">
        <v>162</v>
      </c>
      <c r="N274" s="989" t="e">
        <f>+(N268*P268+N269*P269+N270*P270)*100</f>
        <v>#REF!</v>
      </c>
    </row>
    <row r="275" spans="2:14" ht="19.899999999999999" customHeight="1">
      <c r="I275" s="981" t="e">
        <f>(F194+F205)*(K11-K20)*1000/4</f>
        <v>#REF!</v>
      </c>
      <c r="J275" s="4" t="s">
        <v>21</v>
      </c>
      <c r="L275" s="988"/>
    </row>
    <row r="276" spans="2:14" ht="19.899999999999999" customHeight="1">
      <c r="L276" s="988"/>
    </row>
    <row r="277" spans="2:14" ht="19.899999999999999" customHeight="1">
      <c r="J277" s="981"/>
      <c r="K277" s="4" t="s">
        <v>32</v>
      </c>
      <c r="L277" s="988" t="e">
        <f>I285</f>
        <v>#REF!</v>
      </c>
    </row>
    <row r="278" spans="2:14" ht="19.899999999999999" customHeight="1">
      <c r="J278" s="981"/>
      <c r="K278" s="4" t="s">
        <v>33</v>
      </c>
      <c r="L278" s="988" t="e">
        <f>I275</f>
        <v>#REF!</v>
      </c>
    </row>
    <row r="279" spans="2:14" ht="19.899999999999999" customHeight="1">
      <c r="J279" s="981"/>
      <c r="K279" s="4" t="s">
        <v>526</v>
      </c>
      <c r="L279" s="988">
        <f>K7</f>
        <v>4</v>
      </c>
    </row>
    <row r="280" spans="2:14" ht="19.899999999999999" customHeight="1">
      <c r="J280" s="981"/>
      <c r="K280" s="4" t="s">
        <v>527</v>
      </c>
      <c r="L280" s="988">
        <f>(K10-K7)/2</f>
        <v>3</v>
      </c>
    </row>
    <row r="281" spans="2:14" ht="19.899999999999999" customHeight="1">
      <c r="J281" s="981"/>
      <c r="K281" s="4" t="s">
        <v>34</v>
      </c>
      <c r="L281" s="988" t="e">
        <f>0.5*(L277*L280+L279*L278-L280*L278)</f>
        <v>#REF!</v>
      </c>
    </row>
    <row r="282" spans="2:14" ht="19.899999999999999" customHeight="1">
      <c r="J282" s="981"/>
    </row>
    <row r="283" spans="2:14" ht="19.899999999999999" customHeight="1">
      <c r="J283" s="981"/>
    </row>
    <row r="285" spans="2:14" ht="19.899999999999999" customHeight="1">
      <c r="E285" s="4"/>
      <c r="I285" s="981" t="e">
        <f>I266</f>
        <v>#REF!</v>
      </c>
      <c r="J285" s="4" t="s">
        <v>21</v>
      </c>
    </row>
    <row r="286" spans="2:14" ht="19.899999999999999" customHeight="1">
      <c r="B286" s="2" t="s">
        <v>238</v>
      </c>
      <c r="D286" s="4" t="s">
        <v>67</v>
      </c>
      <c r="E286" s="990" t="e">
        <f>+N274</f>
        <v>#REF!</v>
      </c>
      <c r="F286" s="2" t="s">
        <v>17</v>
      </c>
      <c r="H286" s="100"/>
      <c r="M286" s="977"/>
    </row>
    <row r="287" spans="2:14" ht="19.899999999999999" customHeight="1">
      <c r="B287" s="2" t="s">
        <v>248</v>
      </c>
      <c r="D287" s="4" t="s">
        <v>67</v>
      </c>
      <c r="E287" s="990" t="e">
        <f>(0.5*L281*L279-0.5*L277*L280*(2*L280/3+L279/2)-L278*(L280/2*(L280/3-L280+L279/2))-L278*(L279-2*L280)^2/8)*100</f>
        <v>#REF!</v>
      </c>
      <c r="F287" s="2" t="s">
        <v>17</v>
      </c>
      <c r="H287" s="100"/>
    </row>
    <row r="288" spans="2:14" ht="19.899999999999999" customHeight="1">
      <c r="B288" s="2" t="s">
        <v>249</v>
      </c>
      <c r="D288" s="4" t="s">
        <v>68</v>
      </c>
      <c r="E288" s="2">
        <f>100*K16</f>
        <v>50</v>
      </c>
      <c r="F288" s="2" t="s">
        <v>18</v>
      </c>
      <c r="G288" s="4"/>
      <c r="H288" s="4"/>
      <c r="I288" s="2" t="s">
        <v>189</v>
      </c>
      <c r="J288" s="2">
        <f>F225</f>
        <v>7.5</v>
      </c>
      <c r="K288" s="4" t="s">
        <v>18</v>
      </c>
    </row>
    <row r="289" spans="2:11" ht="19.899999999999999" customHeight="1">
      <c r="D289" s="4" t="s">
        <v>69</v>
      </c>
      <c r="E289" s="2">
        <f>100*K17</f>
        <v>100</v>
      </c>
      <c r="F289" s="2" t="s">
        <v>18</v>
      </c>
      <c r="G289" s="4"/>
      <c r="H289" s="4"/>
      <c r="I289" s="2" t="s">
        <v>70</v>
      </c>
      <c r="J289" s="2">
        <f>E289-J288-4</f>
        <v>88.5</v>
      </c>
      <c r="K289" s="4" t="s">
        <v>18</v>
      </c>
    </row>
    <row r="290" spans="2:11" ht="19.899999999999999" customHeight="1">
      <c r="B290" s="978" t="s">
        <v>250</v>
      </c>
      <c r="D290" s="4" t="s">
        <v>67</v>
      </c>
      <c r="E290" s="991" t="e">
        <f>+E286</f>
        <v>#REF!</v>
      </c>
      <c r="F290" s="2" t="s">
        <v>17</v>
      </c>
      <c r="G290" s="4"/>
      <c r="H290" s="4"/>
    </row>
    <row r="291" spans="2:11" ht="19.899999999999999" customHeight="1">
      <c r="D291" s="903" t="s">
        <v>544</v>
      </c>
      <c r="E291" s="419" t="e">
        <f>E286/($E$189*$E$288*$J$289^2)</f>
        <v>#REF!</v>
      </c>
      <c r="F291" s="2" t="s">
        <v>19</v>
      </c>
    </row>
    <row r="292" spans="2:11" ht="19.899999999999999" customHeight="1">
      <c r="D292" s="903" t="s">
        <v>545</v>
      </c>
      <c r="E292" s="992" t="e">
        <f>0.5*(1+SQRT(1-2*E291))</f>
        <v>#REF!</v>
      </c>
    </row>
    <row r="293" spans="2:11" ht="19.899999999999999" customHeight="1">
      <c r="E293" s="419"/>
    </row>
    <row r="294" spans="2:11" ht="19.899999999999999" customHeight="1">
      <c r="B294" s="2" t="s">
        <v>253</v>
      </c>
      <c r="D294" s="2" t="s">
        <v>56</v>
      </c>
    </row>
    <row r="295" spans="2:11" ht="19.899999999999999" customHeight="1">
      <c r="B295" s="2" t="s">
        <v>237</v>
      </c>
      <c r="D295" s="2">
        <f>IF(D294="AI",2250,IF(D294="AII",2800,IF(D294="AIII",3650,"nhóm cốt thép")))</f>
        <v>3650</v>
      </c>
      <c r="E295" s="419" t="s">
        <v>66</v>
      </c>
    </row>
    <row r="296" spans="2:11" ht="19.899999999999999" customHeight="1">
      <c r="C296" s="903" t="s">
        <v>58</v>
      </c>
      <c r="D296" s="993" t="e">
        <f>+E290/(D295*E292*$J$289)</f>
        <v>#REF!</v>
      </c>
      <c r="E296" s="2" t="s">
        <v>20</v>
      </c>
    </row>
    <row r="297" spans="2:11" ht="19.899999999999999" customHeight="1">
      <c r="D297" s="4"/>
      <c r="E297" s="419"/>
    </row>
    <row r="298" spans="2:11" ht="19.899999999999999" customHeight="1">
      <c r="B298" s="978" t="s">
        <v>252</v>
      </c>
      <c r="D298" s="4" t="s">
        <v>67</v>
      </c>
      <c r="E298" s="994" t="e">
        <f>+ABS(E287)</f>
        <v>#REF!</v>
      </c>
      <c r="F298" s="2" t="s">
        <v>17</v>
      </c>
    </row>
    <row r="299" spans="2:11" ht="19.899999999999999" customHeight="1">
      <c r="D299" s="903" t="s">
        <v>544</v>
      </c>
      <c r="E299" s="419" t="e">
        <f>E298/($E$189*$E$288*$J$289^2)</f>
        <v>#REF!</v>
      </c>
      <c r="F299" s="2" t="s">
        <v>19</v>
      </c>
    </row>
    <row r="300" spans="2:11" ht="19.899999999999999" customHeight="1">
      <c r="D300" s="903" t="s">
        <v>545</v>
      </c>
      <c r="E300" s="992" t="e">
        <f>0.5*(1+SQRT(1-2*E299))</f>
        <v>#REF!</v>
      </c>
    </row>
    <row r="301" spans="2:11" ht="19.899999999999999" customHeight="1">
      <c r="D301" s="903"/>
      <c r="E301" s="442"/>
    </row>
    <row r="302" spans="2:11" ht="19.899999999999999" customHeight="1">
      <c r="B302" s="2" t="s">
        <v>253</v>
      </c>
      <c r="D302" s="8" t="str">
        <f>J188</f>
        <v>AIII</v>
      </c>
      <c r="E302" s="442"/>
    </row>
    <row r="303" spans="2:11" ht="19.899999999999999" customHeight="1">
      <c r="B303" s="2" t="s">
        <v>237</v>
      </c>
      <c r="D303" s="2">
        <f>IF(D302="AI",2250,IF(D302="AII",2800,IF(D302="AIII",3650,"nhóm cốt thép")))</f>
        <v>3650</v>
      </c>
      <c r="E303" s="419" t="s">
        <v>66</v>
      </c>
    </row>
    <row r="304" spans="2:11" ht="19.899999999999999" customHeight="1">
      <c r="C304" s="903" t="s">
        <v>58</v>
      </c>
      <c r="D304" s="993" t="e">
        <f>+E298/(D303*E300*$J$289)</f>
        <v>#REF!</v>
      </c>
      <c r="E304" s="2" t="s">
        <v>20</v>
      </c>
    </row>
    <row r="305" spans="1:11" ht="19.899999999999999" customHeight="1">
      <c r="B305" s="2" t="s">
        <v>251</v>
      </c>
      <c r="C305" s="995" t="str">
        <f>"06"&amp;"Ø"&amp;20&amp;D302</f>
        <v>06Ø20AIII</v>
      </c>
      <c r="D305" s="903" t="s">
        <v>58</v>
      </c>
      <c r="E305" s="442" t="str">
        <f>+ROUND(LEFT(C305,2)*VLOOKUP(VALUE(MID(C305,4,2)),$P$21:$S$41,4,0),2)&amp;"  cm²"</f>
        <v>18.84  cm²</v>
      </c>
    </row>
    <row r="306" spans="1:11" ht="19.899999999999999" customHeight="1">
      <c r="B306" s="978" t="s">
        <v>291</v>
      </c>
      <c r="D306" s="903"/>
      <c r="E306" s="996"/>
    </row>
    <row r="307" spans="1:11" ht="19.899999999999999" customHeight="1">
      <c r="B307" s="2" t="s">
        <v>292</v>
      </c>
      <c r="D307" s="903"/>
      <c r="E307" s="996"/>
    </row>
    <row r="308" spans="1:11" ht="19.899999999999999" customHeight="1">
      <c r="C308" s="6" t="s">
        <v>79</v>
      </c>
      <c r="D308" s="997" t="e">
        <f>1/2*N270*F26</f>
        <v>#REF!</v>
      </c>
      <c r="E308" s="996" t="s">
        <v>21</v>
      </c>
    </row>
    <row r="309" spans="1:11" ht="19.899999999999999" customHeight="1">
      <c r="B309" s="2" t="s">
        <v>277</v>
      </c>
      <c r="C309" s="6"/>
      <c r="D309" s="997"/>
      <c r="E309" s="996"/>
    </row>
    <row r="310" spans="1:11" ht="19.899999999999999" customHeight="1">
      <c r="C310" s="6" t="s">
        <v>293</v>
      </c>
      <c r="D310" s="997">
        <f>0.6*E190*E288*J289</f>
        <v>19912.5</v>
      </c>
      <c r="E310" s="2" t="s">
        <v>300</v>
      </c>
      <c r="F310" s="8" t="e">
        <f>+IF(D310&gt;D308, "Bêtông đủ khả năng chịu cắt","Qc &lt; Q ==&gt; Tính cốt đai")</f>
        <v>#REF!</v>
      </c>
      <c r="G310" s="8"/>
      <c r="H310" s="8"/>
    </row>
    <row r="311" spans="1:11" ht="19.899999999999999" customHeight="1">
      <c r="B311" s="2" t="s">
        <v>294</v>
      </c>
      <c r="C311" s="998">
        <v>10</v>
      </c>
      <c r="D311" s="982" t="s">
        <v>295</v>
      </c>
      <c r="E311" s="2">
        <f>+C311*C311*3.14/4/100</f>
        <v>0.78500000000000003</v>
      </c>
      <c r="F311" s="2" t="s">
        <v>20</v>
      </c>
    </row>
    <row r="312" spans="1:11" ht="19.899999999999999" customHeight="1">
      <c r="B312" s="6" t="s">
        <v>296</v>
      </c>
      <c r="C312" s="998">
        <v>2</v>
      </c>
      <c r="D312" s="982" t="s">
        <v>297</v>
      </c>
      <c r="E312" s="8">
        <v>30</v>
      </c>
      <c r="F312" s="2" t="s">
        <v>18</v>
      </c>
    </row>
    <row r="313" spans="1:11" ht="19.899999999999999" customHeight="1">
      <c r="B313" s="6"/>
      <c r="C313" s="998"/>
      <c r="D313"/>
    </row>
    <row r="314" spans="1:11" ht="19.899999999999999" customHeight="1">
      <c r="B314" s="6"/>
      <c r="E314" s="999">
        <f>0.8*2300*C312*E311/E312</f>
        <v>96.293333333333337</v>
      </c>
      <c r="F314" s="442" t="s">
        <v>21</v>
      </c>
    </row>
    <row r="315" spans="1:11" ht="19.899999999999999" customHeight="1">
      <c r="B315" s="6"/>
      <c r="C315" s="998"/>
      <c r="D315" s="982"/>
    </row>
    <row r="316" spans="1:11" ht="19.899999999999999" customHeight="1">
      <c r="B316" s="6"/>
      <c r="C316" s="998"/>
      <c r="D316" s="982"/>
      <c r="E316" s="1000">
        <f>2.8*J289*SQRT(E190*E288*E314)</f>
        <v>47088.520601097669</v>
      </c>
      <c r="F316" s="442" t="s">
        <v>298</v>
      </c>
    </row>
    <row r="317" spans="1:11" ht="19.899999999999999" customHeight="1">
      <c r="C317" s="998"/>
      <c r="D317" s="982"/>
    </row>
    <row r="318" spans="1:11" ht="19.899999999999999" customHeight="1">
      <c r="B318" s="3" t="str">
        <f>+"Bố trí cốt đai Ø = "&amp;C311&amp;" ,n = "&amp;C312&amp;" nhánh, u =  "&amp;E312&amp;" cm"</f>
        <v>Bố trí cốt đai Ø = 10 ,n = 2 nhánh, u =  30 cm</v>
      </c>
      <c r="C318" s="998"/>
      <c r="D318" s="982"/>
    </row>
    <row r="319" spans="1:11" ht="19.899999999999999" customHeight="1">
      <c r="A319" s="971" t="s">
        <v>517</v>
      </c>
    </row>
    <row r="320" spans="1:11" ht="19.899999999999999" customHeight="1">
      <c r="B320" s="5" t="s">
        <v>258</v>
      </c>
      <c r="J320" s="100" t="e">
        <f>+ROUND(C322,2)</f>
        <v>#REF!</v>
      </c>
      <c r="K320" s="2" t="s">
        <v>3</v>
      </c>
    </row>
    <row r="321" spans="2:11" ht="19.899999999999999" customHeight="1">
      <c r="B321" s="2" t="s">
        <v>254</v>
      </c>
      <c r="E321" s="2" t="s">
        <v>255</v>
      </c>
    </row>
    <row r="322" spans="2:11" ht="19.899999999999999" customHeight="1">
      <c r="B322" s="6" t="s">
        <v>78</v>
      </c>
      <c r="C322" s="981" t="e">
        <f>#REF!</f>
        <v>#REF!</v>
      </c>
      <c r="D322" s="2" t="s">
        <v>3</v>
      </c>
      <c r="E322" s="6" t="s">
        <v>74</v>
      </c>
      <c r="F322" s="2">
        <f>K23*100</f>
        <v>70</v>
      </c>
      <c r="G322" s="3" t="s">
        <v>18</v>
      </c>
      <c r="I322" s="982" t="e">
        <f>+ROUND(C323,2)</f>
        <v>#REF!</v>
      </c>
      <c r="J322" s="2" t="s">
        <v>3</v>
      </c>
    </row>
    <row r="323" spans="2:11" ht="19.899999999999999" customHeight="1">
      <c r="B323" s="6" t="s">
        <v>79</v>
      </c>
      <c r="C323" s="981" t="e">
        <f>+#REF!</f>
        <v>#REF!</v>
      </c>
      <c r="D323" s="2" t="s">
        <v>3</v>
      </c>
      <c r="E323" s="6" t="s">
        <v>69</v>
      </c>
      <c r="F323" s="2">
        <f>+F322</f>
        <v>70</v>
      </c>
      <c r="G323" s="3" t="s">
        <v>18</v>
      </c>
      <c r="K323" s="1560">
        <f>F324</f>
        <v>250</v>
      </c>
    </row>
    <row r="324" spans="2:11" ht="19.899999999999999" customHeight="1">
      <c r="B324" s="2" t="s">
        <v>256</v>
      </c>
      <c r="E324" s="6" t="s">
        <v>75</v>
      </c>
      <c r="F324" s="2">
        <f>(K14-K17)*100</f>
        <v>250</v>
      </c>
      <c r="G324" s="3" t="s">
        <v>18</v>
      </c>
      <c r="K324" s="1560"/>
    </row>
    <row r="325" spans="2:11" ht="19.899999999999999" customHeight="1">
      <c r="B325" s="6" t="s">
        <v>67</v>
      </c>
      <c r="C325" s="981" t="e">
        <f>I322*F324/100</f>
        <v>#REF!</v>
      </c>
      <c r="D325" s="2" t="s">
        <v>4</v>
      </c>
      <c r="E325" s="6" t="s">
        <v>190</v>
      </c>
      <c r="F325" s="962">
        <v>7.5</v>
      </c>
      <c r="G325" s="2" t="s">
        <v>18</v>
      </c>
      <c r="I325" s="6"/>
      <c r="J325" s="6"/>
      <c r="K325" s="1560"/>
    </row>
    <row r="326" spans="2:11" ht="19.899999999999999" customHeight="1">
      <c r="B326" s="6" t="s">
        <v>191</v>
      </c>
      <c r="C326" s="981" t="e">
        <f>+C322*0.8</f>
        <v>#REF!</v>
      </c>
      <c r="D326" s="2" t="s">
        <v>3</v>
      </c>
      <c r="E326" s="6" t="s">
        <v>70</v>
      </c>
      <c r="F326" s="2">
        <f>F323-F325</f>
        <v>62.5</v>
      </c>
      <c r="G326" s="2" t="s">
        <v>18</v>
      </c>
      <c r="I326" s="6"/>
      <c r="J326" s="6"/>
      <c r="K326" s="1560"/>
    </row>
    <row r="327" spans="2:11" ht="19.899999999999999" customHeight="1">
      <c r="B327" s="6" t="s">
        <v>192</v>
      </c>
      <c r="C327" s="981" t="e">
        <f>+C325*0.8</f>
        <v>#REF!</v>
      </c>
      <c r="D327" s="2" t="s">
        <v>4</v>
      </c>
      <c r="E327" s="6"/>
      <c r="I327" s="6"/>
      <c r="J327" s="6"/>
      <c r="K327" s="1560"/>
    </row>
    <row r="328" spans="2:11" ht="19.899999999999999" customHeight="1">
      <c r="B328" s="3" t="s">
        <v>257</v>
      </c>
      <c r="F328" s="6"/>
      <c r="J328" s="6"/>
      <c r="K328" s="1560"/>
    </row>
    <row r="329" spans="2:11" ht="19.899999999999999" customHeight="1">
      <c r="B329" s="6" t="s">
        <v>193</v>
      </c>
      <c r="C329" s="2">
        <f>+MAX(F323/25,2)</f>
        <v>2.8</v>
      </c>
      <c r="D329" s="2" t="s">
        <v>18</v>
      </c>
      <c r="F329" s="6"/>
      <c r="J329" s="1561" t="s">
        <v>546</v>
      </c>
      <c r="K329" s="1561"/>
    </row>
    <row r="330" spans="2:11" ht="19.899999999999999" customHeight="1">
      <c r="B330" s="6"/>
      <c r="F330" s="6"/>
      <c r="J330" s="6"/>
    </row>
    <row r="331" spans="2:11" ht="19.899999999999999" customHeight="1">
      <c r="B331" s="6"/>
      <c r="F331" s="6"/>
      <c r="J331" s="6"/>
    </row>
    <row r="332" spans="2:11" ht="19.899999999999999" customHeight="1">
      <c r="B332" s="3" t="s">
        <v>259</v>
      </c>
      <c r="F332" s="4"/>
    </row>
    <row r="333" spans="2:11" ht="19.899999999999999" customHeight="1">
      <c r="B333" s="6" t="s">
        <v>194</v>
      </c>
      <c r="C333" s="981" t="e">
        <f>C325*100000/(C322*1000)</f>
        <v>#REF!</v>
      </c>
      <c r="D333" s="2" t="s">
        <v>18</v>
      </c>
    </row>
    <row r="334" spans="2:11" ht="19.899999999999999" customHeight="1">
      <c r="B334" s="2" t="s">
        <v>260</v>
      </c>
    </row>
    <row r="335" spans="2:11" ht="19.899999999999999" customHeight="1">
      <c r="B335" s="6" t="s">
        <v>195</v>
      </c>
      <c r="C335" s="100" t="e">
        <f>+C333+C329</f>
        <v>#REF!</v>
      </c>
      <c r="D335" s="2" t="s">
        <v>18</v>
      </c>
      <c r="E335" s="4"/>
    </row>
    <row r="336" spans="2:11" ht="19.899999999999999" customHeight="1">
      <c r="B336" s="6" t="s">
        <v>196</v>
      </c>
      <c r="C336" s="981" t="e">
        <f>+C335/F323</f>
        <v>#REF!</v>
      </c>
      <c r="F336" s="4"/>
    </row>
    <row r="337" spans="2:9" ht="19.899999999999999" customHeight="1">
      <c r="B337" s="3" t="s">
        <v>261</v>
      </c>
    </row>
    <row r="338" spans="2:9" ht="19.899999999999999" customHeight="1">
      <c r="B338" s="6" t="s">
        <v>80</v>
      </c>
      <c r="C338" s="10" t="e">
        <f>+IF(C336&lt;=0.05,0.84,IF(C336&gt;=5,0.122,0.11/(0.1+C336)+0.1))</f>
        <v>#REF!</v>
      </c>
    </row>
    <row r="339" spans="2:9" ht="19.899999999999999" customHeight="1">
      <c r="B339" s="3" t="s">
        <v>262</v>
      </c>
      <c r="F339" s="4"/>
    </row>
    <row r="340" spans="2:9" ht="19.899999999999999" customHeight="1">
      <c r="B340" s="6" t="s">
        <v>197</v>
      </c>
      <c r="C340" s="981" t="e">
        <f>1+(C327+C326*F323/(2*100))/(C325+C322*F323/(2*100))</f>
        <v>#REF!</v>
      </c>
      <c r="F340" s="4"/>
    </row>
    <row r="341" spans="2:9" ht="19.899999999999999" customHeight="1">
      <c r="B341" s="3" t="s">
        <v>263</v>
      </c>
      <c r="C341" s="6" t="s">
        <v>81</v>
      </c>
      <c r="D341" s="995">
        <v>2E-3</v>
      </c>
      <c r="I341" s="4"/>
    </row>
    <row r="342" spans="2:9" ht="19.899999999999999" customHeight="1">
      <c r="B342" s="2" t="s">
        <v>82</v>
      </c>
      <c r="C342" s="6" t="s">
        <v>198</v>
      </c>
      <c r="D342" s="991">
        <f>+D341*F322*F326*(0.5*F323-F325)^2</f>
        <v>6617.1875</v>
      </c>
      <c r="E342" s="2" t="s">
        <v>199</v>
      </c>
      <c r="F342" s="3" t="s">
        <v>200</v>
      </c>
      <c r="I342" s="4"/>
    </row>
    <row r="343" spans="2:9" ht="19.899999999999999" customHeight="1">
      <c r="C343" s="6" t="s">
        <v>201</v>
      </c>
      <c r="D343" s="991">
        <f>+(F322*F323^3)/12</f>
        <v>2000833.3333333333</v>
      </c>
      <c r="E343" s="2" t="s">
        <v>199</v>
      </c>
      <c r="F343" s="3" t="s">
        <v>202</v>
      </c>
      <c r="I343" s="4"/>
    </row>
    <row r="344" spans="2:9" ht="19.899999999999999" customHeight="1">
      <c r="C344" s="1001" t="s">
        <v>83</v>
      </c>
      <c r="D344" s="8">
        <f>2.1*1000000</f>
        <v>2100000</v>
      </c>
      <c r="E344" s="2" t="s">
        <v>85</v>
      </c>
      <c r="I344" s="4"/>
    </row>
    <row r="345" spans="2:9" ht="19.899999999999999" customHeight="1">
      <c r="C345" s="1001" t="s">
        <v>84</v>
      </c>
      <c r="D345" s="8">
        <v>240000</v>
      </c>
      <c r="E345" s="2" t="s">
        <v>85</v>
      </c>
      <c r="I345" s="4"/>
    </row>
    <row r="346" spans="2:9" ht="19.899999999999999" customHeight="1">
      <c r="B346" s="2" t="s">
        <v>264</v>
      </c>
      <c r="I346" s="4"/>
    </row>
    <row r="347" spans="2:9" ht="19.899999999999999" customHeight="1">
      <c r="I347" s="4"/>
    </row>
    <row r="348" spans="2:9" ht="19.899999999999999" customHeight="1">
      <c r="D348" s="6" t="s">
        <v>6</v>
      </c>
      <c r="E348" s="981" t="e">
        <f>+(6.4/F324^2)*((C338/C340)*D345*D343+D344*D342)/1000</f>
        <v>#REF!</v>
      </c>
      <c r="F348" s="2" t="s">
        <v>3</v>
      </c>
      <c r="I348" s="4"/>
    </row>
    <row r="349" spans="2:9" ht="19.899999999999999" customHeight="1">
      <c r="I349" s="4"/>
    </row>
    <row r="350" spans="2:9" ht="19.899999999999999" customHeight="1">
      <c r="B350" s="2" t="s">
        <v>265</v>
      </c>
      <c r="D350" s="6" t="s">
        <v>6</v>
      </c>
      <c r="E350" s="1002" t="e">
        <f>1/(1-C322/E348)</f>
        <v>#REF!</v>
      </c>
      <c r="I350" s="4"/>
    </row>
    <row r="351" spans="2:9" ht="19.899999999999999" customHeight="1">
      <c r="I351" s="4"/>
    </row>
    <row r="352" spans="2:9" ht="19.899999999999999" customHeight="1">
      <c r="I352" s="4"/>
    </row>
    <row r="353" spans="2:18" ht="19.899999999999999" customHeight="1">
      <c r="B353" s="2" t="s">
        <v>266</v>
      </c>
      <c r="D353" s="6" t="s">
        <v>76</v>
      </c>
      <c r="E353" s="100" t="e">
        <f>+E350*C335+F323/2-F325</f>
        <v>#REF!</v>
      </c>
      <c r="F353" s="2" t="s">
        <v>18</v>
      </c>
      <c r="G353" s="2" t="s">
        <v>203</v>
      </c>
      <c r="I353" s="4"/>
    </row>
    <row r="354" spans="2:18" ht="19.899999999999999" customHeight="1">
      <c r="D354" s="6" t="s">
        <v>77</v>
      </c>
      <c r="E354" s="100" t="e">
        <f>ABS(E350*C335-F323/2+F325)</f>
        <v>#REF!</v>
      </c>
      <c r="G354" s="2" t="s">
        <v>204</v>
      </c>
    </row>
    <row r="355" spans="2:18" ht="19.899999999999999" customHeight="1">
      <c r="B355" s="2" t="s">
        <v>267</v>
      </c>
      <c r="D355" s="6" t="s">
        <v>86</v>
      </c>
      <c r="E355" s="981" t="e">
        <f>+C322*1000/(E189*F322)</f>
        <v>#REF!</v>
      </c>
      <c r="F355" s="2" t="s">
        <v>18</v>
      </c>
      <c r="H355" s="100"/>
    </row>
    <row r="356" spans="2:18" ht="19.899999999999999" customHeight="1">
      <c r="D356" s="6" t="s">
        <v>205</v>
      </c>
      <c r="E356" s="100">
        <f>0.62*F326</f>
        <v>38.75</v>
      </c>
      <c r="F356" s="2" t="s">
        <v>18</v>
      </c>
      <c r="G356" s="973" t="s">
        <v>65</v>
      </c>
      <c r="H356" s="3" t="e">
        <f>+IF(E355&lt;=E356,"x&lt;αoho ","x&gt;αoho")</f>
        <v>#REF!</v>
      </c>
    </row>
    <row r="357" spans="2:18" ht="19.899999999999999" customHeight="1">
      <c r="C357" s="974" t="s">
        <v>65</v>
      </c>
      <c r="D357" s="3" t="e">
        <f>+IF(E355&lt;=E356,"Xảy ra trường hợp nén lệch tâm lớn","Xảy ra trường hợp nén lệch tâm bé ")</f>
        <v>#REF!</v>
      </c>
      <c r="E357" s="100"/>
      <c r="H357" s="100"/>
    </row>
    <row r="358" spans="2:18" ht="19.899999999999999" customHeight="1">
      <c r="B358" s="429" t="s">
        <v>268</v>
      </c>
      <c r="C358" s="974"/>
      <c r="D358" s="3"/>
      <c r="E358" s="100"/>
      <c r="H358" s="100"/>
      <c r="K358" s="111"/>
      <c r="L358" s="1003"/>
      <c r="N358" s="11"/>
      <c r="Q358" s="11"/>
      <c r="R358" s="11"/>
    </row>
    <row r="359" spans="2:18" ht="19.899999999999999" customHeight="1">
      <c r="B359" s="2" t="s">
        <v>272</v>
      </c>
      <c r="D359" s="2" t="str">
        <f>+D302</f>
        <v>AIII</v>
      </c>
      <c r="E359" s="100"/>
      <c r="H359" s="100"/>
      <c r="N359" s="11"/>
      <c r="Q359" s="11"/>
      <c r="R359" s="11"/>
    </row>
    <row r="360" spans="2:18" ht="19.899999999999999" customHeight="1">
      <c r="B360" s="2" t="s">
        <v>237</v>
      </c>
      <c r="D360" s="2">
        <f>IF(D359="AI",2250,IF(D359="AII",2800,IF(D359="AIII",3650,"nhóm cốt thép")))</f>
        <v>3650</v>
      </c>
      <c r="E360" s="100" t="s">
        <v>66</v>
      </c>
      <c r="H360" s="100"/>
      <c r="N360" s="11"/>
      <c r="Q360" s="11"/>
      <c r="R360" s="11"/>
    </row>
    <row r="361" spans="2:18" ht="19.899999999999999" customHeight="1">
      <c r="C361" s="2" t="e">
        <f>+IF(E355&gt;2*F325,"x&gt;2a' ==&gt;","x&lt;2a' ==&gt;")</f>
        <v>#REF!</v>
      </c>
      <c r="D361" s="3" t="e">
        <f>+IF(E355&gt;2*F325,"Fa = F'a = N(e-ho+0.5x)/(R'a(ho-a'))","Fa = F'a = Ne'/(Ra(ho-a'))")</f>
        <v>#REF!</v>
      </c>
      <c r="E361" s="100"/>
      <c r="H361" s="100"/>
      <c r="N361" s="11"/>
      <c r="Q361" s="11"/>
      <c r="R361" s="11"/>
    </row>
    <row r="362" spans="2:18" ht="19.899999999999999" customHeight="1">
      <c r="D362" s="6" t="s">
        <v>87</v>
      </c>
      <c r="E362" s="1004" t="e">
        <f>+IF(E355&gt;2*F325,C322*1000*(E353-F326+0.5*E355)/(D360*(F326-F325)),C322*1000*E354/(D360*(F326-F325)))</f>
        <v>#REF!</v>
      </c>
      <c r="F362" s="2" t="s">
        <v>20</v>
      </c>
      <c r="H362" s="100"/>
      <c r="N362" s="11"/>
      <c r="Q362" s="11"/>
      <c r="R362" s="11"/>
    </row>
    <row r="363" spans="2:18" ht="19.899999999999999" customHeight="1">
      <c r="B363" s="1005" t="s">
        <v>269</v>
      </c>
      <c r="C363" s="1006" t="s">
        <v>88</v>
      </c>
      <c r="D363" s="1007" t="e">
        <f>+E362*2/(F322*F326)</f>
        <v>#REF!</v>
      </c>
      <c r="E363" s="1008" t="s">
        <v>270</v>
      </c>
      <c r="F363" s="1005"/>
      <c r="G363" s="1009" t="s">
        <v>81</v>
      </c>
      <c r="H363" s="1007" t="e">
        <f>+D363/2+D341/2</f>
        <v>#REF!</v>
      </c>
      <c r="L363" s="1003"/>
      <c r="M363" s="1010"/>
      <c r="N363" s="1011"/>
      <c r="P363" s="11"/>
      <c r="Q363" s="1010"/>
      <c r="R363" s="1010"/>
    </row>
    <row r="364" spans="2:18" ht="19.899999999999999" customHeight="1">
      <c r="B364" s="1012" t="s">
        <v>271</v>
      </c>
      <c r="C364" s="1013"/>
      <c r="D364" s="1014"/>
      <c r="E364" s="1015"/>
      <c r="F364" s="1016"/>
      <c r="G364" s="1016"/>
      <c r="H364" s="1015"/>
      <c r="K364" s="111"/>
      <c r="L364" s="1003"/>
      <c r="N364" s="11"/>
      <c r="Q364" s="11"/>
      <c r="R364" s="11"/>
    </row>
    <row r="365" spans="2:18" ht="19.899999999999999" customHeight="1">
      <c r="B365" s="1016" t="s">
        <v>272</v>
      </c>
      <c r="C365" s="1016"/>
      <c r="D365" s="1016" t="str">
        <f>+D359</f>
        <v>AIII</v>
      </c>
      <c r="E365" s="1015"/>
      <c r="F365" s="1016"/>
      <c r="G365" s="1016"/>
      <c r="H365" s="1015"/>
      <c r="N365" s="11"/>
      <c r="Q365" s="11"/>
      <c r="R365" s="11"/>
    </row>
    <row r="366" spans="2:18" ht="19.899999999999999" customHeight="1">
      <c r="B366" s="1016" t="s">
        <v>237</v>
      </c>
      <c r="C366" s="1016"/>
      <c r="D366" s="2">
        <f>IF(D365="AI",2250,IF(D365="AII",2800,IF(D365="AIII",3650,"Nhóm cốt thép")))</f>
        <v>3650</v>
      </c>
      <c r="E366" s="1015" t="s">
        <v>66</v>
      </c>
      <c r="F366" s="1016"/>
      <c r="G366" s="1016"/>
      <c r="H366" s="1015"/>
      <c r="N366" s="11"/>
      <c r="Q366" s="11"/>
      <c r="R366" s="11"/>
    </row>
    <row r="367" spans="2:18" ht="19.899999999999999" customHeight="1">
      <c r="B367" s="1016"/>
      <c r="C367" s="1017" t="s">
        <v>206</v>
      </c>
      <c r="D367" s="1014">
        <f>0.4*(1.25*F323-0.62*F326)</f>
        <v>19.5</v>
      </c>
      <c r="E367" s="1015" t="s">
        <v>18</v>
      </c>
      <c r="F367" s="1016" t="s">
        <v>207</v>
      </c>
      <c r="G367" s="1016"/>
      <c r="H367" s="1015"/>
      <c r="N367" s="11"/>
      <c r="Q367" s="11"/>
      <c r="R367" s="11"/>
    </row>
    <row r="368" spans="2:18" ht="19.899999999999999" customHeight="1">
      <c r="B368" s="1016"/>
      <c r="C368" s="1017" t="s">
        <v>208</v>
      </c>
      <c r="D368" s="1018" t="e">
        <f>+E350*C335</f>
        <v>#REF!</v>
      </c>
      <c r="E368" s="1015" t="s">
        <v>18</v>
      </c>
      <c r="F368" s="1016"/>
      <c r="G368" s="1016"/>
      <c r="H368" s="1015"/>
      <c r="M368" s="9"/>
      <c r="N368" s="11"/>
      <c r="Q368" s="11"/>
      <c r="R368" s="11"/>
    </row>
    <row r="369" spans="2:18" ht="19.899999999999999" customHeight="1">
      <c r="B369" s="1016"/>
      <c r="C369" s="1017" t="s">
        <v>209</v>
      </c>
      <c r="D369" s="1018">
        <f>0.2*F326</f>
        <v>12.5</v>
      </c>
      <c r="E369" s="1015" t="s">
        <v>18</v>
      </c>
      <c r="F369" s="1016"/>
      <c r="G369" s="1015"/>
      <c r="H369" s="1019"/>
      <c r="M369" s="9"/>
      <c r="N369" s="11"/>
      <c r="P369" s="11"/>
      <c r="Q369" s="1010"/>
      <c r="R369" s="1010"/>
    </row>
    <row r="370" spans="2:18" ht="19.899999999999999" customHeight="1">
      <c r="B370" s="1016" t="s">
        <v>89</v>
      </c>
      <c r="C370" s="1016" t="e">
        <f>+IF(D368&lt;=D369," ηeo &lt;0.2ho ","ηeo &gt; 0.2ho ")</f>
        <v>#REF!</v>
      </c>
      <c r="D370" s="1013" t="s">
        <v>65</v>
      </c>
      <c r="E370" s="1020" t="e">
        <f>+IF(D368&lt;=D369,"x' = h-(1.8+0.5h/ho-1.4αo)ηαo","x' = 1.8(eogh-ηeo)+αoho")</f>
        <v>#REF!</v>
      </c>
      <c r="F370" s="1016"/>
      <c r="G370" s="1015"/>
      <c r="H370" s="1019"/>
      <c r="M370" s="903"/>
      <c r="N370" s="903"/>
      <c r="P370" s="11"/>
      <c r="Q370" s="1010"/>
      <c r="R370" s="1010"/>
    </row>
    <row r="371" spans="2:18" ht="19.899999999999999" customHeight="1">
      <c r="B371" s="1016"/>
      <c r="C371" s="1017" t="s">
        <v>90</v>
      </c>
      <c r="D371" s="1021" t="e">
        <f>+IF(D368&lt;=D369,F323-(1.8+0.5*F323/F326-1.4*0.62)*E350*C335,1.8*(D367-D368)+0.62*F326)</f>
        <v>#REF!</v>
      </c>
      <c r="E371" s="1015" t="s">
        <v>18</v>
      </c>
      <c r="F371" s="1016"/>
      <c r="G371" s="1015"/>
      <c r="H371" s="1019"/>
      <c r="M371" s="997"/>
      <c r="N371" s="11"/>
      <c r="P371" s="11"/>
      <c r="Q371" s="1010"/>
      <c r="R371" s="1010"/>
    </row>
    <row r="372" spans="2:18" ht="19.899999999999999" customHeight="1">
      <c r="B372" s="1016" t="s">
        <v>91</v>
      </c>
      <c r="C372" s="1562" t="s">
        <v>92</v>
      </c>
      <c r="D372" s="1563" t="s">
        <v>93</v>
      </c>
      <c r="E372" s="1563"/>
      <c r="F372" s="1022"/>
      <c r="G372" s="1015"/>
      <c r="H372" s="1019"/>
      <c r="L372" s="1554"/>
      <c r="M372" s="1564"/>
      <c r="N372" s="1564"/>
      <c r="P372" s="11"/>
      <c r="Q372" s="1010"/>
      <c r="R372" s="1010"/>
    </row>
    <row r="373" spans="2:18" ht="19.899999999999999" customHeight="1">
      <c r="B373" s="1016"/>
      <c r="C373" s="1562"/>
      <c r="D373" s="1565" t="s">
        <v>94</v>
      </c>
      <c r="E373" s="1565"/>
      <c r="F373" s="1016"/>
      <c r="G373" s="1015"/>
      <c r="H373" s="1019"/>
      <c r="L373" s="1554"/>
      <c r="M373" s="1564"/>
      <c r="N373" s="1564"/>
      <c r="P373" s="11"/>
      <c r="Q373" s="1010"/>
      <c r="R373" s="1010"/>
    </row>
    <row r="374" spans="2:18" ht="19.899999999999999" customHeight="1">
      <c r="B374" s="1016"/>
      <c r="C374" s="1023" t="s">
        <v>92</v>
      </c>
      <c r="D374" s="1024" t="e">
        <f>+(C322*1000*E353-E189*F322*D371*(F326-0.5*D371))/(D366*(F326-F325))</f>
        <v>#REF!</v>
      </c>
      <c r="E374" s="1022" t="s">
        <v>20</v>
      </c>
      <c r="F374" s="1015"/>
      <c r="G374" s="1015"/>
      <c r="H374" s="1015"/>
      <c r="J374" s="4"/>
      <c r="L374" s="448"/>
      <c r="M374" s="9"/>
      <c r="O374" s="11"/>
      <c r="P374" s="11"/>
      <c r="Q374" s="11"/>
      <c r="R374" s="11"/>
    </row>
    <row r="375" spans="2:18" ht="19.899999999999999" customHeight="1">
      <c r="B375" s="1016"/>
      <c r="C375" s="1013" t="s">
        <v>88</v>
      </c>
      <c r="D375" s="1025" t="e">
        <f>+D374*2/(F322*F326)</f>
        <v>#REF!</v>
      </c>
      <c r="E375" s="1026" t="s">
        <v>270</v>
      </c>
      <c r="F375" s="1016"/>
      <c r="G375" s="1027" t="s">
        <v>81</v>
      </c>
      <c r="H375" s="1028" t="e">
        <f>+D375/2+D341/2</f>
        <v>#REF!</v>
      </c>
      <c r="J375" s="4"/>
      <c r="L375" s="1003"/>
      <c r="M375" s="1010"/>
      <c r="N375" s="1011"/>
      <c r="P375" s="11"/>
      <c r="Q375" s="1010"/>
      <c r="R375" s="1010"/>
    </row>
    <row r="376" spans="2:18" ht="19.899999999999999" customHeight="1">
      <c r="B376" s="1016"/>
      <c r="C376" s="1013"/>
      <c r="D376" s="1025"/>
      <c r="E376" s="1026"/>
      <c r="F376" s="1016"/>
      <c r="G376" s="1027"/>
      <c r="H376" s="1028"/>
      <c r="J376" s="4"/>
      <c r="L376" s="1003"/>
      <c r="M376" s="1010"/>
      <c r="N376" s="1011"/>
      <c r="P376" s="11"/>
      <c r="Q376" s="1010"/>
      <c r="R376" s="1010"/>
    </row>
    <row r="377" spans="2:18" ht="19.899999999999999" customHeight="1">
      <c r="B377" s="1016"/>
      <c r="C377" s="1013"/>
      <c r="D377" s="1025"/>
      <c r="E377" s="1026"/>
      <c r="F377" s="1016"/>
      <c r="G377" s="1027"/>
      <c r="H377" s="1028"/>
      <c r="J377" s="4"/>
      <c r="L377" s="1003"/>
      <c r="M377" s="1010"/>
      <c r="N377" s="1011"/>
      <c r="P377" s="11"/>
      <c r="Q377" s="1010"/>
      <c r="R377" s="1010"/>
    </row>
    <row r="378" spans="2:18" ht="19.899999999999999" customHeight="1">
      <c r="B378" s="1016"/>
      <c r="C378" s="1013"/>
      <c r="D378" s="1025"/>
      <c r="E378" s="1026"/>
      <c r="F378" s="1016"/>
      <c r="G378" s="1027"/>
      <c r="H378" s="1028"/>
      <c r="J378" s="4"/>
      <c r="L378" s="1003"/>
      <c r="M378" s="1010"/>
      <c r="N378" s="1011"/>
      <c r="P378" s="11"/>
      <c r="Q378" s="1010"/>
      <c r="R378" s="1010"/>
    </row>
    <row r="379" spans="2:18" ht="19.899999999999999" customHeight="1">
      <c r="B379" s="1016"/>
      <c r="C379" s="1013"/>
      <c r="D379" s="1025"/>
      <c r="E379" s="1026"/>
      <c r="F379" s="1016"/>
      <c r="G379" s="1027"/>
      <c r="H379" s="1028"/>
      <c r="J379" s="4"/>
      <c r="L379" s="1003"/>
      <c r="M379" s="1010"/>
      <c r="N379" s="1011"/>
      <c r="P379" s="11"/>
      <c r="Q379" s="1010"/>
      <c r="R379" s="1010"/>
    </row>
    <row r="380" spans="2:18" ht="19.899999999999999" customHeight="1">
      <c r="B380" s="5" t="s">
        <v>273</v>
      </c>
      <c r="J380" s="970" t="e">
        <f>+ROUND(C382,2) &amp;" (T)"</f>
        <v>#REF!</v>
      </c>
    </row>
    <row r="381" spans="2:18" ht="19.899999999999999" customHeight="1">
      <c r="B381" s="2" t="s">
        <v>254</v>
      </c>
    </row>
    <row r="382" spans="2:18" ht="19.899999999999999" customHeight="1">
      <c r="B382" s="6" t="s">
        <v>78</v>
      </c>
      <c r="C382" s="100" t="e">
        <f>#REF!</f>
        <v>#REF!</v>
      </c>
      <c r="D382" s="2" t="s">
        <v>3</v>
      </c>
      <c r="E382" s="6"/>
      <c r="I382" s="4" t="e">
        <f>ROUND(I322,2)&amp;" (T)"</f>
        <v>#REF!</v>
      </c>
    </row>
    <row r="383" spans="2:18" ht="19.899999999999999" customHeight="1">
      <c r="B383" s="6" t="s">
        <v>79</v>
      </c>
      <c r="C383" s="2" t="e">
        <f>+#REF!</f>
        <v>#REF!</v>
      </c>
      <c r="D383" s="2" t="s">
        <v>3</v>
      </c>
      <c r="E383" s="6"/>
      <c r="J383" s="1558">
        <f>K323</f>
        <v>250</v>
      </c>
    </row>
    <row r="384" spans="2:18" ht="19.899999999999999" customHeight="1">
      <c r="B384" s="2" t="s">
        <v>256</v>
      </c>
      <c r="E384" s="6"/>
      <c r="J384" s="1558"/>
    </row>
    <row r="385" spans="2:10" ht="19.899999999999999" customHeight="1">
      <c r="B385" s="6" t="s">
        <v>67</v>
      </c>
      <c r="C385" s="994" t="e">
        <f>+C383*F324/100</f>
        <v>#REF!</v>
      </c>
      <c r="D385" s="2" t="s">
        <v>4</v>
      </c>
      <c r="E385" s="6"/>
      <c r="J385" s="1558"/>
    </row>
    <row r="386" spans="2:10" ht="19.899999999999999" customHeight="1">
      <c r="B386" s="2" t="s">
        <v>274</v>
      </c>
      <c r="J386" s="1558"/>
    </row>
    <row r="387" spans="2:10" ht="19.899999999999999" customHeight="1">
      <c r="C387" s="6" t="s">
        <v>95</v>
      </c>
      <c r="D387" s="981" t="e">
        <f>+C385/C382*100</f>
        <v>#REF!</v>
      </c>
      <c r="E387" s="2" t="s">
        <v>18</v>
      </c>
      <c r="F387" s="3" t="s">
        <v>96</v>
      </c>
      <c r="J387" s="1558"/>
    </row>
    <row r="388" spans="2:10" ht="19.899999999999999" customHeight="1">
      <c r="C388" s="6" t="s">
        <v>97</v>
      </c>
      <c r="D388" s="2">
        <f>0.5*F323-F325</f>
        <v>27.5</v>
      </c>
      <c r="E388" s="2" t="s">
        <v>18</v>
      </c>
    </row>
    <row r="389" spans="2:10" ht="19.899999999999999" customHeight="1">
      <c r="C389" s="974" t="s">
        <v>65</v>
      </c>
      <c r="D389" s="2" t="e">
        <f>+IF(D387&lt;=D388,"eo &lt; 0.5h-a  Lệch tâm bé","eo &gt; ho-a  Lệch tâm lớn")</f>
        <v>#REF!</v>
      </c>
      <c r="J389" s="4" t="s">
        <v>546</v>
      </c>
    </row>
    <row r="390" spans="2:10" ht="19.899999999999999" customHeight="1">
      <c r="B390" s="429" t="s">
        <v>275</v>
      </c>
    </row>
    <row r="391" spans="2:10" ht="19.899999999999999" customHeight="1">
      <c r="B391" s="429"/>
      <c r="C391" s="6" t="s">
        <v>98</v>
      </c>
      <c r="D391" s="981" t="e">
        <f>0.5*F323-D387-F325</f>
        <v>#REF!</v>
      </c>
      <c r="E391" s="2" t="s">
        <v>18</v>
      </c>
      <c r="F391" s="2" t="s">
        <v>105</v>
      </c>
    </row>
    <row r="392" spans="2:10" ht="19.899999999999999" customHeight="1">
      <c r="B392" s="429"/>
      <c r="C392" s="6" t="s">
        <v>99</v>
      </c>
      <c r="D392" s="981" t="e">
        <f>0.5*F323+D387-F325</f>
        <v>#REF!</v>
      </c>
      <c r="E392" s="2" t="s">
        <v>18</v>
      </c>
      <c r="F392" s="2" t="s">
        <v>106</v>
      </c>
    </row>
    <row r="393" spans="2:10" ht="19.899999999999999" customHeight="1">
      <c r="B393" s="2" t="s">
        <v>272</v>
      </c>
      <c r="D393" s="2" t="str">
        <f>+D365</f>
        <v>AIII</v>
      </c>
      <c r="E393" s="100"/>
    </row>
    <row r="394" spans="2:10" ht="19.899999999999999" customHeight="1">
      <c r="B394" s="2" t="s">
        <v>237</v>
      </c>
      <c r="D394" s="2">
        <f>IF(D393="AI",2250,IF(D393="AII",2800,IF(D393="AIII",3650,"Nhoùm coát theùp")))</f>
        <v>3650</v>
      </c>
      <c r="E394" s="100" t="s">
        <v>66</v>
      </c>
    </row>
    <row r="395" spans="2:10" ht="19.899999999999999" customHeight="1">
      <c r="B395" s="429"/>
      <c r="C395" s="1551" t="s">
        <v>100</v>
      </c>
      <c r="D395" s="854" t="s">
        <v>101</v>
      </c>
      <c r="E395" s="1552" t="s">
        <v>6</v>
      </c>
      <c r="F395" s="1553" t="e">
        <f>+C382*1000*D391/(D394*(F326-F325))</f>
        <v>#REF!</v>
      </c>
      <c r="G395" s="1554" t="s">
        <v>20</v>
      </c>
      <c r="H395" s="1554"/>
    </row>
    <row r="396" spans="2:10" ht="19.899999999999999" customHeight="1">
      <c r="C396" s="1551"/>
      <c r="D396" s="4" t="s">
        <v>94</v>
      </c>
      <c r="E396" s="1552"/>
      <c r="F396" s="1553"/>
      <c r="G396" s="1554"/>
      <c r="H396" s="1554"/>
    </row>
    <row r="397" spans="2:10" ht="19.899999999999999" customHeight="1">
      <c r="C397" s="1551" t="s">
        <v>102</v>
      </c>
      <c r="D397" s="854" t="s">
        <v>103</v>
      </c>
      <c r="E397" s="1552" t="s">
        <v>6</v>
      </c>
      <c r="F397" s="1553" t="e">
        <f>+C382*1000*D392/(D394*(F326-F325))*1.05</f>
        <v>#REF!</v>
      </c>
      <c r="G397" s="1554" t="s">
        <v>20</v>
      </c>
      <c r="H397" s="448"/>
    </row>
    <row r="398" spans="2:10" ht="19.899999999999999" customHeight="1">
      <c r="C398" s="1551"/>
      <c r="D398" s="4" t="s">
        <v>104</v>
      </c>
      <c r="E398" s="1552"/>
      <c r="F398" s="1553"/>
      <c r="G398" s="1554"/>
      <c r="H398" s="448"/>
    </row>
    <row r="399" spans="2:10" ht="19.899999999999999" customHeight="1">
      <c r="B399" s="1029" t="s">
        <v>278</v>
      </c>
      <c r="C399" s="1030"/>
      <c r="D399" s="1031"/>
      <c r="E399" s="1032"/>
      <c r="F399" s="1032"/>
      <c r="G399" s="1033"/>
      <c r="H399" s="1033"/>
    </row>
    <row r="400" spans="2:10" ht="19.899999999999999" customHeight="1">
      <c r="B400" s="1029"/>
      <c r="C400" s="1030" t="s">
        <v>98</v>
      </c>
      <c r="D400" s="1034" t="e">
        <f>+D387-0.5*F323+F325</f>
        <v>#REF!</v>
      </c>
      <c r="E400" s="1033" t="s">
        <v>18</v>
      </c>
      <c r="F400" s="1035" t="s">
        <v>107</v>
      </c>
      <c r="G400" s="1033"/>
      <c r="H400" s="1033"/>
    </row>
    <row r="401" spans="1:22" ht="19.899999999999999" customHeight="1">
      <c r="B401" s="1035"/>
      <c r="C401" s="1036" t="s">
        <v>99</v>
      </c>
      <c r="D401" s="1037" t="e">
        <f>+D387+0.5*F326-F325</f>
        <v>#REF!</v>
      </c>
      <c r="E401" s="1033" t="s">
        <v>18</v>
      </c>
      <c r="F401" s="1035" t="s">
        <v>109</v>
      </c>
      <c r="G401" s="1035"/>
      <c r="H401" s="1033"/>
    </row>
    <row r="402" spans="1:22" ht="19.899999999999999" customHeight="1">
      <c r="B402" s="1035" t="s">
        <v>272</v>
      </c>
      <c r="C402" s="1035"/>
      <c r="D402" s="1035" t="str">
        <f>+D294</f>
        <v>AIII</v>
      </c>
      <c r="E402" s="1035"/>
      <c r="F402" s="1035"/>
      <c r="G402" s="1035"/>
      <c r="H402" s="1033"/>
    </row>
    <row r="403" spans="1:22" ht="19.899999999999999" customHeight="1">
      <c r="B403" s="1035" t="s">
        <v>237</v>
      </c>
      <c r="C403" s="1035"/>
      <c r="D403" s="2">
        <f>IF(D402="AI",2250,IF(D402="AII",2800,IF(D402="AIII",3650,"Nhoùm coát theùp")))</f>
        <v>3650</v>
      </c>
      <c r="E403" s="1038" t="s">
        <v>66</v>
      </c>
      <c r="F403" s="1035"/>
      <c r="G403" s="1035"/>
      <c r="H403" s="1033"/>
    </row>
    <row r="404" spans="1:22" ht="19.899999999999999" customHeight="1">
      <c r="B404" s="1035"/>
      <c r="C404" s="1555" t="s">
        <v>108</v>
      </c>
      <c r="D404" s="1039" t="s">
        <v>103</v>
      </c>
      <c r="E404" s="1555" t="s">
        <v>6</v>
      </c>
      <c r="F404" s="1556" t="e">
        <f>+C382*1000*D401/(D403*(F326-F325))</f>
        <v>#REF!</v>
      </c>
      <c r="G404" s="1555" t="s">
        <v>20</v>
      </c>
      <c r="H404" s="1033"/>
    </row>
    <row r="405" spans="1:22" ht="19.899999999999999" customHeight="1">
      <c r="B405" s="1035"/>
      <c r="C405" s="1555"/>
      <c r="D405" s="1031" t="s">
        <v>110</v>
      </c>
      <c r="E405" s="1555"/>
      <c r="F405" s="1557"/>
      <c r="G405" s="1555"/>
      <c r="H405" s="1033"/>
    </row>
    <row r="406" spans="1:22" ht="19.899999999999999" customHeight="1">
      <c r="B406" s="2" t="s">
        <v>251</v>
      </c>
      <c r="C406" s="8" t="str">
        <f>"08"&amp;"Ø"&amp;20&amp;D402</f>
        <v>08Ø20AIII</v>
      </c>
      <c r="D406" s="903" t="s">
        <v>547</v>
      </c>
      <c r="E406" s="9" t="str">
        <f>+ROUND(LEFT(C406,2)*VLOOKUP(VALUE(MID(C406,4,2)),$P$21:$S$41,4,0),2)&amp;"  cm²"</f>
        <v>25.12  cm²</v>
      </c>
    </row>
    <row r="407" spans="1:22" ht="19.899999999999999" customHeight="1">
      <c r="A407" s="971" t="s">
        <v>516</v>
      </c>
    </row>
    <row r="408" spans="1:22" ht="19.899999999999999" customHeight="1">
      <c r="B408" s="2" t="s">
        <v>276</v>
      </c>
      <c r="C408" s="100" t="e">
        <f>+C323</f>
        <v>#REF!</v>
      </c>
      <c r="D408" s="2" t="s">
        <v>3</v>
      </c>
    </row>
    <row r="409" spans="1:22" ht="19.899999999999999" customHeight="1">
      <c r="B409" s="2" t="s">
        <v>277</v>
      </c>
    </row>
    <row r="410" spans="1:22" ht="19.899999999999999" customHeight="1">
      <c r="B410" s="6" t="s">
        <v>210</v>
      </c>
      <c r="C410" s="100">
        <f>0.6*E190*F322*F326/1000</f>
        <v>19.6875</v>
      </c>
      <c r="D410" s="2" t="s">
        <v>3</v>
      </c>
    </row>
    <row r="411" spans="1:22" ht="19.899999999999999" customHeight="1">
      <c r="B411" s="974" t="s">
        <v>65</v>
      </c>
      <c r="C411" s="2" t="e">
        <f>+IF(C410&gt;C408, "Qc &gt; Q  ==&gt; Bêtông đủ khả năng chịu cắt","Qc &lt; Q ==&gt; Tính cốt đai")</f>
        <v>#REF!</v>
      </c>
    </row>
    <row r="412" spans="1:22" ht="19.899999999999999" customHeight="1">
      <c r="C412" s="2" t="e">
        <f>+IF(C410&gt;C408," Chỉ đặt cốt đai theo cấu tạo","Tính cột đai")</f>
        <v>#REF!</v>
      </c>
    </row>
    <row r="414" spans="1:22" ht="19.899999999999999" customHeight="1">
      <c r="I414" s="437"/>
    </row>
    <row r="415" spans="1:22" ht="19.899999999999999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7"/>
      <c r="L415" s="25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1:22" ht="19.899999999999999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7"/>
      <c r="L416" s="25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1:22" ht="19.899999999999999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7"/>
      <c r="L417" s="25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1:22" ht="19.899999999999999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7"/>
      <c r="L418" s="25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1:22" ht="19.899999999999999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7"/>
      <c r="L419" s="25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1:22" ht="19.899999999999999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7"/>
      <c r="L420" s="25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1:22" ht="19.899999999999999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7"/>
      <c r="L421" s="25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1:22" ht="19.899999999999999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7"/>
      <c r="L422" s="25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1:22" ht="19.899999999999999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7"/>
      <c r="L423" s="25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1:22" ht="19.899999999999999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7"/>
      <c r="L424" s="25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1:22" ht="19.899999999999999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7"/>
      <c r="L425" s="25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1:22" ht="19.899999999999999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7"/>
      <c r="L426" s="25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1:22" ht="19.899999999999999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7"/>
      <c r="L427" s="25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1:22" ht="19.899999999999999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7"/>
      <c r="L428" s="25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1:22" ht="19.899999999999999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7"/>
      <c r="L429" s="25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1:22" ht="19.899999999999999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7"/>
      <c r="L430" s="25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1:22" ht="19.899999999999999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7"/>
      <c r="L431" s="25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1:22" ht="19.899999999999999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7"/>
      <c r="L432" s="25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1:22" ht="19.899999999999999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7"/>
      <c r="L433" s="25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1:22" ht="19.899999999999999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7"/>
      <c r="L434" s="25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1:22" ht="19.899999999999999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7"/>
      <c r="L435" s="25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1:22" ht="19.899999999999999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7"/>
      <c r="L436" s="25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1:22" ht="19.899999999999999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7"/>
      <c r="L437" s="25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1:22" ht="19.899999999999999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7"/>
      <c r="L438" s="25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1:22" ht="19.899999999999999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7"/>
      <c r="L439" s="25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1:22" ht="19.899999999999999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7"/>
      <c r="L440" s="25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1:22" ht="19.899999999999999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7"/>
      <c r="L441" s="25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1:22" ht="19.899999999999999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7"/>
      <c r="L442" s="25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1:22" ht="19.899999999999999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7"/>
      <c r="L443" s="25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1:22" ht="19.899999999999999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7"/>
      <c r="L444" s="25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1:22" ht="19.899999999999999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7"/>
      <c r="L445" s="25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1:22" ht="19.899999999999999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7"/>
      <c r="L446" s="25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1:22" ht="19.899999999999999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7"/>
      <c r="L447" s="25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1:22" ht="19.899999999999999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7"/>
      <c r="L448" s="25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1:41" ht="19.899999999999999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7"/>
      <c r="L449" s="25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1:41" ht="19.899999999999999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7"/>
      <c r="L450" s="25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1:41" ht="19.899999999999999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7"/>
      <c r="L451" s="25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1:41" ht="19.899999999999999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7"/>
      <c r="L452" s="25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1:41" ht="19.899999999999999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7"/>
      <c r="L453" s="25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1:41" ht="19.899999999999999" customHeight="1" thickBo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7"/>
      <c r="L454" s="25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1:41" ht="19.899999999999999" customHeight="1" thickBo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7"/>
      <c r="M455" s="62"/>
      <c r="N455" s="1040"/>
      <c r="O455" s="41"/>
      <c r="P455" s="41"/>
      <c r="Q455" s="41"/>
      <c r="R455" s="41"/>
      <c r="S455" s="41"/>
      <c r="T455" s="41"/>
      <c r="U455" s="41"/>
      <c r="V455" s="41"/>
      <c r="W455" s="1041" t="s">
        <v>422</v>
      </c>
      <c r="X455" s="1041" t="s">
        <v>423</v>
      </c>
      <c r="Y455" s="1042" t="s">
        <v>303</v>
      </c>
      <c r="Z455" s="1042" t="s">
        <v>424</v>
      </c>
      <c r="AA455" s="1534" t="s">
        <v>425</v>
      </c>
      <c r="AB455" s="1535"/>
      <c r="AC455" s="1536"/>
      <c r="AD455" s="63"/>
      <c r="AE455" s="41"/>
      <c r="AF455" s="41"/>
      <c r="AG455" s="64"/>
      <c r="AH455" s="17"/>
      <c r="AI455" s="13"/>
      <c r="AJ455" s="13"/>
      <c r="AK455" s="13"/>
      <c r="AL455" s="13"/>
      <c r="AM455" s="13"/>
      <c r="AN455" s="13"/>
      <c r="AO455" s="13"/>
    </row>
    <row r="456" spans="1:41" ht="19.899999999999999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7"/>
      <c r="M456" s="65"/>
      <c r="N456" s="1043"/>
      <c r="O456" s="17"/>
      <c r="P456" s="1044"/>
      <c r="Q456" s="17"/>
      <c r="R456" s="17"/>
      <c r="S456" s="1045" t="s">
        <v>436</v>
      </c>
      <c r="T456" s="1046"/>
      <c r="U456" s="17"/>
      <c r="V456" s="17"/>
      <c r="W456" s="1047"/>
      <c r="X456" s="1047"/>
      <c r="Y456" s="1048"/>
      <c r="Z456" s="1049"/>
      <c r="AA456" s="1049" t="s">
        <v>426</v>
      </c>
      <c r="AB456" s="1049" t="s">
        <v>427</v>
      </c>
      <c r="AC456" s="1049" t="s">
        <v>428</v>
      </c>
      <c r="AE456" s="17"/>
      <c r="AF456" s="17"/>
      <c r="AG456" s="31"/>
      <c r="AH456" s="17"/>
      <c r="AI456" s="13"/>
      <c r="AJ456" s="13"/>
      <c r="AK456" s="13"/>
      <c r="AL456" s="13"/>
      <c r="AM456" s="13"/>
      <c r="AN456" s="13"/>
      <c r="AO456" s="13"/>
    </row>
    <row r="457" spans="1:41" ht="19.899999999999999" customHeight="1" thickBo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7"/>
      <c r="M457" s="65"/>
      <c r="N457" s="1043" t="s">
        <v>301</v>
      </c>
      <c r="O457" s="17"/>
      <c r="P457" s="1050" t="str">
        <f>+O459&amp;" - "&amp;O460&amp;" x "&amp;Q460</f>
        <v>4 - 10 x 12</v>
      </c>
      <c r="Q457" s="17"/>
      <c r="R457" s="1051"/>
      <c r="S457" s="1052">
        <f>+D236</f>
        <v>200</v>
      </c>
      <c r="T457" s="1053">
        <f>+D264</f>
        <v>200</v>
      </c>
      <c r="U457" s="17"/>
      <c r="V457" s="17"/>
      <c r="W457" s="1047">
        <v>160</v>
      </c>
      <c r="X457" s="1047">
        <v>140</v>
      </c>
      <c r="Y457" s="1054" t="s">
        <v>429</v>
      </c>
      <c r="Z457" s="1055">
        <v>21.43</v>
      </c>
      <c r="AA457" s="1055">
        <f t="shared" ref="AA457:AA463" si="23">Z457*8</f>
        <v>171.44</v>
      </c>
      <c r="AB457" s="1055">
        <f>+AA457*2</f>
        <v>342.88</v>
      </c>
      <c r="AC457" s="1055">
        <f>AA457*3</f>
        <v>514.31999999999994</v>
      </c>
      <c r="AE457" s="17"/>
      <c r="AF457" s="17"/>
      <c r="AG457" s="31"/>
      <c r="AH457" s="17"/>
      <c r="AI457" s="13"/>
      <c r="AJ457" s="13"/>
      <c r="AK457" s="13"/>
      <c r="AL457" s="13"/>
      <c r="AM457" s="13"/>
      <c r="AN457" s="13"/>
      <c r="AO457" s="13"/>
    </row>
    <row r="458" spans="1:41" ht="19.899999999999999" customHeight="1" thickBo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7"/>
      <c r="M458" s="65"/>
      <c r="N458" s="17"/>
      <c r="O458" s="17"/>
      <c r="P458" s="17"/>
      <c r="Q458" s="17"/>
      <c r="R458" s="17"/>
      <c r="S458" s="17"/>
      <c r="T458" s="17"/>
      <c r="U458" s="17"/>
      <c r="V458" s="17"/>
      <c r="W458" s="1047"/>
      <c r="X458" s="1047"/>
      <c r="Y458" s="1054" t="s">
        <v>430</v>
      </c>
      <c r="Z458" s="1055">
        <v>21.65</v>
      </c>
      <c r="AA458" s="1055">
        <f>Z458*4</f>
        <v>86.6</v>
      </c>
      <c r="AB458" s="1055">
        <f t="shared" ref="AB458:AB467" si="24">+AA458*2</f>
        <v>173.2</v>
      </c>
      <c r="AC458" s="1055">
        <f t="shared" ref="AC458:AC467" si="25">AA458*3</f>
        <v>259.79999999999995</v>
      </c>
      <c r="AE458" s="17"/>
      <c r="AF458" s="17"/>
      <c r="AG458" s="31"/>
      <c r="AH458" s="17"/>
      <c r="AI458" s="13"/>
      <c r="AJ458" s="13"/>
      <c r="AK458" s="13"/>
      <c r="AL458" s="13"/>
      <c r="AM458" s="13"/>
      <c r="AN458" s="13"/>
      <c r="AO458" s="13"/>
    </row>
    <row r="459" spans="1:41" ht="19.899999999999999" customHeight="1" thickBo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7"/>
      <c r="M459" s="65"/>
      <c r="N459" s="1537" t="s">
        <v>302</v>
      </c>
      <c r="O459" s="1056">
        <f>+K7</f>
        <v>4</v>
      </c>
      <c r="P459" s="1057" t="s">
        <v>35</v>
      </c>
      <c r="Q459" s="1058">
        <f>+O459</f>
        <v>4</v>
      </c>
      <c r="R459" s="64" t="s">
        <v>0</v>
      </c>
      <c r="S459" s="17"/>
      <c r="T459" s="30" t="s">
        <v>303</v>
      </c>
      <c r="U459" s="30" t="s">
        <v>304</v>
      </c>
      <c r="V459" s="17"/>
      <c r="W459" s="1047">
        <v>180</v>
      </c>
      <c r="X459" s="1047">
        <v>160</v>
      </c>
      <c r="Y459" s="1054" t="s">
        <v>431</v>
      </c>
      <c r="Z459" s="1055">
        <v>30.44</v>
      </c>
      <c r="AA459" s="1055">
        <f t="shared" si="23"/>
        <v>243.52</v>
      </c>
      <c r="AB459" s="1055">
        <f t="shared" si="24"/>
        <v>487.04</v>
      </c>
      <c r="AC459" s="1055">
        <f t="shared" si="25"/>
        <v>730.56000000000006</v>
      </c>
      <c r="AE459" s="17"/>
      <c r="AF459" s="17"/>
      <c r="AG459" s="66"/>
      <c r="AH459" s="17"/>
      <c r="AI459" s="13"/>
      <c r="AJ459" s="13"/>
      <c r="AK459" s="13"/>
      <c r="AL459" s="13"/>
      <c r="AM459" s="13"/>
      <c r="AN459" s="13"/>
      <c r="AO459" s="13"/>
    </row>
    <row r="460" spans="1:41" ht="19.899999999999999" customHeight="1" thickBo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7"/>
      <c r="M460" s="65"/>
      <c r="N460" s="1538"/>
      <c r="O460" s="1056">
        <f>+K10</f>
        <v>10</v>
      </c>
      <c r="P460" s="1057" t="s">
        <v>35</v>
      </c>
      <c r="Q460" s="1059">
        <f>+K11</f>
        <v>12</v>
      </c>
      <c r="R460" s="31" t="s">
        <v>0</v>
      </c>
      <c r="S460" s="17"/>
      <c r="T460" s="1051" t="s">
        <v>420</v>
      </c>
      <c r="U460" s="1060">
        <f>+SUMIF(Y457:Y467,T460,AA457:AA467)</f>
        <v>356.16</v>
      </c>
      <c r="V460" s="17"/>
      <c r="W460" s="1047"/>
      <c r="X460" s="1047"/>
      <c r="Y460" s="1054" t="s">
        <v>432</v>
      </c>
      <c r="Z460" s="1055">
        <v>30.55</v>
      </c>
      <c r="AA460" s="1055">
        <f>Z460*4</f>
        <v>122.2</v>
      </c>
      <c r="AB460" s="1055">
        <f t="shared" si="24"/>
        <v>244.4</v>
      </c>
      <c r="AC460" s="1055">
        <f t="shared" si="25"/>
        <v>366.6</v>
      </c>
      <c r="AD460" s="17"/>
      <c r="AE460" s="17"/>
      <c r="AF460" s="17"/>
      <c r="AG460" s="67"/>
      <c r="AH460" s="17"/>
      <c r="AI460" s="13"/>
      <c r="AJ460" s="13"/>
      <c r="AK460" s="13"/>
      <c r="AL460" s="13"/>
      <c r="AM460" s="13"/>
      <c r="AN460" s="13"/>
      <c r="AO460" s="13"/>
    </row>
    <row r="461" spans="1:41" ht="19.899999999999999" customHeight="1" thickBo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7"/>
      <c r="M461" s="65"/>
      <c r="N461" s="1539"/>
      <c r="O461" s="1056">
        <f>+K20</f>
        <v>1</v>
      </c>
      <c r="P461" s="1057" t="s">
        <v>35</v>
      </c>
      <c r="Q461" s="1061">
        <f>+O461</f>
        <v>1</v>
      </c>
      <c r="R461" s="1062" t="s">
        <v>0</v>
      </c>
      <c r="S461" s="1063" t="s">
        <v>305</v>
      </c>
      <c r="T461" s="1063" t="s">
        <v>306</v>
      </c>
      <c r="U461" s="17"/>
      <c r="V461" s="17"/>
      <c r="W461" s="1047">
        <v>200</v>
      </c>
      <c r="X461" s="1047">
        <v>180</v>
      </c>
      <c r="Y461" s="1054" t="s">
        <v>420</v>
      </c>
      <c r="Z461" s="1055">
        <v>44.52</v>
      </c>
      <c r="AA461" s="1055">
        <f t="shared" si="23"/>
        <v>356.16</v>
      </c>
      <c r="AB461" s="1055">
        <f t="shared" si="24"/>
        <v>712.32</v>
      </c>
      <c r="AC461" s="1055">
        <f t="shared" si="25"/>
        <v>1068.48</v>
      </c>
      <c r="AD461" s="17"/>
      <c r="AE461" s="17"/>
      <c r="AF461" s="17"/>
      <c r="AG461" s="68"/>
      <c r="AH461" s="17"/>
      <c r="AI461" s="23"/>
      <c r="AJ461" s="24"/>
      <c r="AK461" s="24"/>
      <c r="AL461" s="24"/>
      <c r="AM461" s="24"/>
      <c r="AN461" s="13"/>
      <c r="AO461" s="13"/>
    </row>
    <row r="462" spans="1:41" ht="19.899999999999999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7"/>
      <c r="M462" s="65"/>
      <c r="N462" s="1064" t="s">
        <v>307</v>
      </c>
      <c r="O462" s="1065">
        <f>+K19</f>
        <v>0.35</v>
      </c>
      <c r="P462" s="1066" t="s">
        <v>0</v>
      </c>
      <c r="Q462" s="1067" t="s">
        <v>308</v>
      </c>
      <c r="R462" s="1068"/>
      <c r="S462" s="1069" t="s">
        <v>309</v>
      </c>
      <c r="T462" s="1070" t="s">
        <v>310</v>
      </c>
      <c r="U462" s="17"/>
      <c r="V462" s="17"/>
      <c r="W462" s="1047"/>
      <c r="X462" s="1047"/>
      <c r="Y462" s="1054" t="s">
        <v>433</v>
      </c>
      <c r="Z462" s="1055">
        <v>44.63</v>
      </c>
      <c r="AA462" s="1055">
        <f>Z462*4</f>
        <v>178.52</v>
      </c>
      <c r="AB462" s="1055">
        <f t="shared" si="24"/>
        <v>357.04</v>
      </c>
      <c r="AC462" s="1055">
        <f>AA462*3</f>
        <v>535.56000000000006</v>
      </c>
      <c r="AD462" s="17"/>
      <c r="AE462" s="17"/>
      <c r="AF462" s="17"/>
      <c r="AG462" s="31"/>
      <c r="AH462" s="17"/>
      <c r="AI462" s="13"/>
      <c r="AJ462" s="13"/>
      <c r="AK462" s="13"/>
      <c r="AL462" s="13"/>
      <c r="AM462" s="13"/>
      <c r="AN462" s="13"/>
      <c r="AO462" s="13"/>
    </row>
    <row r="463" spans="1:41" ht="19.899999999999999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7"/>
      <c r="M463" s="65"/>
      <c r="N463" s="1071" t="s">
        <v>311</v>
      </c>
      <c r="O463" s="1072">
        <f>+K17</f>
        <v>1</v>
      </c>
      <c r="P463" s="1073" t="s">
        <v>0</v>
      </c>
      <c r="Q463" s="16" t="s">
        <v>312</v>
      </c>
      <c r="R463" s="1074" t="s">
        <v>313</v>
      </c>
      <c r="S463" s="1074">
        <f>+IF(S457&lt;=85,S457*3/1000,IF(S457&lt;=125,S457*2/1000,S457/1000))</f>
        <v>0.2</v>
      </c>
      <c r="T463" s="1074">
        <f>+IF(T457&lt;=85,T457*3/1000,IF(T457&lt;=125,T457*2/1000,T457/1000))</f>
        <v>0.2</v>
      </c>
      <c r="U463" s="25" t="s">
        <v>0</v>
      </c>
      <c r="V463" s="17"/>
      <c r="W463" s="1047"/>
      <c r="X463" s="1047"/>
      <c r="Y463" s="1054" t="s">
        <v>434</v>
      </c>
      <c r="Z463" s="1055">
        <v>63.15</v>
      </c>
      <c r="AA463" s="1055">
        <f t="shared" si="23"/>
        <v>505.2</v>
      </c>
      <c r="AB463" s="1055">
        <f t="shared" si="24"/>
        <v>1010.4</v>
      </c>
      <c r="AC463" s="1055">
        <f t="shared" si="25"/>
        <v>1515.6</v>
      </c>
      <c r="AD463" s="17"/>
      <c r="AE463" s="17"/>
      <c r="AF463" s="17"/>
      <c r="AG463" s="31"/>
      <c r="AH463" s="17"/>
      <c r="AI463" s="13"/>
      <c r="AJ463" s="13"/>
      <c r="AK463" s="13"/>
      <c r="AL463" s="13"/>
      <c r="AM463" s="13"/>
      <c r="AN463" s="13"/>
      <c r="AO463" s="13"/>
    </row>
    <row r="464" spans="1:41" ht="19.899999999999999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7"/>
      <c r="M464" s="65"/>
      <c r="N464" s="1071" t="s">
        <v>314</v>
      </c>
      <c r="O464" s="1072">
        <f>+K14</f>
        <v>3.5</v>
      </c>
      <c r="P464" s="1073" t="s">
        <v>0</v>
      </c>
      <c r="Q464" s="16"/>
      <c r="R464" s="1074" t="s">
        <v>315</v>
      </c>
      <c r="S464" s="1074">
        <f>+S463</f>
        <v>0.2</v>
      </c>
      <c r="T464" s="32">
        <f>+T463</f>
        <v>0.2</v>
      </c>
      <c r="U464" s="25" t="s">
        <v>0</v>
      </c>
      <c r="V464" s="17"/>
      <c r="W464" s="1047">
        <v>200</v>
      </c>
      <c r="X464" s="1047">
        <v>180</v>
      </c>
      <c r="Y464" s="1054">
        <v>56</v>
      </c>
      <c r="Z464" s="1055">
        <v>31.12</v>
      </c>
      <c r="AA464" s="1055">
        <f>Z464*16</f>
        <v>497.92</v>
      </c>
      <c r="AB464" s="1055">
        <f t="shared" si="24"/>
        <v>995.84</v>
      </c>
      <c r="AC464" s="1055">
        <f t="shared" si="25"/>
        <v>1493.76</v>
      </c>
      <c r="AD464" s="17"/>
      <c r="AE464" s="17"/>
      <c r="AF464" s="17"/>
      <c r="AG464" s="31"/>
      <c r="AH464" s="17"/>
      <c r="AI464" s="13"/>
      <c r="AJ464" s="13"/>
      <c r="AK464" s="13"/>
      <c r="AL464" s="13"/>
      <c r="AM464" s="13"/>
      <c r="AN464" s="13"/>
      <c r="AO464" s="13"/>
    </row>
    <row r="465" spans="1:41" ht="19.899999999999999" customHeight="1" thickBo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7"/>
      <c r="M465" s="65"/>
      <c r="N465" s="1071" t="s">
        <v>316</v>
      </c>
      <c r="O465" s="1072">
        <f>+K23</f>
        <v>0.7</v>
      </c>
      <c r="P465" s="1073" t="s">
        <v>0</v>
      </c>
      <c r="Q465" s="1075" t="s">
        <v>317</v>
      </c>
      <c r="R465" s="1076"/>
      <c r="S465" s="1077">
        <v>0</v>
      </c>
      <c r="T465" s="1078">
        <v>0</v>
      </c>
      <c r="U465" s="17"/>
      <c r="V465" s="17"/>
      <c r="W465" s="1047">
        <v>220</v>
      </c>
      <c r="X465" s="1047">
        <v>200</v>
      </c>
      <c r="Y465" s="1054">
        <v>64</v>
      </c>
      <c r="Z465" s="1055">
        <v>44.03</v>
      </c>
      <c r="AA465" s="1055">
        <f>Z465*16</f>
        <v>704.48</v>
      </c>
      <c r="AB465" s="1055">
        <f t="shared" si="24"/>
        <v>1408.96</v>
      </c>
      <c r="AC465" s="1055">
        <f t="shared" si="25"/>
        <v>2113.44</v>
      </c>
      <c r="AD465" s="17"/>
      <c r="AE465" s="17"/>
      <c r="AF465" s="17"/>
      <c r="AG465" s="31"/>
      <c r="AH465" s="17"/>
      <c r="AI465" s="13"/>
      <c r="AJ465" s="13"/>
      <c r="AK465" s="13"/>
      <c r="AL465" s="13"/>
      <c r="AM465" s="13"/>
      <c r="AN465" s="13"/>
      <c r="AO465" s="13"/>
    </row>
    <row r="466" spans="1:41" ht="19.899999999999999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7"/>
      <c r="M466" s="65"/>
      <c r="N466" s="1071" t="s">
        <v>318</v>
      </c>
      <c r="O466" s="1072">
        <f>+K16</f>
        <v>0.5</v>
      </c>
      <c r="P466" s="1073" t="s">
        <v>0</v>
      </c>
      <c r="Q466" s="1079" t="s">
        <v>319</v>
      </c>
      <c r="R466" s="19"/>
      <c r="S466" s="1080">
        <f>+IF(O466&lt;=1,IF(O466&lt;=0.8,IF(O466&lt;=0.6,IF(O466&lt;=0.5,IF(O466&lt;=0.4,IF(O466&lt;=0.35,0.115,0.14),0.19),0.25),0.335),0.435),"NO")</f>
        <v>0.19</v>
      </c>
      <c r="T466" s="17"/>
      <c r="U466" s="17"/>
      <c r="V466" s="17"/>
      <c r="W466" s="1047">
        <v>250</v>
      </c>
      <c r="X466" s="1047">
        <v>250</v>
      </c>
      <c r="Y466" s="1054">
        <v>72</v>
      </c>
      <c r="Z466" s="1055">
        <v>58.01</v>
      </c>
      <c r="AA466" s="1055">
        <f>Z466*16</f>
        <v>928.16</v>
      </c>
      <c r="AB466" s="1055">
        <f t="shared" si="24"/>
        <v>1856.32</v>
      </c>
      <c r="AC466" s="1055">
        <f t="shared" si="25"/>
        <v>2784.48</v>
      </c>
      <c r="AD466" s="17"/>
      <c r="AE466" s="17"/>
      <c r="AF466" s="17"/>
      <c r="AG466" s="31"/>
      <c r="AH466" s="17"/>
      <c r="AI466" s="13"/>
      <c r="AJ466" s="13"/>
      <c r="AK466" s="13"/>
      <c r="AL466" s="13"/>
      <c r="AM466" s="13"/>
      <c r="AN466" s="13"/>
      <c r="AO466" s="13"/>
    </row>
    <row r="467" spans="1:41" ht="19.899999999999999" customHeight="1" thickBo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7"/>
      <c r="M467" s="65"/>
      <c r="N467" s="1071" t="s">
        <v>320</v>
      </c>
      <c r="O467" s="1072">
        <f>+K21</f>
        <v>0.35</v>
      </c>
      <c r="P467" s="1073" t="s">
        <v>0</v>
      </c>
      <c r="Q467" s="1081" t="s">
        <v>321</v>
      </c>
      <c r="R467" s="1082"/>
      <c r="S467" s="1083">
        <f>+T467</f>
        <v>0</v>
      </c>
      <c r="T467" s="17">
        <f>+IF(OR(O463-O462=1,O463-O462=1.1,O463-O462=1.2),8,IF(OR(O463-O462=0.9,O463-O462=0.8,O463-O462=0.7,O463-O462=0.6),4,0))</f>
        <v>0</v>
      </c>
      <c r="U467" s="17" t="s">
        <v>322</v>
      </c>
      <c r="V467" s="17"/>
      <c r="W467" s="1084">
        <v>250</v>
      </c>
      <c r="X467" s="1084">
        <v>250</v>
      </c>
      <c r="Y467" s="1085">
        <v>80</v>
      </c>
      <c r="Z467" s="1086">
        <v>77.37</v>
      </c>
      <c r="AA467" s="1086">
        <f>Z467*16</f>
        <v>1237.92</v>
      </c>
      <c r="AB467" s="1086">
        <f t="shared" si="24"/>
        <v>2475.84</v>
      </c>
      <c r="AC467" s="1086">
        <f t="shared" si="25"/>
        <v>3713.76</v>
      </c>
      <c r="AD467" s="17"/>
      <c r="AE467" s="17"/>
      <c r="AF467" s="17"/>
      <c r="AG467" s="31"/>
      <c r="AH467" s="17"/>
      <c r="AI467" s="13"/>
      <c r="AJ467" s="14"/>
      <c r="AK467" s="14"/>
      <c r="AL467" s="13"/>
      <c r="AM467" s="13"/>
      <c r="AN467" s="13"/>
      <c r="AO467" s="13"/>
    </row>
    <row r="468" spans="1:41" ht="19.899999999999999" customHeight="1" thickBo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7"/>
      <c r="M468" s="65"/>
      <c r="N468" s="1087" t="s">
        <v>53</v>
      </c>
      <c r="O468" s="1088">
        <v>7.4999999999999997E-2</v>
      </c>
      <c r="P468" s="1089" t="s">
        <v>0</v>
      </c>
      <c r="Q468" s="1090" t="s">
        <v>323</v>
      </c>
      <c r="R468" s="1091">
        <v>0</v>
      </c>
      <c r="S468" s="1092">
        <f>+((ROUND(((Y478-W478)/2-2*O468-O466/2)/0.3-0.3,0)+1)*2+(ROUND((W478-O466-2*O468)/0.3-0.3,0)+1)+(ROUND(((X478-V478)/2-2*O468-O466/2)/0.3-0.3,0)+1)*2+(ROUND((V478-O466-2*O468)/0.3-0.3,0)+1))*2</f>
        <v>136</v>
      </c>
      <c r="T468" s="1093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31"/>
      <c r="AH468" s="17"/>
      <c r="AI468" s="13"/>
      <c r="AJ468" s="14"/>
      <c r="AK468" s="14"/>
      <c r="AL468" s="13"/>
      <c r="AM468" s="13"/>
      <c r="AN468" s="13"/>
      <c r="AO468" s="13"/>
    </row>
    <row r="469" spans="1:41" ht="19.899999999999999" customHeight="1" thickBo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7"/>
      <c r="M469" s="65"/>
      <c r="N469" s="17"/>
      <c r="O469" s="17"/>
      <c r="P469" s="17"/>
      <c r="Q469" s="1090" t="s">
        <v>324</v>
      </c>
      <c r="R469" s="1091" t="str">
        <f>+IF(O465=0.6,20,IF(O465=0.8,28,IF(O465=1,36,IF(O465=1.2,44,"kiem tra"))))</f>
        <v>kiem tra</v>
      </c>
      <c r="S469" s="1540" t="s">
        <v>325</v>
      </c>
      <c r="T469" s="1532"/>
      <c r="U469" s="1532"/>
      <c r="V469" s="1532"/>
      <c r="W469" s="1532"/>
      <c r="X469" s="1533"/>
      <c r="Y469" s="1540" t="s">
        <v>326</v>
      </c>
      <c r="Z469" s="1532"/>
      <c r="AA469" s="1532"/>
      <c r="AB469" s="1533"/>
      <c r="AC469" s="1540" t="s">
        <v>327</v>
      </c>
      <c r="AD469" s="1532"/>
      <c r="AE469" s="1532"/>
      <c r="AF469" s="1533"/>
      <c r="AG469" s="66"/>
      <c r="AH469" s="17"/>
      <c r="AI469" s="13"/>
      <c r="AJ469" s="14"/>
      <c r="AK469" s="14"/>
      <c r="AL469" s="13"/>
      <c r="AM469" s="13"/>
      <c r="AN469" s="13"/>
      <c r="AO469" s="13"/>
    </row>
    <row r="470" spans="1:41" ht="19.899999999999999" customHeight="1" thickBo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7"/>
      <c r="M470" s="65"/>
      <c r="N470" s="17"/>
      <c r="O470" s="17"/>
      <c r="P470" s="17"/>
      <c r="Q470" s="17"/>
      <c r="R470" s="17"/>
      <c r="S470" s="1541" t="s">
        <v>313</v>
      </c>
      <c r="T470" s="1542"/>
      <c r="U470" s="1543"/>
      <c r="V470" s="1544" t="s">
        <v>315</v>
      </c>
      <c r="W470" s="1542"/>
      <c r="X470" s="1543"/>
      <c r="Y470" s="1545" t="s">
        <v>313</v>
      </c>
      <c r="Z470" s="1546"/>
      <c r="AA470" s="1547" t="s">
        <v>435</v>
      </c>
      <c r="AB470" s="1548"/>
      <c r="AC470" s="1549" t="s">
        <v>313</v>
      </c>
      <c r="AD470" s="1550"/>
      <c r="AE470" s="1526" t="s">
        <v>435</v>
      </c>
      <c r="AF470" s="1527"/>
      <c r="AG470" s="31"/>
      <c r="AH470" s="17"/>
      <c r="AI470" s="13"/>
      <c r="AJ470" s="14"/>
      <c r="AK470" s="14"/>
      <c r="AL470" s="13"/>
      <c r="AM470" s="13"/>
      <c r="AN470" s="13"/>
      <c r="AO470" s="13"/>
    </row>
    <row r="471" spans="1:41" ht="19.899999999999999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7"/>
      <c r="M471" s="44" t="s">
        <v>328</v>
      </c>
      <c r="N471" s="1094" t="s">
        <v>329</v>
      </c>
      <c r="O471" s="1094" t="s">
        <v>330</v>
      </c>
      <c r="P471" s="1094" t="s">
        <v>331</v>
      </c>
      <c r="Q471" s="1094" t="s">
        <v>332</v>
      </c>
      <c r="R471" s="1095" t="s">
        <v>333</v>
      </c>
      <c r="S471" s="1096">
        <v>1</v>
      </c>
      <c r="T471" s="1097">
        <v>2</v>
      </c>
      <c r="U471" s="1098">
        <v>3</v>
      </c>
      <c r="V471" s="1096">
        <v>1</v>
      </c>
      <c r="W471" s="1097">
        <v>2</v>
      </c>
      <c r="X471" s="1098">
        <v>3</v>
      </c>
      <c r="Y471" s="1096" t="s">
        <v>334</v>
      </c>
      <c r="Z471" s="1098" t="s">
        <v>335</v>
      </c>
      <c r="AA471" s="1079" t="s">
        <v>336</v>
      </c>
      <c r="AB471" s="1098" t="s">
        <v>337</v>
      </c>
      <c r="AC471" s="1079" t="s">
        <v>338</v>
      </c>
      <c r="AD471" s="18" t="s">
        <v>339</v>
      </c>
      <c r="AE471" s="19" t="s">
        <v>338</v>
      </c>
      <c r="AF471" s="18" t="s">
        <v>339</v>
      </c>
      <c r="AG471" s="31"/>
      <c r="AH471" s="17"/>
      <c r="AI471" s="13"/>
      <c r="AJ471" s="14"/>
      <c r="AK471" s="14"/>
      <c r="AL471" s="13"/>
      <c r="AM471" s="13"/>
      <c r="AN471" s="13"/>
      <c r="AO471" s="13"/>
    </row>
    <row r="472" spans="1:41" ht="19.899999999999999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7"/>
      <c r="M472" s="45" t="s">
        <v>57</v>
      </c>
      <c r="N472" s="1099">
        <f>+VALUE(MID(C406,4,2))</f>
        <v>20</v>
      </c>
      <c r="O472" s="1099">
        <f>+VALUE(MID(C305,4,2))</f>
        <v>20</v>
      </c>
      <c r="P472" s="1099">
        <f>+O472</f>
        <v>20</v>
      </c>
      <c r="Q472" s="1099">
        <f>+O472</f>
        <v>20</v>
      </c>
      <c r="R472" s="1100">
        <f>+O472</f>
        <v>20</v>
      </c>
      <c r="S472" s="33">
        <f>+VALUE(LEFT(C236,2))</f>
        <v>12</v>
      </c>
      <c r="T472" s="1074">
        <f>+VALUE(LEFT(C264,2))</f>
        <v>12</v>
      </c>
      <c r="U472" s="32">
        <f>+T472</f>
        <v>12</v>
      </c>
      <c r="V472" s="33">
        <f>+S472</f>
        <v>12</v>
      </c>
      <c r="W472" s="1074">
        <f>+T472</f>
        <v>12</v>
      </c>
      <c r="X472" s="32">
        <f>+W472</f>
        <v>12</v>
      </c>
      <c r="Y472" s="33">
        <f>+S472</f>
        <v>12</v>
      </c>
      <c r="Z472" s="32">
        <f>+T472</f>
        <v>12</v>
      </c>
      <c r="AA472" s="1101">
        <f>+V472</f>
        <v>12</v>
      </c>
      <c r="AB472" s="32">
        <f>+W472</f>
        <v>12</v>
      </c>
      <c r="AC472" s="1101">
        <f>+Y472</f>
        <v>12</v>
      </c>
      <c r="AD472" s="1102">
        <f>+Z472</f>
        <v>12</v>
      </c>
      <c r="AE472" s="58">
        <f>+AA472</f>
        <v>12</v>
      </c>
      <c r="AF472" s="32">
        <f>+AB472</f>
        <v>12</v>
      </c>
      <c r="AG472" s="31"/>
      <c r="AH472" s="17"/>
      <c r="AI472" s="13"/>
      <c r="AJ472" s="14"/>
      <c r="AK472" s="14"/>
      <c r="AL472" s="13"/>
      <c r="AM472" s="13"/>
      <c r="AN472" s="13"/>
      <c r="AO472" s="13"/>
    </row>
    <row r="473" spans="1:41" ht="19.899999999999999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7"/>
      <c r="M473" s="46" t="s">
        <v>340</v>
      </c>
      <c r="N473" s="1103" t="str">
        <f>+LEFT(C406,2)</f>
        <v>08</v>
      </c>
      <c r="O473" s="1103" t="e">
        <f>+MAX(LEFT(#REF!,2),LEFT(C305,2))-P473</f>
        <v>#REF!</v>
      </c>
      <c r="P473" s="1104">
        <v>3</v>
      </c>
      <c r="Q473" s="1103" t="e">
        <f>+O473</f>
        <v>#REF!</v>
      </c>
      <c r="R473" s="1105">
        <f>+P473</f>
        <v>3</v>
      </c>
      <c r="S473" s="33">
        <f>+S463</f>
        <v>0.2</v>
      </c>
      <c r="T473" s="1074">
        <f>+T463</f>
        <v>0.2</v>
      </c>
      <c r="U473" s="32">
        <f>+T473</f>
        <v>0.2</v>
      </c>
      <c r="V473" s="33">
        <f>+S464</f>
        <v>0.2</v>
      </c>
      <c r="W473" s="1074">
        <f>+T464</f>
        <v>0.2</v>
      </c>
      <c r="X473" s="32">
        <f>+W473</f>
        <v>0.2</v>
      </c>
      <c r="Y473" s="1106"/>
      <c r="Z473" s="32"/>
      <c r="AA473" s="1107"/>
      <c r="AB473" s="32"/>
      <c r="AC473" s="1107"/>
      <c r="AD473" s="1102"/>
      <c r="AE473" s="34"/>
      <c r="AF473" s="32"/>
      <c r="AG473" s="31"/>
      <c r="AH473" s="17"/>
      <c r="AI473" s="13"/>
      <c r="AJ473" s="14"/>
      <c r="AK473" s="14"/>
      <c r="AL473" s="13"/>
      <c r="AM473" s="13"/>
      <c r="AN473" s="13"/>
      <c r="AO473" s="13"/>
    </row>
    <row r="474" spans="1:41" ht="19.899999999999999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7"/>
      <c r="M474" s="1528" t="s">
        <v>341</v>
      </c>
      <c r="N474" s="1108">
        <f>+N473*4-4</f>
        <v>28</v>
      </c>
      <c r="O474" s="1108" t="e">
        <f>+O473*2</f>
        <v>#REF!</v>
      </c>
      <c r="P474" s="1108">
        <f>+P473*2</f>
        <v>6</v>
      </c>
      <c r="Q474" s="1108" t="e">
        <f>+Q473*2</f>
        <v>#REF!</v>
      </c>
      <c r="R474" s="1109">
        <f>+R473*2</f>
        <v>6</v>
      </c>
      <c r="S474" s="33">
        <f>+ROUND(((O460-O459)/2-S466-O468)/S473,0)+1</f>
        <v>15</v>
      </c>
      <c r="T474" s="1074">
        <f>+ROUND(((O459-O461)/2-S466-O468)/T473,0)+1</f>
        <v>7</v>
      </c>
      <c r="U474" s="32">
        <f>+ROUND((O461+2*O468)/U473,0)-1</f>
        <v>5</v>
      </c>
      <c r="V474" s="33">
        <f>+ROUND(((Q460-Q459)/2-S466-O468)/V473,0)+1</f>
        <v>20</v>
      </c>
      <c r="W474" s="1074">
        <f>+ROUND(((Q459-Q461)/2-S466-O468)/W473,0)+1</f>
        <v>7</v>
      </c>
      <c r="X474" s="32">
        <f>+ROUND((Q461+2*O468)/X473,0)-1</f>
        <v>5</v>
      </c>
      <c r="Y474" s="1106">
        <f>+(S474-1)*2*S465</f>
        <v>0</v>
      </c>
      <c r="Z474" s="32">
        <f>+((U474+1)+(T474-1)*2)*T465</f>
        <v>0</v>
      </c>
      <c r="AA474" s="1107">
        <f>+(V474-1)*2*S465</f>
        <v>0</v>
      </c>
      <c r="AB474" s="35">
        <f>+((X474+1)+(W474-1)*2)*T465</f>
        <v>0</v>
      </c>
      <c r="AC474" s="1110">
        <f>+Y474</f>
        <v>0</v>
      </c>
      <c r="AD474" s="1111">
        <f>+((U474+1)+(T474-1)*2)*T465</f>
        <v>0</v>
      </c>
      <c r="AE474" s="36">
        <f>+AA474</f>
        <v>0</v>
      </c>
      <c r="AF474" s="35">
        <f>+((X474+1)+(W474-1)*2)*T465</f>
        <v>0</v>
      </c>
      <c r="AG474" s="31"/>
      <c r="AH474" s="17"/>
      <c r="AI474" s="25"/>
      <c r="AJ474" s="13"/>
      <c r="AK474" s="14"/>
      <c r="AL474" s="13"/>
      <c r="AM474" s="13"/>
      <c r="AN474" s="13"/>
      <c r="AO474" s="13"/>
    </row>
    <row r="475" spans="1:41" ht="19.899999999999999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7"/>
      <c r="M475" s="1529"/>
      <c r="N475" s="1112"/>
      <c r="O475" s="1113" t="s">
        <v>342</v>
      </c>
      <c r="P475" s="1114">
        <f>+ROUND(K28/2,1)+0.1</f>
        <v>2</v>
      </c>
      <c r="Q475" s="1112"/>
      <c r="R475" s="1115">
        <f>+ROUND(K26/2,1)+0.1</f>
        <v>1.5</v>
      </c>
      <c r="S475" s="1116">
        <f>+S474-1</f>
        <v>14</v>
      </c>
      <c r="T475" s="1112">
        <f>+T474-1</f>
        <v>6</v>
      </c>
      <c r="U475" s="1117"/>
      <c r="V475" s="1116">
        <f>+V474-1</f>
        <v>19</v>
      </c>
      <c r="W475" s="1112">
        <f>+W474-1</f>
        <v>6</v>
      </c>
      <c r="X475" s="1117"/>
      <c r="Y475" s="1118">
        <f t="shared" ref="Y475:AF475" si="26">+Y474</f>
        <v>0</v>
      </c>
      <c r="Z475" s="37">
        <f t="shared" si="26"/>
        <v>0</v>
      </c>
      <c r="AA475" s="1119">
        <f t="shared" si="26"/>
        <v>0</v>
      </c>
      <c r="AB475" s="37">
        <f t="shared" si="26"/>
        <v>0</v>
      </c>
      <c r="AC475" s="1119">
        <f t="shared" si="26"/>
        <v>0</v>
      </c>
      <c r="AD475" s="1120">
        <f t="shared" si="26"/>
        <v>0</v>
      </c>
      <c r="AE475" s="38">
        <f t="shared" si="26"/>
        <v>0</v>
      </c>
      <c r="AF475" s="37">
        <f t="shared" si="26"/>
        <v>0</v>
      </c>
      <c r="AG475" s="31"/>
      <c r="AH475" s="17"/>
      <c r="AI475" s="25"/>
      <c r="AJ475" s="13"/>
      <c r="AK475" s="14"/>
      <c r="AL475" s="13"/>
      <c r="AM475" s="13"/>
      <c r="AN475" s="13"/>
      <c r="AO475" s="13"/>
    </row>
    <row r="476" spans="1:41" ht="19.899999999999999" customHeight="1" thickBo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7"/>
      <c r="M476" s="47" t="s">
        <v>343</v>
      </c>
      <c r="N476" s="1121">
        <f>+O464-2*O468+0.25</f>
        <v>3.6</v>
      </c>
      <c r="O476" s="1121">
        <f>+Q460-2*O468</f>
        <v>11.85</v>
      </c>
      <c r="P476" s="1121">
        <f>+P475*2+O459</f>
        <v>8</v>
      </c>
      <c r="Q476" s="1121">
        <f>+O460-2*O468</f>
        <v>9.85</v>
      </c>
      <c r="R476" s="1122">
        <f>+R475*2+O459</f>
        <v>7</v>
      </c>
      <c r="S476" s="1123">
        <f>+O476</f>
        <v>11.85</v>
      </c>
      <c r="T476" s="1124">
        <f>+S476</f>
        <v>11.85</v>
      </c>
      <c r="U476" s="1125">
        <f>+(Q460/2-Q461/2-2*O468)</f>
        <v>5.35</v>
      </c>
      <c r="V476" s="1123">
        <f>+Q476</f>
        <v>9.85</v>
      </c>
      <c r="W476" s="1124">
        <f>+V476</f>
        <v>9.85</v>
      </c>
      <c r="X476" s="1125">
        <f>+(O460/2-O461/2-2*O468)</f>
        <v>4.3499999999999996</v>
      </c>
      <c r="Y476" s="1126"/>
      <c r="Z476" s="39"/>
      <c r="AA476" s="1126"/>
      <c r="AB476" s="39"/>
      <c r="AC476" s="1127"/>
      <c r="AD476" s="1128"/>
      <c r="AE476" s="40"/>
      <c r="AF476" s="39"/>
      <c r="AG476" s="31"/>
      <c r="AH476" s="17"/>
      <c r="AI476" s="13"/>
      <c r="AJ476" s="13"/>
      <c r="AK476" s="13"/>
      <c r="AL476" s="13"/>
      <c r="AM476" s="13"/>
      <c r="AN476" s="13"/>
      <c r="AO476" s="13"/>
    </row>
    <row r="477" spans="1:41" ht="19.899999999999999" customHeight="1" thickBo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7"/>
      <c r="M477" s="62"/>
      <c r="N477" s="41"/>
      <c r="O477" s="41"/>
      <c r="P477" s="41"/>
      <c r="Q477" s="41"/>
      <c r="R477" s="41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31"/>
      <c r="AH477" s="17"/>
      <c r="AI477" s="13"/>
      <c r="AJ477" s="13"/>
      <c r="AK477" s="13"/>
      <c r="AL477" s="13"/>
      <c r="AM477" s="13"/>
      <c r="AN477" s="13"/>
      <c r="AO477" s="13"/>
    </row>
    <row r="478" spans="1:41" ht="19.899999999999999" customHeight="1" thickBo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7"/>
      <c r="M478" s="48" t="s">
        <v>344</v>
      </c>
      <c r="N478" s="1129"/>
      <c r="O478" s="1129"/>
      <c r="P478" s="1129"/>
      <c r="Q478" s="1129"/>
      <c r="R478" s="1129"/>
      <c r="S478" s="1130"/>
      <c r="T478" s="17"/>
      <c r="U478" s="1131" t="s">
        <v>302</v>
      </c>
      <c r="V478" s="1132">
        <f>+O459</f>
        <v>4</v>
      </c>
      <c r="W478" s="1132">
        <f>+Q459</f>
        <v>4</v>
      </c>
      <c r="X478" s="1133">
        <f>+O460</f>
        <v>10</v>
      </c>
      <c r="Y478" s="1134">
        <f>+Q460</f>
        <v>12</v>
      </c>
      <c r="Z478" s="1135"/>
      <c r="AA478" s="1135"/>
      <c r="AB478" s="30"/>
      <c r="AC478" s="30"/>
      <c r="AD478" s="17"/>
      <c r="AE478" s="17"/>
      <c r="AF478" s="17"/>
      <c r="AG478" s="31"/>
      <c r="AH478" s="17"/>
      <c r="AI478" s="13"/>
      <c r="AJ478" s="14"/>
      <c r="AK478" s="14"/>
      <c r="AL478" s="13"/>
      <c r="AM478" s="13"/>
      <c r="AN478" s="13"/>
      <c r="AO478" s="13"/>
    </row>
    <row r="479" spans="1:41" ht="19.899999999999999" customHeight="1" thickBo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7"/>
      <c r="M479" s="49"/>
      <c r="N479" s="1136" t="s">
        <v>345</v>
      </c>
      <c r="O479" s="1136" t="s">
        <v>346</v>
      </c>
      <c r="P479" s="1136" t="s">
        <v>347</v>
      </c>
      <c r="Q479" s="1136" t="s">
        <v>348</v>
      </c>
      <c r="R479" s="1137" t="s">
        <v>349</v>
      </c>
      <c r="S479" s="1138" t="s">
        <v>350</v>
      </c>
      <c r="T479" s="1139" t="s">
        <v>140</v>
      </c>
      <c r="U479" s="1140" t="s">
        <v>351</v>
      </c>
      <c r="V479" s="1136" t="s">
        <v>57</v>
      </c>
      <c r="W479" s="1136" t="s">
        <v>352</v>
      </c>
      <c r="X479" s="1136" t="s">
        <v>353</v>
      </c>
      <c r="Y479" s="1138" t="s">
        <v>354</v>
      </c>
      <c r="Z479" s="1141"/>
      <c r="AA479" s="1141"/>
      <c r="AB479" s="30"/>
      <c r="AC479" s="30"/>
      <c r="AD479" s="17"/>
      <c r="AE479" s="17"/>
      <c r="AF479" s="17"/>
      <c r="AG479" s="31"/>
      <c r="AH479" s="17"/>
      <c r="AI479"/>
      <c r="AJ479" s="14"/>
      <c r="AK479" s="14"/>
      <c r="AL479" s="13"/>
      <c r="AM479" s="13"/>
      <c r="AN479" s="13"/>
      <c r="AO479" s="13"/>
    </row>
    <row r="480" spans="1:41" ht="19.899999999999999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7"/>
      <c r="M480" s="50" t="s">
        <v>355</v>
      </c>
      <c r="N480" s="1142">
        <f>X478</f>
        <v>10</v>
      </c>
      <c r="O480" s="1142">
        <f>Y478</f>
        <v>12</v>
      </c>
      <c r="P480" s="1142">
        <f>+O461</f>
        <v>1</v>
      </c>
      <c r="Q480" s="1142">
        <f>+Q461</f>
        <v>1</v>
      </c>
      <c r="R480" s="1142">
        <f>+O462</f>
        <v>0.35</v>
      </c>
      <c r="S480" s="1143">
        <f>(N480*O480-P480*Q480)*R480</f>
        <v>41.65</v>
      </c>
      <c r="T480" s="42"/>
      <c r="U480" s="1144">
        <v>1</v>
      </c>
      <c r="V480" s="1145">
        <f>+N472</f>
        <v>20</v>
      </c>
      <c r="W480" s="1146">
        <f>+N476</f>
        <v>3.6</v>
      </c>
      <c r="X480" s="1145">
        <f>+N474*4</f>
        <v>112</v>
      </c>
      <c r="Y480" s="1147">
        <f t="shared" ref="Y480:Y505" si="27">W480*X480</f>
        <v>403.2</v>
      </c>
      <c r="Z480" s="1148"/>
      <c r="AA480" s="1148"/>
      <c r="AB480" s="1149" t="s">
        <v>356</v>
      </c>
      <c r="AC480" s="30"/>
      <c r="AD480" s="30"/>
      <c r="AE480" s="30"/>
      <c r="AF480" s="17"/>
      <c r="AG480" s="31"/>
      <c r="AH480" s="17"/>
      <c r="AI480"/>
      <c r="AJ480" s="13"/>
      <c r="AK480" s="14"/>
      <c r="AL480" s="13"/>
      <c r="AM480" s="13"/>
      <c r="AN480" s="13"/>
      <c r="AO480" s="13"/>
    </row>
    <row r="481" spans="1:41" ht="19.899999999999999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7"/>
      <c r="M481" s="51" t="s">
        <v>357</v>
      </c>
      <c r="N481" s="1150">
        <f>+O466</f>
        <v>0.5</v>
      </c>
      <c r="O481" s="1151">
        <f>R481-R480</f>
        <v>0.65</v>
      </c>
      <c r="P481" s="1151">
        <f>N480</f>
        <v>10</v>
      </c>
      <c r="Q481" s="1151">
        <f>O480</f>
        <v>12</v>
      </c>
      <c r="R481" s="1150">
        <f>+O463</f>
        <v>1</v>
      </c>
      <c r="S481" s="1152">
        <f>(N481*O481*P481*2)+(N481*O481*(Q481-N481*2))*2</f>
        <v>13.65</v>
      </c>
      <c r="T481" s="1153"/>
      <c r="U481" s="1154" t="e">
        <f>+IF(OR(W481=0,X481=0),0,IF(U480=0,U479+1,U480+1))</f>
        <v>#REF!</v>
      </c>
      <c r="V481" s="1150">
        <f>O472</f>
        <v>20</v>
      </c>
      <c r="W481" s="1155">
        <f>+O476</f>
        <v>11.85</v>
      </c>
      <c r="X481" s="1150" t="e">
        <f>+O474*2</f>
        <v>#REF!</v>
      </c>
      <c r="Y481" s="1156" t="e">
        <f t="shared" si="27"/>
        <v>#REF!</v>
      </c>
      <c r="Z481" s="1148"/>
      <c r="AA481" s="1148"/>
      <c r="AB481" s="1149" t="s">
        <v>358</v>
      </c>
      <c r="AC481" s="30"/>
      <c r="AD481" s="30"/>
      <c r="AE481" s="30"/>
      <c r="AF481" s="17"/>
      <c r="AG481" s="31"/>
      <c r="AH481" s="17"/>
      <c r="AI481"/>
      <c r="AJ481" s="13"/>
      <c r="AK481" s="13"/>
      <c r="AL481" s="13"/>
      <c r="AM481" s="13"/>
      <c r="AN481" s="13"/>
      <c r="AO481" s="13"/>
    </row>
    <row r="482" spans="1:41" ht="19.899999999999999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7"/>
      <c r="M482" s="51" t="s">
        <v>359</v>
      </c>
      <c r="N482" s="1150">
        <f>+O467</f>
        <v>0.35</v>
      </c>
      <c r="O482" s="1150">
        <f>N482</f>
        <v>0.35</v>
      </c>
      <c r="P482" s="1150">
        <f>O481</f>
        <v>0.65</v>
      </c>
      <c r="Q482" s="1150"/>
      <c r="R482" s="1150"/>
      <c r="S482" s="1152">
        <f>((N482*O482)/2)*P482*16</f>
        <v>0.6369999999999999</v>
      </c>
      <c r="T482" s="1153"/>
      <c r="U482" s="1154" t="s">
        <v>360</v>
      </c>
      <c r="V482" s="1157">
        <f>+P472</f>
        <v>20</v>
      </c>
      <c r="W482" s="1158">
        <f>+P476</f>
        <v>8</v>
      </c>
      <c r="X482" s="1159">
        <f>+P474*2</f>
        <v>12</v>
      </c>
      <c r="Y482" s="1160">
        <f>W482*X482</f>
        <v>96</v>
      </c>
      <c r="Z482" s="20">
        <f>+Y482+Y483</f>
        <v>180</v>
      </c>
      <c r="AA482" s="21">
        <f>+X482+X483</f>
        <v>24</v>
      </c>
      <c r="AB482" s="1149" t="s">
        <v>361</v>
      </c>
      <c r="AC482" s="30"/>
      <c r="AD482" s="30"/>
      <c r="AE482" s="30"/>
      <c r="AF482" s="17"/>
      <c r="AG482" s="31"/>
      <c r="AH482" s="17"/>
      <c r="AI482"/>
      <c r="AJ482" s="13"/>
      <c r="AK482" s="13"/>
      <c r="AL482" s="13"/>
      <c r="AM482" s="13"/>
      <c r="AN482" s="13"/>
      <c r="AO482" s="13"/>
    </row>
    <row r="483" spans="1:41" ht="19.899999999999999" customHeight="1" thickBo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7"/>
      <c r="M483" s="52" t="s">
        <v>362</v>
      </c>
      <c r="N483" s="1161">
        <f>+O465</f>
        <v>0.7</v>
      </c>
      <c r="O483" s="1161">
        <f>N483</f>
        <v>0.7</v>
      </c>
      <c r="P483" s="1161"/>
      <c r="Q483" s="1161"/>
      <c r="R483" s="1162">
        <f>O464-(O481+R480)</f>
        <v>2.5</v>
      </c>
      <c r="S483" s="1163">
        <f>N483*O483*R483*4</f>
        <v>4.8999999999999995</v>
      </c>
      <c r="T483" s="1153"/>
      <c r="U483" s="1154" t="s">
        <v>363</v>
      </c>
      <c r="V483" s="1164">
        <f>+R472</f>
        <v>20</v>
      </c>
      <c r="W483" s="1165">
        <f>+R476</f>
        <v>7</v>
      </c>
      <c r="X483" s="1166">
        <f>+R474*2</f>
        <v>12</v>
      </c>
      <c r="Y483" s="1167">
        <f t="shared" si="27"/>
        <v>84</v>
      </c>
      <c r="Z483" s="20"/>
      <c r="AA483" s="21"/>
      <c r="AB483" s="1149"/>
      <c r="AC483" s="30"/>
      <c r="AD483" s="30"/>
      <c r="AE483" s="30"/>
      <c r="AF483" s="17"/>
      <c r="AG483" s="31"/>
      <c r="AH483" s="17"/>
      <c r="AI483"/>
      <c r="AJ483" s="13"/>
      <c r="AK483" s="13"/>
      <c r="AL483" s="13"/>
      <c r="AM483" s="13"/>
      <c r="AN483" s="13"/>
      <c r="AO483" s="13"/>
    </row>
    <row r="484" spans="1:41" ht="19.899999999999999" customHeight="1" thickBo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7"/>
      <c r="M484" s="53" t="s">
        <v>364</v>
      </c>
      <c r="N484" s="1168"/>
      <c r="O484" s="1168"/>
      <c r="P484" s="1168"/>
      <c r="Q484" s="1168"/>
      <c r="R484" s="1168"/>
      <c r="S484" s="1169">
        <f>SUM(S480:S483)</f>
        <v>60.836999999999996</v>
      </c>
      <c r="T484" s="1153"/>
      <c r="U484" s="1154" t="e">
        <f>+IF(OR(W484=0,X484=0),0,IF(U481=0,U480+1,U481+1))</f>
        <v>#REF!</v>
      </c>
      <c r="V484" s="1150">
        <f>Q472</f>
        <v>20</v>
      </c>
      <c r="W484" s="1155">
        <f>+Q476</f>
        <v>9.85</v>
      </c>
      <c r="X484" s="1150" t="e">
        <f>+Q474*2</f>
        <v>#REF!</v>
      </c>
      <c r="Y484" s="1156" t="e">
        <f t="shared" si="27"/>
        <v>#REF!</v>
      </c>
      <c r="Z484" s="1148"/>
      <c r="AA484" s="1148"/>
      <c r="AB484" s="1149"/>
      <c r="AC484" s="30"/>
      <c r="AD484" s="30"/>
      <c r="AE484" s="30"/>
      <c r="AF484" s="17"/>
      <c r="AG484" s="31"/>
      <c r="AH484" s="17"/>
      <c r="AI484"/>
      <c r="AJ484" s="13"/>
      <c r="AK484" s="13"/>
      <c r="AL484" s="13"/>
      <c r="AM484" s="13"/>
      <c r="AN484" s="13"/>
      <c r="AO484" s="13"/>
    </row>
    <row r="485" spans="1:41" ht="19.899999999999999" customHeight="1" thickBo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7"/>
      <c r="M485" s="54" t="s">
        <v>365</v>
      </c>
      <c r="N485" s="1170">
        <f>N480+0.1*2</f>
        <v>10.199999999999999</v>
      </c>
      <c r="O485" s="1136">
        <f>O480+0.1*2</f>
        <v>12.2</v>
      </c>
      <c r="P485" s="1136">
        <f>P480-0.1*2</f>
        <v>0.8</v>
      </c>
      <c r="Q485" s="1136">
        <f>Q480-0.1*2</f>
        <v>0.8</v>
      </c>
      <c r="R485" s="1138">
        <v>0.1</v>
      </c>
      <c r="S485" s="1171">
        <f>(N485*O485-P485*Q485)*R485</f>
        <v>12.379999999999999</v>
      </c>
      <c r="T485" s="1153"/>
      <c r="U485" s="1154">
        <v>4</v>
      </c>
      <c r="V485" s="1172">
        <f>+S472</f>
        <v>12</v>
      </c>
      <c r="W485" s="1173">
        <f>+S476</f>
        <v>11.85</v>
      </c>
      <c r="X485" s="1174">
        <f>+(S475+S474)*2+S467</f>
        <v>58</v>
      </c>
      <c r="Y485" s="1175">
        <f t="shared" si="27"/>
        <v>687.3</v>
      </c>
      <c r="Z485" s="20">
        <f>+Y485+Y486</f>
        <v>995.39999999999986</v>
      </c>
      <c r="AA485" s="21">
        <f>+X485+X486</f>
        <v>84</v>
      </c>
      <c r="AB485" s="1176" t="s">
        <v>366</v>
      </c>
      <c r="AC485" s="1177"/>
      <c r="AD485" s="17"/>
      <c r="AE485" s="17"/>
      <c r="AF485" s="17"/>
      <c r="AG485" s="31"/>
      <c r="AH485" s="17"/>
      <c r="AI485"/>
      <c r="AJ485" s="14"/>
      <c r="AK485" s="14"/>
      <c r="AL485" s="13"/>
      <c r="AM485" s="13"/>
      <c r="AN485" s="13"/>
      <c r="AO485" s="13"/>
    </row>
    <row r="486" spans="1:41" ht="19.899999999999999" customHeight="1" thickBo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7"/>
      <c r="M486" s="55" t="s">
        <v>367</v>
      </c>
      <c r="N486" s="1178">
        <f>N480+R486*2</f>
        <v>10</v>
      </c>
      <c r="O486" s="1178">
        <f>O480+R486*2</f>
        <v>12</v>
      </c>
      <c r="P486" s="1178">
        <f>N486+R486*2</f>
        <v>10</v>
      </c>
      <c r="Q486" s="1178">
        <f>O486+R486*2</f>
        <v>12</v>
      </c>
      <c r="R486" s="1179">
        <v>0</v>
      </c>
      <c r="S486" s="1180">
        <f>R486/6*((N486*O486)+(N486+P486)*(O486+Q486)+(P486*Q486))</f>
        <v>0</v>
      </c>
      <c r="T486" s="1153"/>
      <c r="U486" s="1154" t="s">
        <v>368</v>
      </c>
      <c r="V486" s="1181">
        <f>+T472</f>
        <v>12</v>
      </c>
      <c r="W486" s="1182">
        <f>+T476</f>
        <v>11.85</v>
      </c>
      <c r="X486" s="1181">
        <f>+(T475+T474)*2</f>
        <v>26</v>
      </c>
      <c r="Y486" s="1183">
        <f t="shared" si="27"/>
        <v>308.09999999999997</v>
      </c>
      <c r="Z486" s="20"/>
      <c r="AA486" s="21"/>
      <c r="AB486" s="1176" t="s">
        <v>369</v>
      </c>
      <c r="AC486" s="1177"/>
      <c r="AD486" s="17"/>
      <c r="AE486" s="17"/>
      <c r="AF486" s="17"/>
      <c r="AG486" s="31"/>
      <c r="AH486" s="17"/>
      <c r="AI486"/>
      <c r="AJ486" s="14"/>
      <c r="AK486" s="13"/>
      <c r="AL486" s="13"/>
      <c r="AM486" s="14"/>
      <c r="AN486" s="13"/>
      <c r="AO486" s="13"/>
    </row>
    <row r="487" spans="1:41" ht="19.899999999999999" customHeight="1" thickBo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7"/>
      <c r="M487" s="56" t="s">
        <v>370</v>
      </c>
      <c r="N487" s="1136">
        <f>N486</f>
        <v>10</v>
      </c>
      <c r="O487" s="1136">
        <f>O486</f>
        <v>12</v>
      </c>
      <c r="P487" s="1136">
        <f>N487+R487*2</f>
        <v>17.2</v>
      </c>
      <c r="Q487" s="1136">
        <f>O487+R487*2</f>
        <v>19.2</v>
      </c>
      <c r="R487" s="1138">
        <f>+O464+R486+R485</f>
        <v>3.6</v>
      </c>
      <c r="S487" s="1184">
        <f>R487/6*((N487*O487)+(N487+P487)*(O487+Q487)+(P487*Q487))</f>
        <v>779.32799999999986</v>
      </c>
      <c r="T487" s="1153"/>
      <c r="U487" s="1154" t="s">
        <v>371</v>
      </c>
      <c r="V487" s="17">
        <f>+Y472</f>
        <v>12</v>
      </c>
      <c r="W487" s="1155">
        <f>+Y476</f>
        <v>0</v>
      </c>
      <c r="X487" s="17">
        <f>+(Y474+Y475)*2</f>
        <v>0</v>
      </c>
      <c r="Y487" s="1156">
        <f t="shared" si="27"/>
        <v>0</v>
      </c>
      <c r="Z487" s="20">
        <f>+Y487+Y488</f>
        <v>0</v>
      </c>
      <c r="AA487" s="21">
        <f>+X487+X488</f>
        <v>0</v>
      </c>
      <c r="AB487" s="1185" t="s">
        <v>372</v>
      </c>
      <c r="AC487" s="1186"/>
      <c r="AD487" s="17"/>
      <c r="AE487" s="17"/>
      <c r="AF487" s="17"/>
      <c r="AG487" s="31"/>
      <c r="AH487" s="17"/>
      <c r="AI487"/>
      <c r="AJ487" s="14"/>
      <c r="AK487" s="13"/>
      <c r="AL487" s="13"/>
      <c r="AM487" s="14"/>
      <c r="AN487" s="13"/>
      <c r="AO487" s="13"/>
    </row>
    <row r="488" spans="1:41" ht="19.899999999999999" customHeight="1" thickBo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7"/>
      <c r="M488" s="57" t="s">
        <v>373</v>
      </c>
      <c r="N488" s="1187">
        <f>N480</f>
        <v>10</v>
      </c>
      <c r="O488" s="1187">
        <f>O480</f>
        <v>12</v>
      </c>
      <c r="P488" s="1188">
        <f>N488+R488*2</f>
        <v>11</v>
      </c>
      <c r="Q488" s="1188">
        <f>O488+R488*2</f>
        <v>13</v>
      </c>
      <c r="R488" s="1188">
        <v>0.5</v>
      </c>
      <c r="S488" s="1184">
        <f>(R488/6*((N488*O488)+(N488+P488)*(O488+Q488)+(P488*Q488)))-(N483*O483*R488*4)</f>
        <v>64.686666666666653</v>
      </c>
      <c r="T488" s="1153"/>
      <c r="U488" s="1154" t="s">
        <v>374</v>
      </c>
      <c r="V488" s="1074">
        <f>+Z472</f>
        <v>12</v>
      </c>
      <c r="W488" s="1155">
        <f>+Z476</f>
        <v>0</v>
      </c>
      <c r="X488" s="1150">
        <f>+(Z474+Z475)*2</f>
        <v>0</v>
      </c>
      <c r="Y488" s="1156">
        <f t="shared" si="27"/>
        <v>0</v>
      </c>
      <c r="Z488" s="22"/>
      <c r="AA488" s="21"/>
      <c r="AB488" s="1185" t="s">
        <v>375</v>
      </c>
      <c r="AC488" s="17"/>
      <c r="AD488" s="17"/>
      <c r="AE488" s="17"/>
      <c r="AF488" s="17"/>
      <c r="AG488" s="31"/>
      <c r="AH488" s="17"/>
      <c r="AI488" s="13"/>
      <c r="AJ488" s="14"/>
      <c r="AK488" s="13"/>
      <c r="AL488" s="23"/>
      <c r="AM488" s="13"/>
      <c r="AN488" s="13"/>
      <c r="AO488" s="14"/>
    </row>
    <row r="489" spans="1:41" ht="19.899999999999999" customHeight="1" thickBo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7"/>
      <c r="M489" s="57" t="s">
        <v>376</v>
      </c>
      <c r="N489" s="1188"/>
      <c r="O489" s="1188"/>
      <c r="P489" s="1188"/>
      <c r="Q489" s="1188"/>
      <c r="R489" s="1188"/>
      <c r="S489" s="1189">
        <f>S487-S486-S485-S484+S488+(N483*O483*(1-R488)*4)</f>
        <v>771.77766666666651</v>
      </c>
      <c r="T489" s="1153"/>
      <c r="U489" s="1154" t="s">
        <v>377</v>
      </c>
      <c r="V489" s="1074">
        <f>+AC472</f>
        <v>12</v>
      </c>
      <c r="W489" s="1190">
        <f>+AC476</f>
        <v>0</v>
      </c>
      <c r="X489" s="1150">
        <f>+(AC474+AC475)*2</f>
        <v>0</v>
      </c>
      <c r="Y489" s="1156">
        <f t="shared" si="27"/>
        <v>0</v>
      </c>
      <c r="Z489" s="20"/>
      <c r="AA489" s="21"/>
      <c r="AB489" s="1185" t="s">
        <v>378</v>
      </c>
      <c r="AC489" s="24"/>
      <c r="AD489" s="17"/>
      <c r="AE489" s="17"/>
      <c r="AF489" s="17"/>
      <c r="AG489" s="31"/>
      <c r="AH489" s="17"/>
      <c r="AI489" s="13"/>
      <c r="AJ489" s="14"/>
      <c r="AK489" s="13"/>
      <c r="AL489" s="15"/>
      <c r="AM489" s="13"/>
      <c r="AN489" s="13"/>
      <c r="AO489" s="13"/>
    </row>
    <row r="490" spans="1:41" ht="19.899999999999999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7"/>
      <c r="M490" s="69"/>
      <c r="N490" s="1141"/>
      <c r="O490" s="1141"/>
      <c r="P490" s="1141"/>
      <c r="Q490" s="1141"/>
      <c r="R490" s="1141"/>
      <c r="S490" s="1191"/>
      <c r="T490" s="1153"/>
      <c r="U490" s="1154" t="s">
        <v>379</v>
      </c>
      <c r="V490" s="1074">
        <f>+AD472</f>
        <v>12</v>
      </c>
      <c r="W490" s="1190">
        <f>+AD476</f>
        <v>0</v>
      </c>
      <c r="X490" s="1150">
        <f>+(AD474+AD475)*2</f>
        <v>0</v>
      </c>
      <c r="Y490" s="1156">
        <f t="shared" si="27"/>
        <v>0</v>
      </c>
      <c r="Z490" s="43"/>
      <c r="AA490" s="21"/>
      <c r="AB490" s="1185" t="s">
        <v>380</v>
      </c>
      <c r="AC490" s="24"/>
      <c r="AD490" s="17"/>
      <c r="AE490" s="17"/>
      <c r="AF490" s="17"/>
      <c r="AG490" s="31"/>
      <c r="AH490" s="17"/>
      <c r="AI490" s="13"/>
      <c r="AJ490" s="14"/>
      <c r="AK490" s="13"/>
      <c r="AL490" s="15"/>
      <c r="AM490" s="13"/>
      <c r="AN490" s="13"/>
      <c r="AO490" s="13"/>
    </row>
    <row r="491" spans="1:41" ht="19.899999999999999" customHeight="1" thickBo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7"/>
      <c r="M491" s="70" t="s">
        <v>381</v>
      </c>
      <c r="N491" s="30"/>
      <c r="O491" s="30"/>
      <c r="P491" s="30"/>
      <c r="Q491" s="30"/>
      <c r="R491" s="30"/>
      <c r="S491" s="1186"/>
      <c r="T491" s="1153"/>
      <c r="U491" s="1154">
        <v>5</v>
      </c>
      <c r="V491" s="1150">
        <f>+U472</f>
        <v>12</v>
      </c>
      <c r="W491" s="1155">
        <f>+U476</f>
        <v>5.35</v>
      </c>
      <c r="X491" s="1150">
        <f>+U474*4</f>
        <v>20</v>
      </c>
      <c r="Y491" s="1156">
        <f t="shared" si="27"/>
        <v>107</v>
      </c>
      <c r="Z491" s="30"/>
      <c r="AA491" s="17"/>
      <c r="AB491" s="1176" t="s">
        <v>382</v>
      </c>
      <c r="AC491" s="1177"/>
      <c r="AD491" s="17"/>
      <c r="AE491" s="17"/>
      <c r="AF491" s="17"/>
      <c r="AG491" s="31"/>
      <c r="AH491" s="17"/>
      <c r="AI491" s="13"/>
      <c r="AJ491" s="13"/>
      <c r="AK491" s="13"/>
      <c r="AL491" s="13"/>
      <c r="AM491" s="13"/>
      <c r="AN491" s="13"/>
      <c r="AO491" s="13"/>
    </row>
    <row r="492" spans="1:41" ht="19.899999999999999" customHeight="1" thickBo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7"/>
      <c r="M492" s="59" t="s">
        <v>57</v>
      </c>
      <c r="N492" s="1192" t="s">
        <v>352</v>
      </c>
      <c r="O492" s="1192" t="s">
        <v>383</v>
      </c>
      <c r="P492" s="1192" t="s">
        <v>384</v>
      </c>
      <c r="Q492" s="1193" t="s">
        <v>354</v>
      </c>
      <c r="R492" s="1194" t="s">
        <v>385</v>
      </c>
      <c r="S492" s="1186"/>
      <c r="T492" s="1153"/>
      <c r="U492" s="1154">
        <v>6</v>
      </c>
      <c r="V492" s="1172">
        <f>+V472</f>
        <v>12</v>
      </c>
      <c r="W492" s="1173">
        <f>+V476</f>
        <v>9.85</v>
      </c>
      <c r="X492" s="1174">
        <f>+(V475+V474)*2+S467</f>
        <v>78</v>
      </c>
      <c r="Y492" s="1175">
        <f t="shared" si="27"/>
        <v>768.3</v>
      </c>
      <c r="Z492" s="20">
        <f>+Y492+Y493</f>
        <v>1024.3999999999999</v>
      </c>
      <c r="AA492" s="21">
        <f>+X492+X493</f>
        <v>104</v>
      </c>
      <c r="AB492" s="1176" t="s">
        <v>386</v>
      </c>
      <c r="AC492" s="1177"/>
      <c r="AD492" s="17"/>
      <c r="AE492" s="17"/>
      <c r="AF492" s="17"/>
      <c r="AG492" s="31"/>
      <c r="AH492" s="17"/>
      <c r="AI492" s="13"/>
      <c r="AJ492" s="13"/>
      <c r="AK492" s="13"/>
      <c r="AL492" s="13"/>
      <c r="AM492" s="13"/>
      <c r="AN492" s="13"/>
      <c r="AO492" s="13"/>
    </row>
    <row r="493" spans="1:41" ht="19.899999999999999" customHeight="1" thickBo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7"/>
      <c r="M493" s="42">
        <v>25</v>
      </c>
      <c r="N493" s="1195">
        <f t="shared" ref="N493:N501" si="28">+SUMIF($V$480:$V$505,M493,$Y$480:$Y$505)</f>
        <v>0</v>
      </c>
      <c r="O493" s="1196">
        <f>+M493^2*3.14/1000000*7850/4</f>
        <v>3.8514062499999997</v>
      </c>
      <c r="P493" s="1197">
        <f t="shared" ref="P493:P501" si="29">+ROUND(N493*O493,2)</f>
        <v>0</v>
      </c>
      <c r="Q493" s="1198" t="e">
        <f>+SUM(P493:P501)</f>
        <v>#REF!</v>
      </c>
      <c r="R493" s="1059" t="e">
        <f>+Q493/S484</f>
        <v>#REF!</v>
      </c>
      <c r="S493" s="30"/>
      <c r="T493" s="1153"/>
      <c r="U493" s="1154">
        <v>6</v>
      </c>
      <c r="V493" s="1181">
        <f>+W472</f>
        <v>12</v>
      </c>
      <c r="W493" s="1182">
        <f>+W476</f>
        <v>9.85</v>
      </c>
      <c r="X493" s="1181">
        <f>+(W475+W474)*2</f>
        <v>26</v>
      </c>
      <c r="Y493" s="1183">
        <f t="shared" si="27"/>
        <v>256.09999999999997</v>
      </c>
      <c r="Z493" s="20"/>
      <c r="AA493" s="21"/>
      <c r="AB493" s="1176" t="s">
        <v>387</v>
      </c>
      <c r="AC493" s="1177"/>
      <c r="AD493" s="17"/>
      <c r="AE493" s="17"/>
      <c r="AF493" s="17"/>
      <c r="AG493" s="31"/>
      <c r="AH493" s="17"/>
      <c r="AI493" s="13"/>
      <c r="AJ493" s="13"/>
      <c r="AK493" s="13"/>
      <c r="AL493" s="13"/>
      <c r="AM493" s="13"/>
      <c r="AN493" s="13"/>
      <c r="AO493" s="13"/>
    </row>
    <row r="494" spans="1:41" ht="19.899999999999999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7"/>
      <c r="M494" s="33">
        <v>22</v>
      </c>
      <c r="N494" s="1199">
        <f t="shared" si="28"/>
        <v>0</v>
      </c>
      <c r="O494" s="1200">
        <f>+M494^2*3.14/1000000*7850/4</f>
        <v>2.982529</v>
      </c>
      <c r="P494" s="1201">
        <f t="shared" si="29"/>
        <v>0</v>
      </c>
      <c r="Q494" s="32"/>
      <c r="R494" s="30"/>
      <c r="S494" s="30"/>
      <c r="T494" s="1153"/>
      <c r="U494" s="1154" t="s">
        <v>388</v>
      </c>
      <c r="V494" s="17">
        <f>+AA472</f>
        <v>12</v>
      </c>
      <c r="W494" s="1202">
        <f>+AA476</f>
        <v>0</v>
      </c>
      <c r="X494" s="17">
        <f>+(AA474+AA475)*2</f>
        <v>0</v>
      </c>
      <c r="Y494" s="1156">
        <f t="shared" si="27"/>
        <v>0</v>
      </c>
      <c r="Z494" s="20">
        <f>+Y494+Y495</f>
        <v>0</v>
      </c>
      <c r="AA494" s="21">
        <f>+X494+X495</f>
        <v>0</v>
      </c>
      <c r="AB494" s="1185" t="s">
        <v>372</v>
      </c>
      <c r="AC494" s="1177"/>
      <c r="AD494" s="17"/>
      <c r="AE494" s="17"/>
      <c r="AF494" s="17"/>
      <c r="AG494" s="31"/>
      <c r="AH494" s="17"/>
      <c r="AI494" s="13"/>
      <c r="AJ494" s="13"/>
      <c r="AK494" s="13"/>
      <c r="AL494" s="13"/>
      <c r="AM494" s="13"/>
      <c r="AN494" s="13"/>
      <c r="AO494" s="13"/>
    </row>
    <row r="495" spans="1:41" ht="19.899999999999999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7"/>
      <c r="M495" s="33">
        <v>20</v>
      </c>
      <c r="N495" s="1199" t="e">
        <f t="shared" si="28"/>
        <v>#REF!</v>
      </c>
      <c r="O495" s="1200">
        <f t="shared" ref="O495:O501" si="30">+M495^2*3.14/1000000*7850/4</f>
        <v>2.4649000000000001</v>
      </c>
      <c r="P495" s="1201" t="e">
        <f t="shared" si="29"/>
        <v>#REF!</v>
      </c>
      <c r="Q495" s="32"/>
      <c r="R495" s="1203"/>
      <c r="S495" s="30"/>
      <c r="T495" s="1153"/>
      <c r="U495" s="1154" t="s">
        <v>389</v>
      </c>
      <c r="V495" s="1074">
        <f>+AB472</f>
        <v>12</v>
      </c>
      <c r="W495" s="1190">
        <f>+AB476</f>
        <v>0</v>
      </c>
      <c r="X495" s="1150">
        <f>+(AB474+AB475)*2</f>
        <v>0</v>
      </c>
      <c r="Y495" s="1156">
        <f t="shared" si="27"/>
        <v>0</v>
      </c>
      <c r="Z495" s="22"/>
      <c r="AA495" s="21"/>
      <c r="AB495" s="1185" t="s">
        <v>375</v>
      </c>
      <c r="AC495" s="17"/>
      <c r="AD495" s="17"/>
      <c r="AE495" s="17"/>
      <c r="AF495" s="17"/>
      <c r="AG495" s="31"/>
      <c r="AH495" s="17"/>
      <c r="AI495" s="13"/>
      <c r="AJ495" s="13"/>
      <c r="AK495" s="13"/>
      <c r="AL495" s="13"/>
      <c r="AM495" s="13"/>
      <c r="AN495" s="13"/>
      <c r="AO495" s="13"/>
    </row>
    <row r="496" spans="1:41" ht="19.899999999999999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7"/>
      <c r="M496" s="60">
        <v>18</v>
      </c>
      <c r="N496" s="1199">
        <f t="shared" si="28"/>
        <v>0</v>
      </c>
      <c r="O496" s="1200">
        <f t="shared" si="30"/>
        <v>1.9965689999999998</v>
      </c>
      <c r="P496" s="1201">
        <f t="shared" si="29"/>
        <v>0</v>
      </c>
      <c r="Q496" s="35"/>
      <c r="R496" s="30"/>
      <c r="S496" s="30"/>
      <c r="T496" s="1153"/>
      <c r="U496" s="1154" t="s">
        <v>390</v>
      </c>
      <c r="V496" s="1074">
        <f>+AE472</f>
        <v>12</v>
      </c>
      <c r="W496" s="1190">
        <f>+AE476</f>
        <v>0</v>
      </c>
      <c r="X496" s="1150">
        <f>+(AE474+AE475)*2</f>
        <v>0</v>
      </c>
      <c r="Y496" s="1156">
        <f t="shared" si="27"/>
        <v>0</v>
      </c>
      <c r="Z496" s="17"/>
      <c r="AA496" s="17"/>
      <c r="AB496" s="1185" t="s">
        <v>378</v>
      </c>
      <c r="AC496" s="1177"/>
      <c r="AD496" s="17"/>
      <c r="AE496" s="17"/>
      <c r="AF496" s="17"/>
      <c r="AG496" s="31"/>
      <c r="AH496" s="17"/>
      <c r="AI496" s="13"/>
      <c r="AJ496" s="13"/>
      <c r="AK496" s="13"/>
      <c r="AL496" s="13"/>
      <c r="AM496" s="13"/>
      <c r="AN496" s="13"/>
      <c r="AO496" s="13"/>
    </row>
    <row r="497" spans="1:41" ht="19.899999999999999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7"/>
      <c r="M497" s="33">
        <v>16</v>
      </c>
      <c r="N497" s="1199">
        <f t="shared" si="28"/>
        <v>0</v>
      </c>
      <c r="O497" s="1200">
        <f t="shared" si="30"/>
        <v>1.577536</v>
      </c>
      <c r="P497" s="1201">
        <f t="shared" si="29"/>
        <v>0</v>
      </c>
      <c r="Q497" s="32"/>
      <c r="R497" s="1203"/>
      <c r="S497" s="30"/>
      <c r="T497" s="1153"/>
      <c r="U497" s="1154" t="s">
        <v>421</v>
      </c>
      <c r="V497" s="1074">
        <f>+AF472</f>
        <v>12</v>
      </c>
      <c r="W497" s="1190">
        <f>+AF476</f>
        <v>0</v>
      </c>
      <c r="X497" s="1150">
        <f>+(AF474+AF475)*2</f>
        <v>0</v>
      </c>
      <c r="Y497" s="1156">
        <f t="shared" si="27"/>
        <v>0</v>
      </c>
      <c r="Z497" s="17"/>
      <c r="AA497" s="17"/>
      <c r="AB497" s="1185" t="s">
        <v>380</v>
      </c>
      <c r="AC497" s="1177"/>
      <c r="AD497" s="17"/>
      <c r="AE497" s="17"/>
      <c r="AF497" s="17"/>
      <c r="AG497" s="31"/>
      <c r="AH497" s="17"/>
      <c r="AI497" s="13"/>
      <c r="AJ497" s="13"/>
      <c r="AK497" s="13"/>
      <c r="AL497" s="13"/>
      <c r="AM497" s="13"/>
      <c r="AN497" s="13"/>
      <c r="AO497" s="13"/>
    </row>
    <row r="498" spans="1:41" ht="19.899999999999999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7"/>
      <c r="M498" s="60">
        <v>14</v>
      </c>
      <c r="N498" s="1199">
        <f t="shared" si="28"/>
        <v>0</v>
      </c>
      <c r="O498" s="1200">
        <f t="shared" si="30"/>
        <v>1.2078010000000001</v>
      </c>
      <c r="P498" s="1201">
        <f t="shared" si="29"/>
        <v>0</v>
      </c>
      <c r="Q498" s="35"/>
      <c r="R498" s="1203"/>
      <c r="S498" s="30"/>
      <c r="T498" s="1153"/>
      <c r="U498" s="1154">
        <v>7</v>
      </c>
      <c r="V498" s="1074">
        <f>+X472</f>
        <v>12</v>
      </c>
      <c r="W498" s="1155">
        <f>+X476</f>
        <v>4.3499999999999996</v>
      </c>
      <c r="X498" s="1150">
        <f>+X474*4</f>
        <v>20</v>
      </c>
      <c r="Y498" s="1156">
        <f t="shared" si="27"/>
        <v>87</v>
      </c>
      <c r="Z498" s="30"/>
      <c r="AA498" s="30"/>
      <c r="AB498" s="1176" t="s">
        <v>391</v>
      </c>
      <c r="AC498" s="1177"/>
      <c r="AD498" s="17"/>
      <c r="AE498" s="17"/>
      <c r="AF498" s="17"/>
      <c r="AG498" s="31"/>
      <c r="AH498" s="17"/>
      <c r="AI498" s="13"/>
      <c r="AJ498" s="13"/>
      <c r="AK498" s="13"/>
      <c r="AL498" s="13"/>
      <c r="AM498" s="13"/>
      <c r="AN498" s="13"/>
      <c r="AO498" s="13"/>
    </row>
    <row r="499" spans="1:41" ht="19.899999999999999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7"/>
      <c r="M499" s="60">
        <v>12</v>
      </c>
      <c r="N499" s="1199">
        <f t="shared" si="28"/>
        <v>2213.7999999999997</v>
      </c>
      <c r="O499" s="1200">
        <f t="shared" si="30"/>
        <v>0.88736400000000004</v>
      </c>
      <c r="P499" s="1201">
        <f t="shared" si="29"/>
        <v>1964.45</v>
      </c>
      <c r="Q499" s="35"/>
      <c r="R499" s="17"/>
      <c r="S499" s="30"/>
      <c r="T499" s="1153"/>
      <c r="U499" s="1154">
        <v>8</v>
      </c>
      <c r="V499" s="1074">
        <v>10</v>
      </c>
      <c r="W499" s="1155">
        <f>+O462-2*O468-2*S472/1000+0.1</f>
        <v>0.27600000000000002</v>
      </c>
      <c r="X499" s="1150">
        <f>+ROUND(S474/2-0.5,0)*ROUND(V474/2-0.5,0)*4+ROUND(S474/2-0.5,0)*ROUND(W474/2-0.5,0)*4+ROUND(T474/2-0.5,0)*ROUND(V474/2-0.5,0)*4+ROUND(T474/2-0.5,0)*ROUND(W474/2-0.5,0)*4+ROUND(U474/2-0.5,0)*(ROUND(V474/2-0.5,0)+ROUND(W474/2-0.5,0))*2+ROUND(X474/2-0.5,0)*(ROUND(S474/2-0.5,0)+ROUND(T474/2-0.5,0))*2</f>
        <v>612</v>
      </c>
      <c r="Y499" s="1156">
        <f t="shared" si="27"/>
        <v>168.91200000000001</v>
      </c>
      <c r="Z499" s="30">
        <f>+O462-2*O468-2*S472/1000</f>
        <v>0.17599999999999999</v>
      </c>
      <c r="AA499" s="30"/>
      <c r="AB499" s="1176" t="s">
        <v>392</v>
      </c>
      <c r="AC499" s="1177"/>
      <c r="AD499" s="17"/>
      <c r="AE499" s="17"/>
      <c r="AF499" s="17"/>
      <c r="AG499" s="31"/>
      <c r="AH499" s="17"/>
      <c r="AI499" s="13"/>
      <c r="AJ499" s="13"/>
      <c r="AK499" s="13"/>
      <c r="AL499" s="13"/>
      <c r="AM499" s="13"/>
      <c r="AN499" s="13"/>
      <c r="AO499" s="13"/>
    </row>
    <row r="500" spans="1:41" ht="19.899999999999999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7"/>
      <c r="M500" s="60">
        <v>10</v>
      </c>
      <c r="N500" s="1199" t="e">
        <f t="shared" si="28"/>
        <v>#VALUE!</v>
      </c>
      <c r="O500" s="1200">
        <f t="shared" si="30"/>
        <v>0.61622500000000002</v>
      </c>
      <c r="P500" s="1201" t="e">
        <f t="shared" si="29"/>
        <v>#VALUE!</v>
      </c>
      <c r="Q500" s="35"/>
      <c r="R500" s="1204"/>
      <c r="S500" s="30"/>
      <c r="T500" s="1153"/>
      <c r="U500" s="1154">
        <v>9</v>
      </c>
      <c r="V500" s="1205">
        <v>8</v>
      </c>
      <c r="W500" s="1155">
        <f>+(O466-2*O468+0.02)*2+(O463-2*O468+0.02)*2+0.06*2</f>
        <v>2.6</v>
      </c>
      <c r="X500" s="1206">
        <f>+S468+4</f>
        <v>140</v>
      </c>
      <c r="Y500" s="1156">
        <f t="shared" si="27"/>
        <v>364</v>
      </c>
      <c r="Z500" s="30">
        <f>+(O466-2*O468+0.02)</f>
        <v>0.37</v>
      </c>
      <c r="AA500" s="30">
        <f>+(O463-2*O468+0.02)</f>
        <v>0.87</v>
      </c>
      <c r="AB500" s="1176" t="s">
        <v>393</v>
      </c>
      <c r="AC500" s="1177"/>
      <c r="AD500" s="17"/>
      <c r="AE500" s="17"/>
      <c r="AF500" s="17"/>
      <c r="AG500" s="31"/>
      <c r="AH500" s="17"/>
      <c r="AI500" s="13"/>
      <c r="AJ500" s="13"/>
      <c r="AK500" s="13"/>
      <c r="AL500" s="13"/>
      <c r="AM500" s="13"/>
      <c r="AN500" s="13"/>
      <c r="AO500" s="13"/>
    </row>
    <row r="501" spans="1:41" ht="19.899999999999999" customHeight="1" thickBo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7"/>
      <c r="M501" s="61">
        <v>8</v>
      </c>
      <c r="N501" s="1207">
        <f t="shared" si="28"/>
        <v>659.84</v>
      </c>
      <c r="O501" s="1208">
        <f t="shared" si="30"/>
        <v>0.39438400000000001</v>
      </c>
      <c r="P501" s="1209">
        <f t="shared" si="29"/>
        <v>260.23</v>
      </c>
      <c r="Q501" s="1210"/>
      <c r="R501" s="17"/>
      <c r="S501" s="30"/>
      <c r="T501" s="1153"/>
      <c r="U501" s="1154" t="s">
        <v>394</v>
      </c>
      <c r="V501" s="1205">
        <v>8</v>
      </c>
      <c r="W501" s="1155">
        <f>+AA501*2+Z501*2+0.12</f>
        <v>1.8599999999999999</v>
      </c>
      <c r="X501" s="1206">
        <v>0</v>
      </c>
      <c r="Y501" s="1156">
        <f t="shared" si="27"/>
        <v>0</v>
      </c>
      <c r="Z501" s="1211">
        <v>0</v>
      </c>
      <c r="AA501" s="30">
        <f>+(O463-2*O468+0.02)</f>
        <v>0.87</v>
      </c>
      <c r="AB501" s="1176" t="s">
        <v>395</v>
      </c>
      <c r="AC501" s="1177"/>
      <c r="AD501" s="17"/>
      <c r="AE501" s="17"/>
      <c r="AF501" s="17"/>
      <c r="AG501" s="31"/>
      <c r="AH501" s="17"/>
      <c r="AI501" s="13"/>
      <c r="AJ501" s="13"/>
      <c r="AK501" s="13"/>
      <c r="AL501" s="13"/>
      <c r="AM501" s="13"/>
      <c r="AN501" s="13"/>
      <c r="AO501" s="13"/>
    </row>
    <row r="502" spans="1:41" ht="19.899999999999999" customHeight="1" thickBo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7"/>
      <c r="M502" s="71"/>
      <c r="N502" s="1212"/>
      <c r="O502" s="1212"/>
      <c r="P502" s="1060"/>
      <c r="Q502" s="1213"/>
      <c r="R502" s="17"/>
      <c r="S502" s="30"/>
      <c r="T502" s="1153"/>
      <c r="U502" s="1154" t="s">
        <v>396</v>
      </c>
      <c r="V502" s="1205">
        <v>8</v>
      </c>
      <c r="W502" s="1155">
        <f>+Z502+0.12</f>
        <v>0.12</v>
      </c>
      <c r="X502" s="1206">
        <f>+X501*2</f>
        <v>0</v>
      </c>
      <c r="Y502" s="1156">
        <f t="shared" si="27"/>
        <v>0</v>
      </c>
      <c r="Z502" s="1211">
        <v>0</v>
      </c>
      <c r="AA502" s="30"/>
      <c r="AB502" s="1176" t="s">
        <v>397</v>
      </c>
      <c r="AC502" s="1177"/>
      <c r="AD502" s="17"/>
      <c r="AE502" s="17"/>
      <c r="AF502" s="17"/>
      <c r="AG502" s="31"/>
      <c r="AH502" s="17"/>
      <c r="AI502" s="13"/>
      <c r="AJ502" s="13"/>
      <c r="AK502" s="13"/>
      <c r="AL502" s="13"/>
      <c r="AM502" s="13"/>
      <c r="AN502" s="13"/>
      <c r="AO502" s="13"/>
    </row>
    <row r="503" spans="1:41" ht="19.899999999999999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7"/>
      <c r="M503" s="65"/>
      <c r="N503" s="17"/>
      <c r="O503" s="17"/>
      <c r="P503" s="1214"/>
      <c r="Q503" s="17"/>
      <c r="R503" s="17"/>
      <c r="S503" s="30"/>
      <c r="T503" s="1153"/>
      <c r="U503" s="1154">
        <v>10</v>
      </c>
      <c r="V503" s="1215">
        <v>8</v>
      </c>
      <c r="W503" s="1155">
        <f>+(O465-2*O468+0.02)*4+0.06*2</f>
        <v>2.4</v>
      </c>
      <c r="X503" s="1216">
        <f>+(ROUND((O464-0.175)/0.25-0.5,0)+2)*4</f>
        <v>60</v>
      </c>
      <c r="Y503" s="1156">
        <f t="shared" si="27"/>
        <v>144</v>
      </c>
      <c r="Z503" s="30">
        <f>+O465-2*O468+0.02</f>
        <v>0.56999999999999995</v>
      </c>
      <c r="AA503" s="30"/>
      <c r="AB503" s="17"/>
      <c r="AC503" s="17"/>
      <c r="AD503" s="17"/>
      <c r="AE503" s="17"/>
      <c r="AF503" s="17"/>
      <c r="AG503" s="31"/>
      <c r="AH503" s="17"/>
      <c r="AI503" s="13"/>
      <c r="AJ503" s="13"/>
      <c r="AK503" s="13"/>
      <c r="AL503" s="13"/>
      <c r="AM503" s="13"/>
      <c r="AN503" s="13"/>
      <c r="AO503" s="13"/>
    </row>
    <row r="504" spans="1:41" ht="19.899999999999999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7"/>
      <c r="M504" s="65"/>
      <c r="N504" s="17"/>
      <c r="O504" s="17"/>
      <c r="P504" s="1214"/>
      <c r="Q504" s="17"/>
      <c r="R504" s="17"/>
      <c r="S504" s="17"/>
      <c r="T504" s="1153"/>
      <c r="U504" s="1154">
        <v>11</v>
      </c>
      <c r="V504" s="1215">
        <v>8</v>
      </c>
      <c r="W504" s="1155">
        <f>Z504*4+AA504*4+0.06*2</f>
        <v>2.92</v>
      </c>
      <c r="X504" s="1150">
        <f>+X503-4*2</f>
        <v>52</v>
      </c>
      <c r="Y504" s="1156">
        <f t="shared" si="27"/>
        <v>151.84</v>
      </c>
      <c r="Z504" s="1217">
        <v>0.7</v>
      </c>
      <c r="AA504" s="1217">
        <v>0</v>
      </c>
      <c r="AB504" s="17"/>
      <c r="AC504" s="17"/>
      <c r="AD504" s="17"/>
      <c r="AE504" s="17"/>
      <c r="AF504" s="17"/>
      <c r="AG504" s="31"/>
      <c r="AH504" s="17"/>
      <c r="AI504" s="13"/>
      <c r="AJ504" s="13"/>
      <c r="AK504" s="13"/>
      <c r="AL504" s="13"/>
      <c r="AM504" s="13"/>
      <c r="AN504" s="13"/>
      <c r="AO504" s="13"/>
    </row>
    <row r="505" spans="1:41" ht="19.899999999999999" customHeight="1" thickBo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7"/>
      <c r="M505" s="65"/>
      <c r="N505" s="17"/>
      <c r="O505" s="17"/>
      <c r="P505" s="17"/>
      <c r="Q505" s="17"/>
      <c r="R505" s="17"/>
      <c r="S505" s="17"/>
      <c r="T505" s="1218"/>
      <c r="U505" s="1219">
        <v>12</v>
      </c>
      <c r="V505" s="1220">
        <v>10</v>
      </c>
      <c r="W505" s="1221">
        <f>+O465+0.04</f>
        <v>0.74</v>
      </c>
      <c r="X505" s="1222" t="e">
        <f>+R469*4</f>
        <v>#VALUE!</v>
      </c>
      <c r="Y505" s="1223" t="e">
        <f t="shared" si="27"/>
        <v>#VALUE!</v>
      </c>
      <c r="Z505" s="1148"/>
      <c r="AA505" s="1148"/>
      <c r="AB505" s="30"/>
      <c r="AC505" s="30"/>
      <c r="AD505" s="17"/>
      <c r="AE505" s="17"/>
      <c r="AF505" s="17"/>
      <c r="AG505" s="31"/>
      <c r="AH505" s="17"/>
      <c r="AI505" s="13"/>
      <c r="AJ505" s="13"/>
      <c r="AK505" s="13"/>
      <c r="AL505" s="13"/>
      <c r="AM505" s="13"/>
      <c r="AN505" s="13"/>
      <c r="AO505" s="13"/>
    </row>
    <row r="506" spans="1:41" ht="19.899999999999999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7"/>
      <c r="M506" s="65"/>
      <c r="N506" s="17"/>
      <c r="O506" s="17"/>
      <c r="P506" s="17"/>
      <c r="Q506" s="17"/>
      <c r="R506" s="17"/>
      <c r="S506" s="17"/>
      <c r="T506" s="1141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31"/>
      <c r="AH506" s="17"/>
      <c r="AI506" s="13"/>
      <c r="AJ506" s="13"/>
      <c r="AK506" s="13"/>
      <c r="AL506" s="13"/>
      <c r="AM506" s="13"/>
      <c r="AN506" s="13"/>
      <c r="AO506" s="13"/>
    </row>
    <row r="507" spans="1:41" ht="19.899999999999999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7"/>
      <c r="M507" s="71"/>
      <c r="N507" s="1148"/>
      <c r="O507" s="1212"/>
      <c r="P507" s="1060"/>
      <c r="Q507" s="30"/>
      <c r="R507" s="17"/>
      <c r="S507" s="30"/>
      <c r="T507" s="1141"/>
      <c r="U507" s="17"/>
      <c r="V507" s="17"/>
      <c r="W507" s="17"/>
      <c r="X507" s="17"/>
      <c r="Y507" s="17"/>
      <c r="Z507" s="17"/>
      <c r="AA507" s="17"/>
      <c r="AB507" s="17"/>
      <c r="AC507" s="17"/>
      <c r="AD507" s="30"/>
      <c r="AE507" s="30"/>
      <c r="AF507" s="17"/>
      <c r="AG507" s="31"/>
      <c r="AH507" s="17"/>
      <c r="AI507" s="13"/>
      <c r="AJ507" s="13"/>
      <c r="AK507" s="13"/>
      <c r="AL507" s="13"/>
      <c r="AM507" s="13"/>
      <c r="AN507" s="13"/>
      <c r="AO507" s="13"/>
    </row>
    <row r="508" spans="1:41" ht="19.899999999999999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7"/>
      <c r="M508" s="65"/>
      <c r="N508" s="17"/>
      <c r="O508" s="17"/>
      <c r="P508" s="17"/>
      <c r="Q508" s="17"/>
      <c r="R508" s="17"/>
      <c r="S508" s="30"/>
      <c r="T508" s="1141"/>
      <c r="U508" s="17"/>
      <c r="V508" s="17"/>
      <c r="W508" s="17"/>
      <c r="X508" s="17"/>
      <c r="Y508" s="17"/>
      <c r="Z508" s="17"/>
      <c r="AA508" s="17"/>
      <c r="AB508" s="17"/>
      <c r="AC508" s="17"/>
      <c r="AD508" s="30"/>
      <c r="AE508" s="30"/>
      <c r="AF508" s="17"/>
      <c r="AG508" s="31"/>
      <c r="AH508" s="17"/>
      <c r="AI508" s="13"/>
      <c r="AJ508" s="13"/>
      <c r="AK508" s="13"/>
      <c r="AL508" s="13"/>
      <c r="AM508" s="13"/>
      <c r="AN508" s="13"/>
      <c r="AO508" s="13"/>
    </row>
    <row r="509" spans="1:41" ht="19.899999999999999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7"/>
      <c r="M509" s="65"/>
      <c r="N509" s="17"/>
      <c r="O509" s="17"/>
      <c r="P509" s="17"/>
      <c r="Q509" s="17"/>
      <c r="R509" s="17"/>
      <c r="S509" s="30"/>
      <c r="T509" s="17"/>
      <c r="U509" s="17"/>
      <c r="V509" s="17"/>
      <c r="W509" s="17"/>
      <c r="X509" s="17"/>
      <c r="Y509" s="17"/>
      <c r="Z509" s="17"/>
      <c r="AA509" s="17"/>
      <c r="AB509" s="30"/>
      <c r="AC509" s="30"/>
      <c r="AD509" s="30"/>
      <c r="AE509" s="30"/>
      <c r="AF509" s="17"/>
      <c r="AG509" s="31"/>
      <c r="AH509" s="17"/>
      <c r="AI509" s="13"/>
      <c r="AJ509" s="13"/>
      <c r="AK509" s="13"/>
      <c r="AL509" s="13"/>
      <c r="AM509" s="13"/>
      <c r="AN509" s="13"/>
      <c r="AO509" s="13"/>
    </row>
    <row r="510" spans="1:41" ht="19.899999999999999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7"/>
      <c r="M510" s="72" t="s">
        <v>398</v>
      </c>
      <c r="N510" s="1224">
        <v>1</v>
      </c>
      <c r="O510" s="1224">
        <v>2.5</v>
      </c>
      <c r="P510" s="1225">
        <f>+O464-O462</f>
        <v>3.15</v>
      </c>
      <c r="Q510" s="1108"/>
      <c r="R510" s="1108"/>
      <c r="S510" s="1108">
        <f>+(N510*N510+O510*O510+(N510+O510)*(N510+O510))*P510/6*4</f>
        <v>40.949999999999996</v>
      </c>
      <c r="T510" s="1141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17"/>
      <c r="AG510" s="31"/>
      <c r="AH510" s="17"/>
      <c r="AI510" s="13"/>
      <c r="AJ510" s="13"/>
      <c r="AK510" s="13"/>
      <c r="AL510" s="13"/>
      <c r="AM510" s="13"/>
      <c r="AN510" s="13"/>
      <c r="AO510" s="13"/>
    </row>
    <row r="511" spans="1:41" ht="19.899999999999999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7"/>
      <c r="M511" s="51" t="s">
        <v>399</v>
      </c>
      <c r="N511" s="1151"/>
      <c r="O511" s="1151"/>
      <c r="P511" s="1151"/>
      <c r="Q511" s="1151"/>
      <c r="R511" s="1151"/>
      <c r="S511" s="1226">
        <f>+S480</f>
        <v>41.65</v>
      </c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17"/>
      <c r="AG511" s="31"/>
      <c r="AH511" s="17"/>
      <c r="AI511" s="13"/>
      <c r="AJ511" s="13"/>
      <c r="AK511" s="13"/>
      <c r="AL511" s="13"/>
      <c r="AM511" s="13"/>
      <c r="AN511" s="13"/>
      <c r="AO511" s="13"/>
    </row>
    <row r="512" spans="1:41" ht="19.899999999999999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7"/>
      <c r="M512" s="73" t="s">
        <v>400</v>
      </c>
      <c r="N512" s="1227">
        <f>+N481</f>
        <v>0.5</v>
      </c>
      <c r="O512" s="1228">
        <f>+O481</f>
        <v>0.65</v>
      </c>
      <c r="P512" s="1228">
        <f>+P481</f>
        <v>10</v>
      </c>
      <c r="Q512" s="1228">
        <f>+Q481</f>
        <v>12</v>
      </c>
      <c r="R512" s="1229">
        <v>0.35699999999999998</v>
      </c>
      <c r="S512" s="1230">
        <f>+(N512*O512*(P512-2*O510)+N512*O512*(Q512-2*O510))*2</f>
        <v>7.8</v>
      </c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17"/>
      <c r="AG512" s="31"/>
      <c r="AH512" s="17"/>
      <c r="AI512" s="13"/>
      <c r="AJ512" s="13"/>
      <c r="AK512" s="13"/>
      <c r="AL512" s="13"/>
      <c r="AM512" s="13"/>
      <c r="AN512" s="13"/>
      <c r="AO512" s="13"/>
    </row>
    <row r="513" spans="1:41" ht="19.899999999999999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7"/>
      <c r="M513" s="74"/>
      <c r="N513" s="1112"/>
      <c r="O513" s="1112"/>
      <c r="P513" s="1112"/>
      <c r="Q513" s="1112"/>
      <c r="R513" s="1112"/>
      <c r="S513" s="1112">
        <f>+R512*O512/2*0.6*8</f>
        <v>0.55691999999999997</v>
      </c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31"/>
      <c r="AH513" s="17"/>
      <c r="AI513" s="13"/>
      <c r="AJ513" s="13"/>
      <c r="AK513" s="13"/>
      <c r="AL513" s="13"/>
      <c r="AM513" s="13"/>
      <c r="AN513" s="13"/>
      <c r="AO513" s="13"/>
    </row>
    <row r="514" spans="1:41" ht="19.899999999999999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7"/>
      <c r="M514" s="65"/>
      <c r="N514" s="17"/>
      <c r="O514" s="17"/>
      <c r="P514" s="17"/>
      <c r="Q514" s="17"/>
      <c r="R514" s="17" t="s">
        <v>401</v>
      </c>
      <c r="S514" s="1177">
        <f>+SUM(S510:S513)</f>
        <v>90.956919999999997</v>
      </c>
      <c r="T514" s="17"/>
      <c r="U514" s="17">
        <f>72*S514</f>
        <v>6548.8982399999995</v>
      </c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31"/>
      <c r="AH514" s="17"/>
      <c r="AI514" s="13"/>
      <c r="AJ514" s="13"/>
      <c r="AK514" s="13"/>
      <c r="AL514" s="13"/>
      <c r="AM514" s="13"/>
      <c r="AN514" s="13"/>
      <c r="AO514" s="13"/>
    </row>
    <row r="515" spans="1:41" ht="19.899999999999999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7"/>
      <c r="M515" s="65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31"/>
      <c r="AH515" s="17"/>
      <c r="AI515" s="13"/>
      <c r="AJ515" s="13"/>
      <c r="AK515" s="13"/>
      <c r="AL515" s="13"/>
      <c r="AM515" s="13"/>
      <c r="AN515" s="13"/>
      <c r="AO515" s="13"/>
    </row>
    <row r="516" spans="1:41" ht="19.899999999999999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7"/>
      <c r="M516" s="75" t="s">
        <v>402</v>
      </c>
      <c r="N516" s="30"/>
      <c r="O516" s="30"/>
      <c r="P516" s="30"/>
      <c r="Q516" s="30"/>
      <c r="R516" s="30"/>
      <c r="S516" s="30"/>
      <c r="T516" s="30"/>
      <c r="U516" s="30"/>
      <c r="V516" s="30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31"/>
      <c r="AH516" s="17"/>
      <c r="AI516" s="13"/>
      <c r="AJ516" s="13"/>
      <c r="AK516" s="13"/>
      <c r="AL516" s="13"/>
      <c r="AM516" s="13"/>
      <c r="AN516" s="13"/>
      <c r="AO516" s="13"/>
    </row>
    <row r="517" spans="1:41" ht="19.899999999999999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7"/>
      <c r="M517" s="76"/>
      <c r="N517" s="1231" t="s">
        <v>346</v>
      </c>
      <c r="O517" s="1231" t="s">
        <v>40</v>
      </c>
      <c r="P517" s="1231" t="s">
        <v>345</v>
      </c>
      <c r="Q517" s="1231" t="s">
        <v>346</v>
      </c>
      <c r="R517" s="1231" t="s">
        <v>347</v>
      </c>
      <c r="S517" s="1231" t="s">
        <v>348</v>
      </c>
      <c r="T517" s="1231" t="s">
        <v>349</v>
      </c>
      <c r="U517" s="1231" t="s">
        <v>403</v>
      </c>
      <c r="V517" s="1231" t="s">
        <v>404</v>
      </c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31"/>
      <c r="AH517" s="17"/>
      <c r="AI517" s="13"/>
      <c r="AJ517" s="13"/>
      <c r="AK517" s="13"/>
      <c r="AL517" s="13"/>
      <c r="AM517" s="13"/>
      <c r="AN517" s="13"/>
      <c r="AO517" s="13"/>
    </row>
    <row r="518" spans="1:41" ht="19.899999999999999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7"/>
      <c r="M518" s="76" t="s">
        <v>405</v>
      </c>
      <c r="N518" s="1232">
        <v>6.4</v>
      </c>
      <c r="O518" s="1232">
        <v>6.8</v>
      </c>
      <c r="P518" s="1233">
        <f>+N518+U518*2</f>
        <v>7</v>
      </c>
      <c r="Q518" s="1233">
        <f>+O518+U518*2</f>
        <v>7.3999999999999995</v>
      </c>
      <c r="R518" s="1233">
        <f>+P518+T518*2</f>
        <v>9.1999999999999993</v>
      </c>
      <c r="S518" s="1233">
        <f>+Q518+T518*2</f>
        <v>9.6</v>
      </c>
      <c r="T518" s="1232">
        <v>1.1000000000000001</v>
      </c>
      <c r="U518" s="1232">
        <v>0.3</v>
      </c>
      <c r="V518" s="1234">
        <f>+(P518*Q518+(P518+N518)*(Q518+O518)+N518*O518)*T518/6</f>
        <v>52.359999999999992</v>
      </c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31"/>
      <c r="AH518" s="17"/>
      <c r="AI518" s="13"/>
      <c r="AJ518" s="13"/>
      <c r="AK518" s="13"/>
      <c r="AL518" s="13"/>
      <c r="AM518" s="13"/>
      <c r="AN518" s="13"/>
      <c r="AO518" s="13"/>
    </row>
    <row r="519" spans="1:41" ht="19.899999999999999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7"/>
      <c r="M519" s="76" t="s">
        <v>406</v>
      </c>
      <c r="N519" s="1232">
        <v>6.4</v>
      </c>
      <c r="O519" s="1232">
        <v>7</v>
      </c>
      <c r="P519" s="1233">
        <f>+N519+U519*2</f>
        <v>7.4</v>
      </c>
      <c r="Q519" s="1233">
        <f>+O519+U519*2</f>
        <v>8</v>
      </c>
      <c r="R519" s="1233">
        <f>+P519+T519*2</f>
        <v>10.600000000000001</v>
      </c>
      <c r="S519" s="1233">
        <f>+Q519+T519*2</f>
        <v>11.2</v>
      </c>
      <c r="T519" s="1232">
        <f>1.1+U519</f>
        <v>1.6</v>
      </c>
      <c r="U519" s="1232">
        <v>0.5</v>
      </c>
      <c r="V519" s="1234">
        <f>+(P519*Q519+(P519+N519)*(Q519+O519)+N519*O519)*T519/6</f>
        <v>82.933333333333337</v>
      </c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31"/>
      <c r="AH519" s="17"/>
      <c r="AI519" s="13"/>
      <c r="AJ519" s="13"/>
      <c r="AK519" s="13"/>
      <c r="AL519" s="13"/>
      <c r="AM519" s="13"/>
      <c r="AN519" s="13"/>
      <c r="AO519" s="13"/>
    </row>
    <row r="520" spans="1:41" ht="19.899999999999999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7"/>
      <c r="M520" s="75" t="s">
        <v>407</v>
      </c>
      <c r="N520" s="30"/>
      <c r="O520" s="30"/>
      <c r="P520" s="30"/>
      <c r="Q520" s="30"/>
      <c r="R520" s="30"/>
      <c r="S520" s="30"/>
      <c r="T520" s="30"/>
      <c r="U520" s="30"/>
      <c r="V520" s="30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31"/>
      <c r="AH520" s="17"/>
      <c r="AI520" s="13"/>
      <c r="AJ520" s="13"/>
      <c r="AK520" s="13"/>
      <c r="AL520" s="13"/>
      <c r="AM520" s="13"/>
      <c r="AN520" s="13"/>
      <c r="AO520" s="13"/>
    </row>
    <row r="521" spans="1:41" ht="19.899999999999999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7"/>
      <c r="M521" s="76"/>
      <c r="N521" s="1231" t="s">
        <v>408</v>
      </c>
      <c r="O521" s="1231" t="s">
        <v>346</v>
      </c>
      <c r="P521" s="1231" t="s">
        <v>40</v>
      </c>
      <c r="Q521" s="1231" t="s">
        <v>403</v>
      </c>
      <c r="R521" s="1099" t="s">
        <v>409</v>
      </c>
      <c r="S521" s="1231" t="s">
        <v>410</v>
      </c>
      <c r="T521" s="1231"/>
      <c r="U521" s="1231"/>
      <c r="V521" s="1231" t="s">
        <v>411</v>
      </c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31"/>
      <c r="AH521" s="17"/>
      <c r="AI521" s="13"/>
      <c r="AJ521" s="13"/>
      <c r="AK521" s="13"/>
      <c r="AL521" s="13"/>
      <c r="AM521" s="13"/>
      <c r="AN521" s="13"/>
      <c r="AO521" s="13"/>
    </row>
    <row r="522" spans="1:41" ht="19.899999999999999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7"/>
      <c r="M522" s="76"/>
      <c r="N522" s="1232">
        <v>0.9</v>
      </c>
      <c r="O522" s="1232">
        <v>6.4</v>
      </c>
      <c r="P522" s="1232">
        <v>6.8</v>
      </c>
      <c r="Q522" s="1232">
        <f>1+0.5/2</f>
        <v>1.25</v>
      </c>
      <c r="R522" s="1233">
        <f>+O522+Q522*2</f>
        <v>8.9</v>
      </c>
      <c r="S522" s="1233">
        <f>+Q522*2+P522</f>
        <v>9.3000000000000007</v>
      </c>
      <c r="T522" s="1233"/>
      <c r="U522" s="1233"/>
      <c r="V522" s="1234">
        <f>+(S522*2+R522*2)*N522</f>
        <v>32.760000000000005</v>
      </c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31"/>
      <c r="AH522" s="17"/>
      <c r="AI522" s="13"/>
      <c r="AJ522" s="13"/>
      <c r="AK522" s="13"/>
      <c r="AL522" s="13"/>
      <c r="AM522" s="13"/>
      <c r="AN522" s="13"/>
      <c r="AO522" s="13"/>
    </row>
    <row r="523" spans="1:41" ht="19.899999999999999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7"/>
      <c r="M523" s="75" t="s">
        <v>412</v>
      </c>
      <c r="N523" s="30"/>
      <c r="O523" s="30"/>
      <c r="P523" s="30"/>
      <c r="Q523" s="30"/>
      <c r="R523" s="30"/>
      <c r="S523" s="30"/>
      <c r="T523" s="30"/>
      <c r="U523" s="30"/>
      <c r="V523" s="30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31"/>
      <c r="AH523" s="17"/>
      <c r="AI523" s="13"/>
      <c r="AJ523" s="13"/>
      <c r="AK523" s="13"/>
      <c r="AL523" s="13"/>
      <c r="AM523" s="13"/>
      <c r="AN523" s="13"/>
      <c r="AO523" s="13"/>
    </row>
    <row r="524" spans="1:41" ht="19.899999999999999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7"/>
      <c r="M524" s="76"/>
      <c r="N524" s="1231" t="s">
        <v>404</v>
      </c>
      <c r="O524" s="1231" t="s">
        <v>413</v>
      </c>
      <c r="P524" s="1231" t="s">
        <v>346</v>
      </c>
      <c r="Q524" s="1231" t="s">
        <v>40</v>
      </c>
      <c r="R524" s="1231" t="s">
        <v>409</v>
      </c>
      <c r="S524" s="1231" t="s">
        <v>410</v>
      </c>
      <c r="T524" s="1231" t="s">
        <v>349</v>
      </c>
      <c r="U524" s="1231"/>
      <c r="V524" s="1231" t="s">
        <v>414</v>
      </c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31"/>
      <c r="AH524" s="17"/>
      <c r="AI524" s="13"/>
      <c r="AJ524" s="13"/>
      <c r="AK524" s="13"/>
      <c r="AL524" s="13"/>
      <c r="AM524" s="13"/>
      <c r="AN524" s="13"/>
      <c r="AO524" s="13"/>
    </row>
    <row r="525" spans="1:41" ht="19.899999999999999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7"/>
      <c r="M525" s="76"/>
      <c r="N525" s="1232">
        <f>+V518</f>
        <v>52.359999999999992</v>
      </c>
      <c r="O525" s="1232">
        <v>18.25</v>
      </c>
      <c r="P525" s="1232">
        <v>6.4</v>
      </c>
      <c r="Q525" s="1232">
        <v>7</v>
      </c>
      <c r="R525" s="1233">
        <f>+P525+T525*2</f>
        <v>8.4</v>
      </c>
      <c r="S525" s="1233">
        <f>+Q525+T525*2</f>
        <v>9</v>
      </c>
      <c r="T525" s="1232">
        <v>1</v>
      </c>
      <c r="U525" s="1231"/>
      <c r="V525" s="1234">
        <f>+(P525*Q525+R525*S525+(P525+R525)*(Q525+S525))*T525/6+N525-O525+S483</f>
        <v>98.543333333333337</v>
      </c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31"/>
      <c r="AH525" s="17"/>
      <c r="AI525" s="13"/>
      <c r="AJ525" s="13"/>
      <c r="AK525" s="13"/>
      <c r="AL525" s="13"/>
      <c r="AM525" s="13"/>
      <c r="AN525" s="13"/>
      <c r="AO525" s="13"/>
    </row>
    <row r="526" spans="1:41" ht="19.899999999999999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7"/>
      <c r="M526" s="65"/>
      <c r="N526" s="17" t="s">
        <v>346</v>
      </c>
      <c r="O526" s="17" t="s">
        <v>40</v>
      </c>
      <c r="P526" s="17"/>
      <c r="Q526" s="17" t="s">
        <v>415</v>
      </c>
      <c r="R526" s="17" t="s">
        <v>416</v>
      </c>
      <c r="S526" s="17" t="s">
        <v>346</v>
      </c>
      <c r="T526" s="17" t="s">
        <v>40</v>
      </c>
      <c r="U526" s="17" t="s">
        <v>348</v>
      </c>
      <c r="V526" s="17" t="s">
        <v>417</v>
      </c>
      <c r="W526" s="17" t="s">
        <v>418</v>
      </c>
      <c r="X526" s="17"/>
      <c r="Y526" s="17"/>
      <c r="Z526" s="17"/>
      <c r="AA526" s="17"/>
      <c r="AB526" s="17"/>
      <c r="AC526" s="17"/>
      <c r="AD526" s="17"/>
      <c r="AE526" s="17"/>
      <c r="AF526" s="17"/>
      <c r="AG526" s="31"/>
      <c r="AH526" s="17"/>
      <c r="AI526" s="13"/>
      <c r="AJ526" s="13"/>
      <c r="AK526" s="13"/>
      <c r="AL526" s="13"/>
      <c r="AM526" s="13"/>
      <c r="AN526" s="13"/>
      <c r="AO526" s="13"/>
    </row>
    <row r="527" spans="1:41" ht="19.899999999999999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7"/>
      <c r="M527" s="65"/>
      <c r="N527" s="1235">
        <v>5.3</v>
      </c>
      <c r="O527" s="1235">
        <v>5</v>
      </c>
      <c r="P527" s="1235">
        <v>0.3</v>
      </c>
      <c r="Q527" s="1235">
        <v>0.25</v>
      </c>
      <c r="R527" s="1235">
        <v>3.6</v>
      </c>
      <c r="S527" s="17">
        <f>+N527+P527*2</f>
        <v>5.8999999999999995</v>
      </c>
      <c r="T527" s="17">
        <f>+O527+P527*2</f>
        <v>5.6</v>
      </c>
      <c r="U527" s="17">
        <f>+Q527*R527*2+S527</f>
        <v>7.6999999999999993</v>
      </c>
      <c r="V527" s="17">
        <f>+Q527*R527*2+T527</f>
        <v>7.3999999999999995</v>
      </c>
      <c r="W527" s="17">
        <f>+(U527*V527+S527*T527+(S527+U527)*(T527+V527))*R527/6</f>
        <v>160.09199999999996</v>
      </c>
      <c r="X527" s="17"/>
      <c r="Y527" s="17"/>
      <c r="Z527" s="17"/>
      <c r="AA527" s="17"/>
      <c r="AB527" s="17"/>
      <c r="AC527" s="17"/>
      <c r="AD527" s="17"/>
      <c r="AE527" s="17"/>
      <c r="AF527" s="17"/>
      <c r="AG527" s="31"/>
      <c r="AH527" s="17"/>
      <c r="AI527" s="13"/>
      <c r="AJ527" s="13"/>
      <c r="AK527" s="13"/>
      <c r="AL527" s="13"/>
      <c r="AM527" s="13"/>
      <c r="AN527" s="13"/>
      <c r="AO527" s="13"/>
    </row>
    <row r="528" spans="1:41" ht="19.899999999999999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7"/>
      <c r="M528" s="65"/>
      <c r="N528" s="17"/>
      <c r="O528" s="17"/>
      <c r="P528" s="17"/>
      <c r="Q528" s="17"/>
      <c r="R528" s="17"/>
      <c r="S528" s="17"/>
      <c r="T528" s="17"/>
      <c r="U528" s="17"/>
      <c r="V528" s="17"/>
      <c r="W528" s="17">
        <f>+W527*4</f>
        <v>640.36799999999982</v>
      </c>
      <c r="X528" s="17" t="s">
        <v>419</v>
      </c>
      <c r="Y528" s="17"/>
      <c r="Z528" s="17"/>
      <c r="AA528" s="17"/>
      <c r="AB528" s="17"/>
      <c r="AC528" s="17"/>
      <c r="AD528" s="17"/>
      <c r="AE528" s="17"/>
      <c r="AF528" s="17"/>
      <c r="AG528" s="31"/>
      <c r="AH528" s="17"/>
      <c r="AI528" s="13"/>
      <c r="AJ528" s="13"/>
      <c r="AK528" s="13"/>
      <c r="AL528" s="13"/>
      <c r="AM528" s="13"/>
      <c r="AN528" s="13"/>
      <c r="AO528" s="13"/>
    </row>
    <row r="529" spans="1:41" ht="19.899999999999999" customHeight="1" thickBo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7"/>
      <c r="M529" s="77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9"/>
      <c r="AH529" s="17"/>
      <c r="AI529" s="13"/>
      <c r="AJ529" s="13"/>
      <c r="AK529" s="13"/>
      <c r="AL529" s="13"/>
      <c r="AM529" s="13"/>
      <c r="AN529" s="13"/>
      <c r="AO529" s="13"/>
    </row>
    <row r="530" spans="1:41" ht="19.899999999999999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7"/>
      <c r="M530" s="25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3"/>
      <c r="AJ530" s="13"/>
      <c r="AK530" s="13"/>
      <c r="AL530" s="13"/>
      <c r="AM530" s="13"/>
      <c r="AN530" s="13"/>
      <c r="AO530" s="13"/>
    </row>
    <row r="531" spans="1:41" ht="19.899999999999999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7"/>
      <c r="M531" s="25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3"/>
      <c r="AJ531" s="13"/>
      <c r="AK531" s="13"/>
      <c r="AL531" s="13"/>
      <c r="AM531" s="13"/>
      <c r="AN531" s="13"/>
      <c r="AO531" s="13"/>
    </row>
    <row r="532" spans="1:41" ht="19.899999999999999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7"/>
      <c r="L532" s="25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3"/>
      <c r="AI532" s="13"/>
      <c r="AJ532" s="13"/>
      <c r="AK532" s="13"/>
      <c r="AL532" s="13"/>
      <c r="AM532" s="13"/>
      <c r="AN532" s="13"/>
      <c r="AO532" s="13"/>
    </row>
    <row r="533" spans="1:41" ht="19.899999999999999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7"/>
      <c r="L533" s="25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3"/>
      <c r="AI533" s="13"/>
      <c r="AJ533" s="13"/>
      <c r="AK533" s="13"/>
      <c r="AL533" s="13"/>
      <c r="AM533" s="13"/>
      <c r="AN533" s="13"/>
      <c r="AO533" s="13"/>
    </row>
    <row r="534" spans="1:41" ht="19.899999999999999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7"/>
      <c r="L534" s="25"/>
      <c r="M534" s="17"/>
      <c r="N534" s="17"/>
      <c r="O534" s="17"/>
      <c r="P534" s="17"/>
      <c r="Q534" s="17"/>
      <c r="R534" s="17"/>
      <c r="S534" s="17"/>
      <c r="T534" s="17"/>
      <c r="U534" s="17"/>
      <c r="V534" s="17"/>
    </row>
    <row r="535" spans="1:41" ht="19.899999999999999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7"/>
      <c r="L535" s="25"/>
      <c r="M535" s="17"/>
      <c r="N535" s="17"/>
      <c r="O535" s="17"/>
      <c r="P535" s="17"/>
      <c r="Q535" s="17"/>
      <c r="R535" s="17"/>
      <c r="S535" s="17"/>
      <c r="T535" s="17"/>
      <c r="U535" s="17"/>
      <c r="V535" s="17"/>
    </row>
    <row r="536" spans="1:41" ht="19.899999999999999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7"/>
      <c r="L536" s="25"/>
      <c r="M536" s="17"/>
      <c r="N536" s="17"/>
      <c r="O536" s="17"/>
      <c r="P536" s="17"/>
      <c r="Q536" s="17"/>
      <c r="R536" s="17"/>
      <c r="S536" s="17"/>
      <c r="T536" s="17"/>
      <c r="U536" s="17"/>
      <c r="V536" s="17"/>
    </row>
    <row r="537" spans="1:41" ht="19.899999999999999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7"/>
      <c r="L537" s="25"/>
      <c r="M537" s="17"/>
      <c r="N537" s="17"/>
      <c r="O537" s="17"/>
      <c r="P537" s="17"/>
      <c r="Q537" s="17"/>
      <c r="R537" s="17"/>
      <c r="S537" s="17"/>
      <c r="T537" s="17"/>
      <c r="U537" s="17"/>
      <c r="V537" s="17"/>
    </row>
    <row r="538" spans="1:41" ht="19.899999999999999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7"/>
      <c r="L538" s="25"/>
      <c r="M538" s="17"/>
      <c r="N538" s="17"/>
      <c r="O538" s="17"/>
      <c r="P538" s="17"/>
      <c r="Q538" s="17"/>
      <c r="R538" s="17"/>
      <c r="S538" s="17"/>
      <c r="T538" s="17"/>
      <c r="U538" s="17"/>
      <c r="V538" s="17"/>
    </row>
    <row r="539" spans="1:41" ht="19.899999999999999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7"/>
      <c r="L539" s="25"/>
      <c r="M539" s="17"/>
      <c r="N539" s="17"/>
      <c r="O539" s="17"/>
      <c r="P539" s="17"/>
      <c r="Q539" s="17"/>
      <c r="R539" s="17"/>
      <c r="S539" s="17"/>
      <c r="T539" s="17"/>
      <c r="U539" s="17"/>
      <c r="V539" s="17"/>
    </row>
    <row r="540" spans="1:41" ht="19.899999999999999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7"/>
      <c r="L540" s="25"/>
      <c r="M540" s="17"/>
      <c r="N540" s="17"/>
      <c r="O540" s="17"/>
      <c r="P540" s="17"/>
      <c r="Q540" s="17"/>
      <c r="R540" s="17"/>
      <c r="S540" s="17"/>
      <c r="T540" s="17"/>
      <c r="U540" s="17"/>
      <c r="V540" s="17"/>
    </row>
    <row r="541" spans="1:41" ht="19.899999999999999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7"/>
      <c r="L541" s="25"/>
      <c r="M541" s="17"/>
      <c r="N541" s="17"/>
      <c r="O541" s="17"/>
      <c r="P541" s="17"/>
      <c r="Q541" s="17"/>
      <c r="R541" s="17"/>
      <c r="S541" s="17"/>
      <c r="T541" s="17"/>
      <c r="U541" s="17"/>
      <c r="V541" s="17"/>
    </row>
    <row r="542" spans="1:41" ht="19.899999999999999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7"/>
      <c r="L542" s="25"/>
      <c r="M542" s="17"/>
      <c r="N542" s="17"/>
      <c r="O542" s="17"/>
      <c r="P542" s="17"/>
      <c r="Q542" s="17"/>
      <c r="R542" s="17"/>
      <c r="S542" s="17"/>
      <c r="T542" s="17"/>
      <c r="U542" s="17"/>
      <c r="V542" s="17"/>
    </row>
    <row r="543" spans="1:41" ht="19.899999999999999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7"/>
      <c r="L543" s="25"/>
      <c r="M543" s="17"/>
      <c r="N543" s="17"/>
      <c r="O543" s="17"/>
      <c r="P543" s="17"/>
      <c r="Q543" s="17"/>
      <c r="R543" s="17"/>
      <c r="S543" s="17"/>
      <c r="T543" s="17"/>
      <c r="U543" s="17"/>
      <c r="V543" s="17"/>
    </row>
    <row r="544" spans="1:41" ht="19.899999999999999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7"/>
      <c r="L544" s="25"/>
      <c r="M544" s="17"/>
      <c r="N544" s="17"/>
      <c r="O544" s="17"/>
      <c r="P544" s="17"/>
      <c r="Q544" s="17"/>
      <c r="R544" s="17"/>
      <c r="S544" s="17"/>
      <c r="T544" s="17"/>
      <c r="U544" s="17"/>
      <c r="V544" s="17"/>
    </row>
    <row r="545" spans="1:22" ht="19.899999999999999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7"/>
      <c r="L545" s="25"/>
      <c r="M545" s="17"/>
      <c r="N545" s="17"/>
      <c r="O545" s="17"/>
      <c r="P545" s="17"/>
      <c r="Q545" s="17"/>
      <c r="R545" s="17"/>
      <c r="S545" s="17"/>
      <c r="T545" s="17"/>
      <c r="U545" s="17"/>
      <c r="V545" s="17"/>
    </row>
    <row r="546" spans="1:22" ht="19.899999999999999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7"/>
      <c r="L546" s="25"/>
      <c r="M546" s="17"/>
      <c r="N546" s="17"/>
      <c r="O546" s="17"/>
      <c r="P546" s="17"/>
      <c r="Q546" s="17"/>
      <c r="R546" s="17"/>
      <c r="S546" s="17"/>
      <c r="T546" s="17"/>
      <c r="U546" s="17"/>
      <c r="V546" s="17"/>
    </row>
    <row r="547" spans="1:22" ht="19.899999999999999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7"/>
      <c r="L547" s="25"/>
      <c r="M547" s="17"/>
      <c r="N547" s="17"/>
      <c r="O547" s="17"/>
      <c r="P547" s="17"/>
      <c r="Q547" s="17"/>
      <c r="R547" s="17"/>
      <c r="S547" s="17"/>
      <c r="T547" s="17"/>
      <c r="U547" s="17"/>
      <c r="V547" s="17"/>
    </row>
    <row r="548" spans="1:22" ht="19.899999999999999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7"/>
      <c r="L548" s="25"/>
      <c r="M548" s="17"/>
      <c r="N548" s="17"/>
      <c r="O548" s="17"/>
      <c r="P548" s="17"/>
      <c r="Q548" s="17"/>
      <c r="R548" s="17"/>
      <c r="S548" s="17"/>
      <c r="T548" s="17"/>
      <c r="U548" s="17"/>
      <c r="V548" s="17"/>
    </row>
    <row r="549" spans="1:22" ht="19.899999999999999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7"/>
      <c r="L549" s="25"/>
      <c r="M549" s="17"/>
      <c r="N549" s="17"/>
      <c r="O549" s="17"/>
      <c r="P549" s="17"/>
      <c r="Q549" s="17"/>
      <c r="R549" s="17"/>
      <c r="S549" s="17"/>
      <c r="T549" s="17"/>
      <c r="U549" s="17"/>
      <c r="V549" s="17"/>
    </row>
    <row r="550" spans="1:22" ht="19.899999999999999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7"/>
      <c r="L550" s="25"/>
      <c r="M550" s="17"/>
      <c r="N550" s="17"/>
      <c r="O550" s="17"/>
      <c r="P550" s="17"/>
      <c r="Q550" s="17"/>
      <c r="R550" s="17"/>
      <c r="S550" s="17"/>
      <c r="T550" s="17"/>
      <c r="U550" s="17"/>
      <c r="V550" s="17"/>
    </row>
    <row r="551" spans="1:22" ht="19.899999999999999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7"/>
      <c r="L551" s="25"/>
      <c r="M551" s="17"/>
      <c r="N551" s="17"/>
      <c r="O551" s="17"/>
      <c r="P551" s="17"/>
      <c r="Q551" s="17"/>
      <c r="R551" s="17"/>
      <c r="S551" s="17"/>
      <c r="T551" s="17"/>
      <c r="U551" s="17"/>
      <c r="V551" s="17"/>
    </row>
    <row r="552" spans="1:22" ht="19.899999999999999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7"/>
      <c r="L552" s="25"/>
      <c r="M552" s="17"/>
      <c r="N552" s="17"/>
      <c r="O552" s="17"/>
      <c r="P552" s="17"/>
      <c r="Q552" s="17"/>
      <c r="R552" s="17"/>
      <c r="S552" s="17"/>
      <c r="T552" s="17"/>
      <c r="U552" s="17"/>
      <c r="V552" s="17"/>
    </row>
    <row r="553" spans="1:22" ht="19.899999999999999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7"/>
      <c r="L553" s="25"/>
      <c r="M553" s="17"/>
      <c r="N553" s="17"/>
      <c r="O553" s="17"/>
      <c r="P553" s="17"/>
      <c r="Q553" s="17"/>
      <c r="R553" s="17"/>
      <c r="S553" s="17"/>
      <c r="T553" s="17"/>
      <c r="U553" s="17"/>
      <c r="V553" s="17"/>
    </row>
  </sheetData>
  <dataConsolidate/>
  <mergeCells count="87">
    <mergeCell ref="H3:I3"/>
    <mergeCell ref="A4:B4"/>
    <mergeCell ref="C4:G4"/>
    <mergeCell ref="G10:G11"/>
    <mergeCell ref="A1:B1"/>
    <mergeCell ref="A2:B2"/>
    <mergeCell ref="A3:B3"/>
    <mergeCell ref="C3:G3"/>
    <mergeCell ref="G7:G9"/>
    <mergeCell ref="V8:V9"/>
    <mergeCell ref="W8:W9"/>
    <mergeCell ref="Z8:Z9"/>
    <mergeCell ref="AA8:AA9"/>
    <mergeCell ref="A36:B36"/>
    <mergeCell ref="C14:C15"/>
    <mergeCell ref="G14:G16"/>
    <mergeCell ref="H16:H17"/>
    <mergeCell ref="G19:G20"/>
    <mergeCell ref="G21:G24"/>
    <mergeCell ref="C26:D26"/>
    <mergeCell ref="A31:B31"/>
    <mergeCell ref="A32:B32"/>
    <mergeCell ref="A33:B33"/>
    <mergeCell ref="A34:B34"/>
    <mergeCell ref="A35:B35"/>
    <mergeCell ref="B56:C56"/>
    <mergeCell ref="A39:A41"/>
    <mergeCell ref="A42:A44"/>
    <mergeCell ref="A45:A47"/>
    <mergeCell ref="V45:Y45"/>
    <mergeCell ref="A48:A50"/>
    <mergeCell ref="I48:J48"/>
    <mergeCell ref="I49:J49"/>
    <mergeCell ref="A52:A53"/>
    <mergeCell ref="B52:C53"/>
    <mergeCell ref="F52:F53"/>
    <mergeCell ref="B54:C54"/>
    <mergeCell ref="B55:C55"/>
    <mergeCell ref="I139:I140"/>
    <mergeCell ref="B57:C57"/>
    <mergeCell ref="O59:P59"/>
    <mergeCell ref="G126:H126"/>
    <mergeCell ref="B137:D138"/>
    <mergeCell ref="E137:E138"/>
    <mergeCell ref="G137:G138"/>
    <mergeCell ref="H137:H138"/>
    <mergeCell ref="I137:I138"/>
    <mergeCell ref="B139:C140"/>
    <mergeCell ref="D139:D140"/>
    <mergeCell ref="F139:F140"/>
    <mergeCell ref="G139:G140"/>
    <mergeCell ref="H139:H140"/>
    <mergeCell ref="W141:Z141"/>
    <mergeCell ref="K323:K328"/>
    <mergeCell ref="J329:K329"/>
    <mergeCell ref="C372:C373"/>
    <mergeCell ref="D372:E372"/>
    <mergeCell ref="L372:L373"/>
    <mergeCell ref="M372:N372"/>
    <mergeCell ref="D373:E373"/>
    <mergeCell ref="M373:N373"/>
    <mergeCell ref="J383:J387"/>
    <mergeCell ref="C395:C396"/>
    <mergeCell ref="E395:E396"/>
    <mergeCell ref="F395:F396"/>
    <mergeCell ref="G395:G396"/>
    <mergeCell ref="H395:H396"/>
    <mergeCell ref="C397:C398"/>
    <mergeCell ref="E397:E398"/>
    <mergeCell ref="F397:F398"/>
    <mergeCell ref="G397:G398"/>
    <mergeCell ref="C404:C405"/>
    <mergeCell ref="E404:E405"/>
    <mergeCell ref="F404:F405"/>
    <mergeCell ref="G404:G405"/>
    <mergeCell ref="AE470:AF470"/>
    <mergeCell ref="M474:M475"/>
    <mergeCell ref="AA455:AC455"/>
    <mergeCell ref="N459:N461"/>
    <mergeCell ref="S469:X469"/>
    <mergeCell ref="Y469:AB469"/>
    <mergeCell ref="AC469:AF469"/>
    <mergeCell ref="S470:U470"/>
    <mergeCell ref="V470:X470"/>
    <mergeCell ref="Y470:Z470"/>
    <mergeCell ref="AA470:AB470"/>
    <mergeCell ref="AC470:AD470"/>
  </mergeCells>
  <conditionalFormatting sqref="E66:J66">
    <cfRule type="expression" dxfId="118" priority="16">
      <formula>$V$66="Chưa đạt"</formula>
    </cfRule>
  </conditionalFormatting>
  <conditionalFormatting sqref="E67:J67">
    <cfRule type="expression" dxfId="117" priority="15">
      <formula>$V$67="Chưa đạt"</formula>
    </cfRule>
  </conditionalFormatting>
  <conditionalFormatting sqref="E68:J68">
    <cfRule type="expression" dxfId="116" priority="14">
      <formula>$V$68="Chưa đạt"</formula>
    </cfRule>
  </conditionalFormatting>
  <conditionalFormatting sqref="E70:J70">
    <cfRule type="expression" dxfId="115" priority="13">
      <formula>$V$70="Chưa đạt"</formula>
    </cfRule>
  </conditionalFormatting>
  <conditionalFormatting sqref="E71:J71">
    <cfRule type="expression" dxfId="114" priority="12">
      <formula>$V$71="Chưa đạt"</formula>
    </cfRule>
  </conditionalFormatting>
  <conditionalFormatting sqref="E72:J72">
    <cfRule type="expression" dxfId="113" priority="11">
      <formula>$V$72="Chưa đạt"</formula>
    </cfRule>
  </conditionalFormatting>
  <conditionalFormatting sqref="E82:J82">
    <cfRule type="expression" dxfId="112" priority="10">
      <formula>$V$82="Chưa đạt"</formula>
    </cfRule>
  </conditionalFormatting>
  <conditionalFormatting sqref="E83:J83">
    <cfRule type="expression" dxfId="111" priority="9">
      <formula>$V$83="Chưa đạt"</formula>
    </cfRule>
  </conditionalFormatting>
  <conditionalFormatting sqref="E84:J84">
    <cfRule type="expression" dxfId="110" priority="8">
      <formula>$V$84="Chưa đạt"</formula>
    </cfRule>
  </conditionalFormatting>
  <conditionalFormatting sqref="E88:J88">
    <cfRule type="expression" dxfId="109" priority="7">
      <formula>$V$88="Chưa đạt"</formula>
    </cfRule>
  </conditionalFormatting>
  <conditionalFormatting sqref="E89:J89">
    <cfRule type="expression" dxfId="108" priority="6">
      <formula>$V$89="Chưa đạt"</formula>
    </cfRule>
  </conditionalFormatting>
  <conditionalFormatting sqref="E90:J90">
    <cfRule type="expression" dxfId="107" priority="5">
      <formula>$V$90="Chưa đạt"</formula>
    </cfRule>
  </conditionalFormatting>
  <conditionalFormatting sqref="B131:F131 H131:K131">
    <cfRule type="expression" dxfId="106" priority="4">
      <formula>$V$131="NOT"</formula>
    </cfRule>
  </conditionalFormatting>
  <conditionalFormatting sqref="B139:I140">
    <cfRule type="expression" dxfId="105" priority="3">
      <formula>$V$139="NOT"</formula>
    </cfRule>
  </conditionalFormatting>
  <conditionalFormatting sqref="A154:L154">
    <cfRule type="expression" dxfId="104" priority="2">
      <formula>$V$154="NO"</formula>
    </cfRule>
  </conditionalFormatting>
  <conditionalFormatting sqref="V148">
    <cfRule type="expression" dxfId="103" priority="1">
      <formula>$V$148="NO"</formula>
    </cfRule>
  </conditionalFormatting>
  <conditionalFormatting sqref="H148:J148">
    <cfRule type="expression" dxfId="102" priority="17">
      <formula>$K$148="NO"</formula>
    </cfRule>
  </conditionalFormatting>
  <printOptions horizontalCentered="1"/>
  <pageMargins left="0.19685039370078741" right="0.19685039370078741" top="0.39370078740157483" bottom="0.39370078740157483" header="0" footer="0"/>
  <pageSetup paperSize="9" scale="77" orientation="portrait" blackAndWhite="1" r:id="rId1"/>
  <headerFooter alignWithMargins="0">
    <oddFooter xml:space="preserve">&amp;C
&amp;R&amp;12&amp;Y </oddFooter>
  </headerFooter>
  <rowBreaks count="2" manualBreakCount="2">
    <brk id="50" max="11" man="1"/>
    <brk id="102" max="11" man="1"/>
  </rowBreaks>
  <drawing r:id="rId2"/>
  <legacyDrawing r:id="rId3"/>
  <oleObjects>
    <mc:AlternateContent xmlns:mc="http://schemas.openxmlformats.org/markup-compatibility/2006">
      <mc:Choice Requires="x14">
        <oleObject progId="Equation.3" shapeId="489473" r:id="rId4">
          <objectPr defaultSize="0" autoPict="0" r:id="rId5">
            <anchor moveWithCells="1">
              <from>
                <xdr:col>0</xdr:col>
                <xdr:colOff>609600</xdr:colOff>
                <xdr:row>448</xdr:row>
                <xdr:rowOff>146050</xdr:rowOff>
              </from>
              <to>
                <xdr:col>1</xdr:col>
                <xdr:colOff>609600</xdr:colOff>
                <xdr:row>450</xdr:row>
                <xdr:rowOff>19050</xdr:rowOff>
              </to>
            </anchor>
          </objectPr>
        </oleObject>
      </mc:Choice>
      <mc:Fallback>
        <oleObject progId="Equation.3" shapeId="489473" r:id="rId4"/>
      </mc:Fallback>
    </mc:AlternateContent>
    <mc:AlternateContent xmlns:mc="http://schemas.openxmlformats.org/markup-compatibility/2006">
      <mc:Choice Requires="x14">
        <oleObject progId="Equation.3" shapeId="489474" r:id="rId6">
          <objectPr defaultSize="0" autoPict="0" r:id="rId7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146050</xdr:colOff>
                <xdr:row>449</xdr:row>
                <xdr:rowOff>209550</xdr:rowOff>
              </to>
            </anchor>
          </objectPr>
        </oleObject>
      </mc:Choice>
      <mc:Fallback>
        <oleObject progId="Equation.3" shapeId="489474" r:id="rId6"/>
      </mc:Fallback>
    </mc:AlternateContent>
    <mc:AlternateContent xmlns:mc="http://schemas.openxmlformats.org/markup-compatibility/2006">
      <mc:Choice Requires="x14">
        <oleObject progId="Equation.3" shapeId="489475" r:id="rId8">
          <objectPr defaultSize="0" autoPict="0" r:id="rId9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247650</xdr:colOff>
                <xdr:row>449</xdr:row>
                <xdr:rowOff>165100</xdr:rowOff>
              </to>
            </anchor>
          </objectPr>
        </oleObject>
      </mc:Choice>
      <mc:Fallback>
        <oleObject progId="Equation.3" shapeId="489475" r:id="rId8"/>
      </mc:Fallback>
    </mc:AlternateContent>
    <mc:AlternateContent xmlns:mc="http://schemas.openxmlformats.org/markup-compatibility/2006">
      <mc:Choice Requires="x14">
        <oleObject progId="Equation.3" shapeId="489476" r:id="rId10">
          <objectPr defaultSize="0" autoPict="0" r:id="rId11">
            <anchor moveWithCells="1">
              <from>
                <xdr:col>4</xdr:col>
                <xdr:colOff>685800</xdr:colOff>
                <xdr:row>448</xdr:row>
                <xdr:rowOff>146050</xdr:rowOff>
              </from>
              <to>
                <xdr:col>6</xdr:col>
                <xdr:colOff>107950</xdr:colOff>
                <xdr:row>449</xdr:row>
                <xdr:rowOff>203200</xdr:rowOff>
              </to>
            </anchor>
          </objectPr>
        </oleObject>
      </mc:Choice>
      <mc:Fallback>
        <oleObject progId="Equation.3" shapeId="489476" r:id="rId10"/>
      </mc:Fallback>
    </mc:AlternateContent>
    <mc:AlternateContent xmlns:mc="http://schemas.openxmlformats.org/markup-compatibility/2006">
      <mc:Choice Requires="x14">
        <oleObject progId="Equation.3" shapeId="489477" r:id="rId12">
          <objectPr defaultSize="0" autoPict="0" r:id="rId13">
            <anchor moveWithCells="1">
              <from>
                <xdr:col>2</xdr:col>
                <xdr:colOff>209550</xdr:colOff>
                <xdr:row>448</xdr:row>
                <xdr:rowOff>88900</xdr:rowOff>
              </from>
              <to>
                <xdr:col>3</xdr:col>
                <xdr:colOff>361950</xdr:colOff>
                <xdr:row>450</xdr:row>
                <xdr:rowOff>95250</xdr:rowOff>
              </to>
            </anchor>
          </objectPr>
        </oleObject>
      </mc:Choice>
      <mc:Fallback>
        <oleObject progId="Equation.3" shapeId="489477" r:id="rId12"/>
      </mc:Fallback>
    </mc:AlternateContent>
    <mc:AlternateContent xmlns:mc="http://schemas.openxmlformats.org/markup-compatibility/2006">
      <mc:Choice Requires="x14">
        <oleObject progId="Equation.3" shapeId="489478" r:id="rId14">
          <objectPr defaultSize="0" autoPict="0" r:id="rId15">
            <anchor moveWithCells="1">
              <from>
                <xdr:col>1</xdr:col>
                <xdr:colOff>19050</xdr:colOff>
                <xdr:row>449</xdr:row>
                <xdr:rowOff>19050</xdr:rowOff>
              </from>
              <to>
                <xdr:col>3</xdr:col>
                <xdr:colOff>190500</xdr:colOff>
                <xdr:row>450</xdr:row>
                <xdr:rowOff>165100</xdr:rowOff>
              </to>
            </anchor>
          </objectPr>
        </oleObject>
      </mc:Choice>
      <mc:Fallback>
        <oleObject progId="Equation.3" shapeId="489478" r:id="rId14"/>
      </mc:Fallback>
    </mc:AlternateContent>
    <mc:AlternateContent xmlns:mc="http://schemas.openxmlformats.org/markup-compatibility/2006">
      <mc:Choice Requires="x14">
        <oleObject progId="Equation.3" shapeId="489479" r:id="rId16">
          <objectPr defaultSize="0" autoPict="0" r:id="rId17">
            <anchor moveWithCells="1">
              <from>
                <xdr:col>1</xdr:col>
                <xdr:colOff>241300</xdr:colOff>
                <xdr:row>448</xdr:row>
                <xdr:rowOff>133350</xdr:rowOff>
              </from>
              <to>
                <xdr:col>2</xdr:col>
                <xdr:colOff>304800</xdr:colOff>
                <xdr:row>450</xdr:row>
                <xdr:rowOff>31750</xdr:rowOff>
              </to>
            </anchor>
          </objectPr>
        </oleObject>
      </mc:Choice>
      <mc:Fallback>
        <oleObject progId="Equation.3" shapeId="489479" r:id="rId16"/>
      </mc:Fallback>
    </mc:AlternateContent>
    <mc:AlternateContent xmlns:mc="http://schemas.openxmlformats.org/markup-compatibility/2006">
      <mc:Choice Requires="x14">
        <oleObject progId="Equation.3" shapeId="489480" r:id="rId18">
          <objectPr defaultSize="0" autoPict="0" r:id="rId9">
            <anchor moveWithCells="1">
              <from>
                <xdr:col>3</xdr:col>
                <xdr:colOff>476250</xdr:colOff>
                <xdr:row>448</xdr:row>
                <xdr:rowOff>88900</xdr:rowOff>
              </from>
              <to>
                <xdr:col>4</xdr:col>
                <xdr:colOff>666750</xdr:colOff>
                <xdr:row>449</xdr:row>
                <xdr:rowOff>203200</xdr:rowOff>
              </to>
            </anchor>
          </objectPr>
        </oleObject>
      </mc:Choice>
      <mc:Fallback>
        <oleObject progId="Equation.3" shapeId="489480" r:id="rId18"/>
      </mc:Fallback>
    </mc:AlternateContent>
    <mc:AlternateContent xmlns:mc="http://schemas.openxmlformats.org/markup-compatibility/2006">
      <mc:Choice Requires="x14">
        <oleObject progId="Equation.3" shapeId="489481" r:id="rId19">
          <objectPr defaultSize="0" autoPict="0" r:id="rId9">
            <anchor moveWithCells="1">
              <from>
                <xdr:col>3</xdr:col>
                <xdr:colOff>508000</xdr:colOff>
                <xdr:row>449</xdr:row>
                <xdr:rowOff>31750</xdr:rowOff>
              </from>
              <to>
                <xdr:col>4</xdr:col>
                <xdr:colOff>660400</xdr:colOff>
                <xdr:row>450</xdr:row>
                <xdr:rowOff>88900</xdr:rowOff>
              </to>
            </anchor>
          </objectPr>
        </oleObject>
      </mc:Choice>
      <mc:Fallback>
        <oleObject progId="Equation.3" shapeId="489481" r:id="rId19"/>
      </mc:Fallback>
    </mc:AlternateContent>
    <mc:AlternateContent xmlns:mc="http://schemas.openxmlformats.org/markup-compatibility/2006">
      <mc:Choice Requires="x14">
        <oleObject progId="Equation.3" shapeId="489482" r:id="rId20">
          <objectPr defaultSize="0" autoPict="0" r:id="rId17">
            <anchor moveWithCells="1">
              <from>
                <xdr:col>1</xdr:col>
                <xdr:colOff>241300</xdr:colOff>
                <xdr:row>448</xdr:row>
                <xdr:rowOff>127000</xdr:rowOff>
              </from>
              <to>
                <xdr:col>2</xdr:col>
                <xdr:colOff>304800</xdr:colOff>
                <xdr:row>450</xdr:row>
                <xdr:rowOff>19050</xdr:rowOff>
              </to>
            </anchor>
          </objectPr>
        </oleObject>
      </mc:Choice>
      <mc:Fallback>
        <oleObject progId="Equation.3" shapeId="489482" r:id="rId20"/>
      </mc:Fallback>
    </mc:AlternateContent>
    <mc:AlternateContent xmlns:mc="http://schemas.openxmlformats.org/markup-compatibility/2006">
      <mc:Choice Requires="x14">
        <oleObject progId="Equation.3" shapeId="489483" r:id="rId21">
          <objectPr defaultSize="0" autoPict="0" r:id="rId11">
            <anchor moveWithCells="1">
              <from>
                <xdr:col>5</xdr:col>
                <xdr:colOff>12700</xdr:colOff>
                <xdr:row>448</xdr:row>
                <xdr:rowOff>165100</xdr:rowOff>
              </from>
              <to>
                <xdr:col>6</xdr:col>
                <xdr:colOff>146050</xdr:colOff>
                <xdr:row>449</xdr:row>
                <xdr:rowOff>209550</xdr:rowOff>
              </to>
            </anchor>
          </objectPr>
        </oleObject>
      </mc:Choice>
      <mc:Fallback>
        <oleObject progId="Equation.3" shapeId="489483" r:id="rId21"/>
      </mc:Fallback>
    </mc:AlternateContent>
    <mc:AlternateContent xmlns:mc="http://schemas.openxmlformats.org/markup-compatibility/2006">
      <mc:Choice Requires="x14">
        <oleObject progId="Equation.3" shapeId="489484" r:id="rId22">
          <objectPr defaultSize="0" autoPict="0" r:id="rId23">
            <anchor moveWithCells="1" sizeWithCells="1">
              <from>
                <xdr:col>2</xdr:col>
                <xdr:colOff>431800</xdr:colOff>
                <xdr:row>312</xdr:row>
                <xdr:rowOff>31750</xdr:rowOff>
              </from>
              <to>
                <xdr:col>3</xdr:col>
                <xdr:colOff>628650</xdr:colOff>
                <xdr:row>314</xdr:row>
                <xdr:rowOff>114300</xdr:rowOff>
              </to>
            </anchor>
          </objectPr>
        </oleObject>
      </mc:Choice>
      <mc:Fallback>
        <oleObject progId="Equation.3" shapeId="489484" r:id="rId22"/>
      </mc:Fallback>
    </mc:AlternateContent>
    <mc:AlternateContent xmlns:mc="http://schemas.openxmlformats.org/markup-compatibility/2006">
      <mc:Choice Requires="x14">
        <oleObject progId="Equation.3" shapeId="489485" r:id="rId24">
          <objectPr defaultSize="0" autoPict="0" r:id="rId25">
            <anchor moveWithCells="1" sizeWithCells="1">
              <from>
                <xdr:col>2</xdr:col>
                <xdr:colOff>38100</xdr:colOff>
                <xdr:row>314</xdr:row>
                <xdr:rowOff>114300</xdr:rowOff>
              </from>
              <to>
                <xdr:col>3</xdr:col>
                <xdr:colOff>704850</xdr:colOff>
                <xdr:row>316</xdr:row>
                <xdr:rowOff>50800</xdr:rowOff>
              </to>
            </anchor>
          </objectPr>
        </oleObject>
      </mc:Choice>
      <mc:Fallback>
        <oleObject progId="Equation.3" shapeId="489485" r:id="rId24"/>
      </mc:Fallback>
    </mc:AlternateContent>
    <mc:AlternateContent xmlns:mc="http://schemas.openxmlformats.org/markup-compatibility/2006">
      <mc:Choice Requires="x14">
        <oleObject progId="Visio.Drawing.11" shapeId="489486" r:id="rId26">
          <objectPr defaultSize="0" autoPict="0" r:id="rId27">
            <anchor moveWithCells="1">
              <from>
                <xdr:col>9</xdr:col>
                <xdr:colOff>12700</xdr:colOff>
                <xdr:row>448</xdr:row>
                <xdr:rowOff>69850</xdr:rowOff>
              </from>
              <to>
                <xdr:col>10</xdr:col>
                <xdr:colOff>323850</xdr:colOff>
                <xdr:row>453</xdr:row>
                <xdr:rowOff>107950</xdr:rowOff>
              </to>
            </anchor>
          </objectPr>
        </oleObject>
      </mc:Choice>
      <mc:Fallback>
        <oleObject progId="Visio.Drawing.11" shapeId="489486" r:id="rId26"/>
      </mc:Fallback>
    </mc:AlternateContent>
    <mc:AlternateContent xmlns:mc="http://schemas.openxmlformats.org/markup-compatibility/2006">
      <mc:Choice Requires="x14">
        <oleObject progId="Visio.Drawing.11" shapeId="489487" r:id="rId28">
          <objectPr defaultSize="0" autoPict="0" r:id="rId29">
            <anchor moveWithCells="1">
              <from>
                <xdr:col>8</xdr:col>
                <xdr:colOff>152400</xdr:colOff>
                <xdr:row>448</xdr:row>
                <xdr:rowOff>69850</xdr:rowOff>
              </from>
              <to>
                <xdr:col>9</xdr:col>
                <xdr:colOff>488950</xdr:colOff>
                <xdr:row>453</xdr:row>
                <xdr:rowOff>88900</xdr:rowOff>
              </to>
            </anchor>
          </objectPr>
        </oleObject>
      </mc:Choice>
      <mc:Fallback>
        <oleObject progId="Visio.Drawing.11" shapeId="489487" r:id="rId28"/>
      </mc:Fallback>
    </mc:AlternateContent>
    <mc:AlternateContent xmlns:mc="http://schemas.openxmlformats.org/markup-compatibility/2006">
      <mc:Choice Requires="x14">
        <oleObject progId="Equation.DSMT4" shapeId="489488" r:id="rId30">
          <objectPr defaultSize="0" autoPict="0" r:id="rId31">
            <anchor moveWithCells="1" sizeWithCells="1">
              <from>
                <xdr:col>3</xdr:col>
                <xdr:colOff>12700</xdr:colOff>
                <xdr:row>147</xdr:row>
                <xdr:rowOff>76200</xdr:rowOff>
              </from>
              <to>
                <xdr:col>4</xdr:col>
                <xdr:colOff>228600</xdr:colOff>
                <xdr:row>148</xdr:row>
                <xdr:rowOff>69850</xdr:rowOff>
              </to>
            </anchor>
          </objectPr>
        </oleObject>
      </mc:Choice>
      <mc:Fallback>
        <oleObject progId="Equation.DSMT4" shapeId="489488" r:id="rId30"/>
      </mc:Fallback>
    </mc:AlternateContent>
    <mc:AlternateContent xmlns:mc="http://schemas.openxmlformats.org/markup-compatibility/2006">
      <mc:Choice Requires="x14">
        <oleObject progId="Equation.3" shapeId="489489" r:id="rId32">
          <objectPr defaultSize="0" autoPict="0" r:id="rId33">
            <anchor moveWithCells="1">
              <from>
                <xdr:col>1</xdr:col>
                <xdr:colOff>31750</xdr:colOff>
                <xdr:row>153</xdr:row>
                <xdr:rowOff>0</xdr:rowOff>
              </from>
              <to>
                <xdr:col>3</xdr:col>
                <xdr:colOff>628650</xdr:colOff>
                <xdr:row>154</xdr:row>
                <xdr:rowOff>184150</xdr:rowOff>
              </to>
            </anchor>
          </objectPr>
        </oleObject>
      </mc:Choice>
      <mc:Fallback>
        <oleObject progId="Equation.3" shapeId="489489" r:id="rId32"/>
      </mc:Fallback>
    </mc:AlternateContent>
    <mc:AlternateContent xmlns:mc="http://schemas.openxmlformats.org/markup-compatibility/2006">
      <mc:Choice Requires="x14">
        <oleObject progId="Equation.3" shapeId="489490" r:id="rId34">
          <objectPr defaultSize="0" autoPict="0" r:id="rId35">
            <anchor moveWithCells="1">
              <from>
                <xdr:col>5</xdr:col>
                <xdr:colOff>476250</xdr:colOff>
                <xdr:row>142</xdr:row>
                <xdr:rowOff>12700</xdr:rowOff>
              </from>
              <to>
                <xdr:col>7</xdr:col>
                <xdr:colOff>146050</xdr:colOff>
                <xdr:row>143</xdr:row>
                <xdr:rowOff>31750</xdr:rowOff>
              </to>
            </anchor>
          </objectPr>
        </oleObject>
      </mc:Choice>
      <mc:Fallback>
        <oleObject progId="Equation.3" shapeId="489490" r:id="rId34"/>
      </mc:Fallback>
    </mc:AlternateContent>
    <mc:AlternateContent xmlns:mc="http://schemas.openxmlformats.org/markup-compatibility/2006">
      <mc:Choice Requires="x14">
        <oleObject progId="Equation.3" shapeId="489491" r:id="rId36">
          <objectPr defaultSize="0" autoPict="0" r:id="rId37">
            <anchor moveWithCells="1">
              <from>
                <xdr:col>2</xdr:col>
                <xdr:colOff>603250</xdr:colOff>
                <xdr:row>142</xdr:row>
                <xdr:rowOff>247650</xdr:rowOff>
              </from>
              <to>
                <xdr:col>5</xdr:col>
                <xdr:colOff>50800</xdr:colOff>
                <xdr:row>144</xdr:row>
                <xdr:rowOff>88900</xdr:rowOff>
              </to>
            </anchor>
          </objectPr>
        </oleObject>
      </mc:Choice>
      <mc:Fallback>
        <oleObject progId="Equation.3" shapeId="489491" r:id="rId36"/>
      </mc:Fallback>
    </mc:AlternateContent>
    <mc:AlternateContent xmlns:mc="http://schemas.openxmlformats.org/markup-compatibility/2006">
      <mc:Choice Requires="x14">
        <oleObject progId="Equation.3" shapeId="489492" r:id="rId38">
          <objectPr defaultSize="0" autoPict="0" r:id="rId39">
            <anchor moveWithCells="1">
              <from>
                <xdr:col>5</xdr:col>
                <xdr:colOff>393700</xdr:colOff>
                <xdr:row>144</xdr:row>
                <xdr:rowOff>31750</xdr:rowOff>
              </from>
              <to>
                <xdr:col>7</xdr:col>
                <xdr:colOff>76200</xdr:colOff>
                <xdr:row>145</xdr:row>
                <xdr:rowOff>31750</xdr:rowOff>
              </to>
            </anchor>
          </objectPr>
        </oleObject>
      </mc:Choice>
      <mc:Fallback>
        <oleObject progId="Equation.3" shapeId="489492" r:id="rId38"/>
      </mc:Fallback>
    </mc:AlternateContent>
    <mc:AlternateContent xmlns:mc="http://schemas.openxmlformats.org/markup-compatibility/2006">
      <mc:Choice Requires="x14">
        <oleObject progId="Equation.3" shapeId="489493" r:id="rId40">
          <objectPr defaultSize="0" autoPict="0" r:id="rId41">
            <anchor moveWithCells="1">
              <from>
                <xdr:col>2</xdr:col>
                <xdr:colOff>622300</xdr:colOff>
                <xdr:row>144</xdr:row>
                <xdr:rowOff>336550</xdr:rowOff>
              </from>
              <to>
                <xdr:col>5</xdr:col>
                <xdr:colOff>19050</xdr:colOff>
                <xdr:row>146</xdr:row>
                <xdr:rowOff>31750</xdr:rowOff>
              </to>
            </anchor>
          </objectPr>
        </oleObject>
      </mc:Choice>
      <mc:Fallback>
        <oleObject progId="Equation.3" shapeId="489493" r:id="rId40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0"/>
  <dimension ref="A1:AO553"/>
  <sheetViews>
    <sheetView view="pageBreakPreview" topLeftCell="A45" zoomScaleNormal="100" zoomScaleSheetLayoutView="100" workbookViewId="0">
      <selection activeCell="AH3" sqref="AH3"/>
    </sheetView>
  </sheetViews>
  <sheetFormatPr defaultColWidth="10.69921875" defaultRowHeight="19.899999999999999" customHeight="1" outlineLevelRow="1"/>
  <cols>
    <col min="1" max="2" width="11.59765625" style="2" customWidth="1"/>
    <col min="3" max="3" width="10.69921875" style="2"/>
    <col min="4" max="4" width="11.296875" style="2" customWidth="1"/>
    <col min="5" max="5" width="10.69921875" style="2"/>
    <col min="6" max="6" width="11.09765625" style="2" customWidth="1"/>
    <col min="7" max="7" width="11.296875" style="2" customWidth="1"/>
    <col min="8" max="8" width="10.69921875" style="2"/>
    <col min="9" max="9" width="11.3984375" style="2" customWidth="1"/>
    <col min="10" max="10" width="10.69921875" style="2"/>
    <col min="11" max="11" width="10.69921875" style="4"/>
    <col min="12" max="12" width="7" style="3" customWidth="1"/>
    <col min="13" max="21" width="10.69921875" style="4" hidden="1" customWidth="1"/>
    <col min="22" max="33" width="10.69921875" style="4"/>
    <col min="34" max="16384" width="10.69921875" style="2"/>
  </cols>
  <sheetData>
    <row r="1" spans="1:30" ht="19.899999999999999" customHeight="1">
      <c r="A1" s="1589" t="str">
        <f>'D122-42'!A1:B1</f>
        <v>CÔNG TRÌNH</v>
      </c>
      <c r="B1" s="1589"/>
      <c r="C1" s="841" t="str">
        <f>'D122-42'!C1:D1</f>
        <v>NHÀ MÁY ĐIỆN GIÓ KHU DU LỊCH KHAI LONG - CÀ MAU GIAI ĐOẠN 1</v>
      </c>
      <c r="D1" s="841"/>
      <c r="E1" s="841"/>
      <c r="F1" s="841"/>
      <c r="G1" s="841"/>
      <c r="H1" s="758"/>
      <c r="I1" s="424"/>
      <c r="J1" s="842"/>
    </row>
    <row r="2" spans="1:30" ht="19.899999999999999" customHeight="1">
      <c r="A2" s="1589" t="str">
        <f>'D122-42'!A2:B2</f>
        <v>HẠNG MỤC</v>
      </c>
      <c r="B2" s="1589"/>
      <c r="C2" s="841" t="str">
        <f>'D122-42'!C2:D2</f>
        <v>ĐƯỜNG DÂY ĐẤU NỐI</v>
      </c>
      <c r="D2" s="841"/>
      <c r="E2" s="841"/>
      <c r="F2" s="841"/>
      <c r="G2" s="841"/>
      <c r="H2" s="841"/>
      <c r="I2" s="841"/>
      <c r="J2" s="841"/>
      <c r="K2" s="841"/>
      <c r="L2" s="841"/>
      <c r="V2" s="843" t="s">
        <v>981</v>
      </c>
      <c r="W2" s="844"/>
    </row>
    <row r="3" spans="1:30" ht="19.899999999999999" customHeight="1">
      <c r="A3" s="1589" t="str">
        <f>'D122-42'!A3:B3</f>
        <v xml:space="preserve">Cột </v>
      </c>
      <c r="B3" s="1589"/>
      <c r="C3" s="1592" t="str">
        <f>'D122-42'!C3:D3</f>
        <v>D122-42</v>
      </c>
      <c r="D3" s="1590"/>
      <c r="E3" s="1590"/>
      <c r="F3" s="1590"/>
      <c r="G3" s="1590"/>
      <c r="H3" s="1588" t="s">
        <v>944</v>
      </c>
      <c r="I3" s="1588"/>
      <c r="N3" s="845"/>
      <c r="O3" s="845"/>
      <c r="V3" s="846"/>
      <c r="W3" s="846" t="str">
        <f>IF(V3="Ao","A","")</f>
        <v/>
      </c>
    </row>
    <row r="4" spans="1:30" ht="19.899999999999999" customHeight="1">
      <c r="A4" s="1589" t="str">
        <f>'D122-42'!A4:B4</f>
        <v>Loại móng</v>
      </c>
      <c r="B4" s="1589"/>
      <c r="C4" s="1590" t="str">
        <f>'D122-42'!C4:D4</f>
        <v>MB4-10x12-2.5</v>
      </c>
      <c r="D4" s="1590"/>
      <c r="E4" s="1590"/>
      <c r="F4" s="1590"/>
      <c r="G4" s="1590"/>
      <c r="H4" s="842"/>
      <c r="I4" s="847"/>
      <c r="J4" s="842"/>
      <c r="N4" s="845"/>
      <c r="O4" s="845"/>
    </row>
    <row r="5" spans="1:30" ht="19.899999999999999" hidden="1" customHeight="1">
      <c r="A5" s="848"/>
      <c r="B5" s="848"/>
      <c r="C5" s="849"/>
      <c r="D5" s="849"/>
      <c r="E5" s="708"/>
      <c r="F5" s="708"/>
      <c r="G5" s="850"/>
      <c r="H5" s="851"/>
      <c r="I5" s="852"/>
      <c r="J5" s="853"/>
      <c r="K5" s="854"/>
      <c r="L5" s="855"/>
    </row>
    <row r="6" spans="1:30" ht="19.899999999999999" customHeight="1">
      <c r="A6" s="842"/>
      <c r="B6" s="842"/>
      <c r="C6" s="842"/>
      <c r="D6" s="842"/>
      <c r="E6" s="842"/>
      <c r="F6" s="842"/>
      <c r="G6" s="842"/>
      <c r="H6" s="842"/>
      <c r="I6" s="842"/>
      <c r="J6" s="856" t="s">
        <v>211</v>
      </c>
      <c r="K6" s="355"/>
      <c r="L6" s="856"/>
      <c r="N6"/>
      <c r="O6"/>
      <c r="P6"/>
      <c r="Q6"/>
      <c r="R6"/>
      <c r="S6"/>
      <c r="T6"/>
      <c r="U6"/>
    </row>
    <row r="7" spans="1:30" ht="19.899999999999999" customHeight="1">
      <c r="A7" s="842"/>
      <c r="B7" s="842"/>
      <c r="C7" s="842"/>
      <c r="D7" s="842"/>
      <c r="E7" s="842"/>
      <c r="F7" s="842"/>
      <c r="G7" s="1584">
        <f>K26</f>
        <v>2.75</v>
      </c>
      <c r="H7" s="842"/>
      <c r="I7" s="842"/>
      <c r="J7" s="857" t="s">
        <v>888</v>
      </c>
      <c r="K7" s="356">
        <f>'D122-42'!K7</f>
        <v>4</v>
      </c>
      <c r="L7" s="856" t="s">
        <v>0</v>
      </c>
      <c r="N7"/>
      <c r="O7"/>
      <c r="P7"/>
      <c r="Q7"/>
      <c r="R7"/>
      <c r="S7"/>
      <c r="T7"/>
      <c r="U7"/>
      <c r="V7" s="858" t="s">
        <v>852</v>
      </c>
    </row>
    <row r="8" spans="1:30" ht="19.899999999999999" customHeight="1">
      <c r="A8" s="842"/>
      <c r="B8" s="1435">
        <f>K23</f>
        <v>0.7</v>
      </c>
      <c r="C8" s="842"/>
      <c r="D8" s="842"/>
      <c r="E8" s="842"/>
      <c r="F8" s="842"/>
      <c r="G8" s="1584"/>
      <c r="H8" s="859"/>
      <c r="I8" s="842"/>
      <c r="J8" s="857" t="s">
        <v>889</v>
      </c>
      <c r="K8" s="356">
        <f>'D122-42'!K8</f>
        <v>4</v>
      </c>
      <c r="L8" s="856" t="s">
        <v>0</v>
      </c>
      <c r="N8"/>
      <c r="O8"/>
      <c r="P8"/>
      <c r="Q8"/>
      <c r="R8"/>
      <c r="S8"/>
      <c r="T8"/>
      <c r="U8"/>
      <c r="V8" s="1559" t="s">
        <v>216</v>
      </c>
      <c r="W8" s="1559" t="s">
        <v>217</v>
      </c>
      <c r="X8" s="183" t="s">
        <v>218</v>
      </c>
      <c r="Y8" s="183" t="s">
        <v>163</v>
      </c>
      <c r="Z8" s="1578" t="s">
        <v>39</v>
      </c>
      <c r="AA8" s="1578" t="s">
        <v>220</v>
      </c>
      <c r="AB8" s="860" t="s">
        <v>221</v>
      </c>
      <c r="AC8" s="183" t="s">
        <v>25</v>
      </c>
      <c r="AD8" s="183" t="s">
        <v>26</v>
      </c>
    </row>
    <row r="9" spans="1:30" ht="19.899999999999999" customHeight="1">
      <c r="A9" s="355" t="s">
        <v>214</v>
      </c>
      <c r="B9" s="842"/>
      <c r="C9" s="842"/>
      <c r="D9" s="842"/>
      <c r="E9" s="842"/>
      <c r="F9" s="857" t="s">
        <v>214</v>
      </c>
      <c r="G9" s="1584"/>
      <c r="H9" s="842"/>
      <c r="I9" s="842"/>
      <c r="J9" s="842" t="s">
        <v>606</v>
      </c>
      <c r="K9" s="356"/>
      <c r="L9" s="856"/>
      <c r="N9"/>
      <c r="O9"/>
      <c r="P9"/>
      <c r="Q9"/>
      <c r="R9"/>
      <c r="S9"/>
      <c r="T9"/>
      <c r="U9"/>
      <c r="V9" s="1559"/>
      <c r="W9" s="1559"/>
      <c r="X9" s="861" t="s">
        <v>0</v>
      </c>
      <c r="Y9" s="861" t="s">
        <v>24</v>
      </c>
      <c r="Z9" s="1579"/>
      <c r="AA9" s="1579"/>
      <c r="AB9" s="861" t="s">
        <v>219</v>
      </c>
      <c r="AC9" s="861" t="s">
        <v>10</v>
      </c>
      <c r="AD9" s="861" t="s">
        <v>10</v>
      </c>
    </row>
    <row r="10" spans="1:30" ht="19.899999999999999" customHeight="1">
      <c r="A10" s="1594">
        <f>K23</f>
        <v>0.7</v>
      </c>
      <c r="B10" s="842"/>
      <c r="C10" s="842"/>
      <c r="D10" s="842"/>
      <c r="E10" s="842"/>
      <c r="F10" s="842"/>
      <c r="G10" s="1591">
        <f>K16</f>
        <v>0.5</v>
      </c>
      <c r="H10" s="842"/>
      <c r="I10" s="842"/>
      <c r="J10" s="857" t="s">
        <v>112</v>
      </c>
      <c r="K10" s="356">
        <f>'D122-42'!K10</f>
        <v>10</v>
      </c>
      <c r="L10" s="856" t="s">
        <v>0</v>
      </c>
      <c r="N10"/>
      <c r="O10"/>
      <c r="P10"/>
      <c r="Q10"/>
      <c r="R10"/>
      <c r="S10"/>
      <c r="T10"/>
      <c r="U10"/>
      <c r="V10" s="12" t="s">
        <v>1003</v>
      </c>
      <c r="W10" s="1238" t="s">
        <v>1136</v>
      </c>
      <c r="X10" s="1239">
        <v>1</v>
      </c>
      <c r="Y10" s="1240">
        <v>1.53</v>
      </c>
      <c r="Z10" s="1240">
        <v>2.6</v>
      </c>
      <c r="AA10" s="1240">
        <v>1.859</v>
      </c>
      <c r="AB10" s="1240">
        <v>4.3</v>
      </c>
      <c r="AC10" s="1240">
        <v>0.57999999999999996</v>
      </c>
      <c r="AD10" s="1240">
        <v>51.6</v>
      </c>
    </row>
    <row r="11" spans="1:30" ht="19.899999999999999" customHeight="1">
      <c r="A11" s="1594"/>
      <c r="B11" s="842"/>
      <c r="C11" s="842"/>
      <c r="D11" s="842"/>
      <c r="E11" s="842"/>
      <c r="F11" s="842"/>
      <c r="G11" s="1591"/>
      <c r="H11" s="866"/>
      <c r="I11" s="842"/>
      <c r="J11" s="857" t="s">
        <v>113</v>
      </c>
      <c r="K11" s="356">
        <f>'D122-42'!K11</f>
        <v>12</v>
      </c>
      <c r="L11" s="856" t="s">
        <v>0</v>
      </c>
      <c r="N11"/>
      <c r="O11"/>
      <c r="P11"/>
      <c r="Q11"/>
      <c r="R11"/>
      <c r="S11"/>
      <c r="T11"/>
      <c r="U11"/>
      <c r="V11" s="12" t="s">
        <v>1003</v>
      </c>
      <c r="W11" s="1238" t="s">
        <v>1137</v>
      </c>
      <c r="X11" s="1239">
        <v>10</v>
      </c>
      <c r="Y11" s="1240">
        <v>1.53</v>
      </c>
      <c r="Z11" s="1240">
        <v>2.6</v>
      </c>
      <c r="AA11" s="1240">
        <v>1.859</v>
      </c>
      <c r="AB11" s="1240">
        <v>4.3</v>
      </c>
      <c r="AC11" s="1240">
        <v>0.57999999999999996</v>
      </c>
      <c r="AD11" s="1240">
        <v>51.6</v>
      </c>
    </row>
    <row r="12" spans="1:30" ht="19.899999999999999" customHeight="1">
      <c r="A12" s="842"/>
      <c r="B12" s="842"/>
      <c r="C12" s="842"/>
      <c r="D12" s="446">
        <f>K20</f>
        <v>1</v>
      </c>
      <c r="E12" s="842"/>
      <c r="F12" s="842"/>
      <c r="G12" s="842"/>
      <c r="H12" s="842"/>
      <c r="I12" s="842"/>
      <c r="J12" s="857" t="s">
        <v>123</v>
      </c>
      <c r="K12" s="356">
        <f>+ROUND(K11/K10,2)</f>
        <v>1.2</v>
      </c>
      <c r="L12" s="856"/>
      <c r="V12" s="12"/>
      <c r="W12" s="1238"/>
      <c r="X12" s="1239"/>
      <c r="Y12" s="1240"/>
      <c r="Z12" s="1240"/>
      <c r="AA12" s="1240"/>
      <c r="AB12" s="1240"/>
      <c r="AC12" s="1240"/>
      <c r="AD12" s="1240"/>
    </row>
    <row r="13" spans="1:30" ht="19.899999999999999" customHeight="1">
      <c r="A13" s="842"/>
      <c r="B13" s="842"/>
      <c r="C13" s="842"/>
      <c r="D13" s="842"/>
      <c r="E13" s="842"/>
      <c r="F13" s="842"/>
      <c r="G13" s="842"/>
      <c r="H13" s="842"/>
      <c r="I13" s="842"/>
      <c r="J13" s="842" t="s">
        <v>607</v>
      </c>
      <c r="K13" s="356"/>
      <c r="L13" s="856"/>
      <c r="V13" s="12"/>
      <c r="W13" s="1238"/>
      <c r="X13" s="863"/>
      <c r="Y13" s="864"/>
      <c r="Z13" s="864"/>
      <c r="AA13" s="864"/>
      <c r="AB13" s="865"/>
      <c r="AC13" s="864"/>
      <c r="AD13" s="864"/>
    </row>
    <row r="14" spans="1:30" ht="19.899999999999999" customHeight="1">
      <c r="A14" s="842"/>
      <c r="B14" s="842"/>
      <c r="D14" s="842"/>
      <c r="E14" s="867"/>
      <c r="F14" s="842"/>
      <c r="G14" s="1581">
        <f>K25</f>
        <v>3.5</v>
      </c>
      <c r="H14" s="842"/>
      <c r="I14" s="842"/>
      <c r="J14" s="857" t="s">
        <v>75</v>
      </c>
      <c r="K14" s="356">
        <f>K38+K40</f>
        <v>3.5</v>
      </c>
      <c r="L14" s="856" t="s">
        <v>0</v>
      </c>
      <c r="W14" s="862"/>
      <c r="X14" s="863"/>
      <c r="Y14" s="864"/>
      <c r="Z14" s="864"/>
      <c r="AA14" s="864"/>
      <c r="AB14" s="865"/>
      <c r="AC14" s="864"/>
      <c r="AD14" s="864"/>
    </row>
    <row r="15" spans="1:30" ht="19.899999999999999" customHeight="1">
      <c r="A15" s="842"/>
      <c r="B15" s="842"/>
      <c r="C15" s="1593">
        <f>K20</f>
        <v>1</v>
      </c>
      <c r="D15" s="842"/>
      <c r="E15" s="842"/>
      <c r="F15" s="842"/>
      <c r="G15" s="1581"/>
      <c r="H15" s="859"/>
      <c r="I15" s="842"/>
      <c r="J15" s="842" t="s">
        <v>608</v>
      </c>
      <c r="K15" s="356"/>
      <c r="L15" s="856"/>
      <c r="W15" s="4" t="s">
        <v>566</v>
      </c>
    </row>
    <row r="16" spans="1:30" ht="19.899999999999999" customHeight="1">
      <c r="A16" s="355" t="s">
        <v>215</v>
      </c>
      <c r="B16" s="842"/>
      <c r="C16" s="1593"/>
      <c r="D16" s="842"/>
      <c r="E16" s="842"/>
      <c r="F16" s="857" t="s">
        <v>215</v>
      </c>
      <c r="G16" s="1581"/>
      <c r="H16" s="1595">
        <f>G7+G10+G14+G21+G23</f>
        <v>10</v>
      </c>
      <c r="I16" s="842"/>
      <c r="J16" s="857" t="s">
        <v>68</v>
      </c>
      <c r="K16" s="356">
        <f>'D122-42'!K16</f>
        <v>0.5</v>
      </c>
      <c r="L16" s="856" t="s">
        <v>0</v>
      </c>
    </row>
    <row r="17" spans="1:19" ht="19.899999999999999" customHeight="1">
      <c r="A17" s="842"/>
      <c r="B17" s="842"/>
      <c r="C17" s="842"/>
      <c r="E17" s="842"/>
      <c r="F17" s="842"/>
      <c r="G17" s="842"/>
      <c r="H17" s="1595"/>
      <c r="I17" s="842"/>
      <c r="J17" s="857" t="s">
        <v>69</v>
      </c>
      <c r="K17" s="356">
        <f>'D122-42'!K17</f>
        <v>1</v>
      </c>
      <c r="L17" s="856" t="s">
        <v>0</v>
      </c>
    </row>
    <row r="18" spans="1:19" ht="19.899999999999999" customHeight="1">
      <c r="A18" s="842"/>
      <c r="B18" s="1436">
        <f>K21</f>
        <v>0.35</v>
      </c>
      <c r="C18" s="842"/>
      <c r="D18" s="355" t="s">
        <v>633</v>
      </c>
      <c r="E18" s="842"/>
      <c r="F18" s="842"/>
      <c r="G18" s="842"/>
      <c r="H18" s="842"/>
      <c r="I18" s="842"/>
      <c r="J18" s="842" t="s">
        <v>609</v>
      </c>
      <c r="K18" s="356"/>
      <c r="L18" s="856"/>
    </row>
    <row r="19" spans="1:19" ht="19.899999999999999" customHeight="1" thickBot="1">
      <c r="A19" s="842"/>
      <c r="B19" s="842"/>
      <c r="C19" s="842"/>
      <c r="D19" s="842"/>
      <c r="E19" s="842"/>
      <c r="F19" s="842"/>
      <c r="H19" s="842"/>
      <c r="I19" s="842"/>
      <c r="J19" s="857" t="s">
        <v>942</v>
      </c>
      <c r="K19" s="356">
        <f>'D122-42'!K19</f>
        <v>0.35</v>
      </c>
      <c r="L19" s="856" t="s">
        <v>0</v>
      </c>
    </row>
    <row r="20" spans="1:19" ht="19.899999999999999" customHeight="1" thickBot="1">
      <c r="A20" s="356">
        <f>K21</f>
        <v>0.35</v>
      </c>
      <c r="B20" s="842"/>
      <c r="C20" s="842"/>
      <c r="D20" s="842"/>
      <c r="E20" s="842"/>
      <c r="F20" s="842"/>
      <c r="G20" s="1434"/>
      <c r="H20" s="866"/>
      <c r="I20" s="842"/>
      <c r="J20" s="857" t="s">
        <v>115</v>
      </c>
      <c r="K20" s="356">
        <f>'D122-42'!K20</f>
        <v>1</v>
      </c>
      <c r="L20" s="856" t="s">
        <v>0</v>
      </c>
      <c r="P20" s="868" t="s">
        <v>71</v>
      </c>
      <c r="Q20" s="869"/>
      <c r="R20" s="870" t="s">
        <v>72</v>
      </c>
      <c r="S20" s="871" t="s">
        <v>73</v>
      </c>
    </row>
    <row r="21" spans="1:19" ht="19.899999999999999" customHeight="1" thickBot="1">
      <c r="A21" s="842"/>
      <c r="B21" s="842"/>
      <c r="C21" s="842"/>
      <c r="D21" s="842"/>
      <c r="E21" s="842"/>
      <c r="F21" s="842"/>
      <c r="G21" s="1434">
        <f>K16</f>
        <v>0.5</v>
      </c>
      <c r="H21" s="842"/>
      <c r="I21" s="842"/>
      <c r="J21" s="857" t="s">
        <v>76</v>
      </c>
      <c r="K21" s="356">
        <f>'D122-42'!K21</f>
        <v>0.35</v>
      </c>
      <c r="L21" s="856" t="s">
        <v>0</v>
      </c>
      <c r="P21" s="872">
        <v>30</v>
      </c>
      <c r="Q21" s="26">
        <f t="shared" ref="Q21:Q41" si="0">+P21/1000</f>
        <v>0.03</v>
      </c>
      <c r="R21" s="873">
        <f>3.14*Q21^2/4*7850</f>
        <v>5.5460250000000002</v>
      </c>
      <c r="S21" s="874">
        <f>3.14*Q21^2/4*10000</f>
        <v>7.0649999999999995</v>
      </c>
    </row>
    <row r="22" spans="1:19" ht="19.899999999999999" customHeight="1">
      <c r="A22" s="842"/>
      <c r="B22" s="842"/>
      <c r="C22" s="842"/>
      <c r="D22" s="842"/>
      <c r="E22" s="842"/>
      <c r="F22" s="842"/>
      <c r="G22" s="1426"/>
      <c r="H22" s="859"/>
      <c r="I22" s="842"/>
      <c r="J22" s="842" t="s">
        <v>610</v>
      </c>
      <c r="K22" s="356"/>
      <c r="L22" s="856"/>
      <c r="P22" s="872">
        <v>28</v>
      </c>
      <c r="Q22" s="26">
        <f>+P22/1000</f>
        <v>2.8000000000000001E-2</v>
      </c>
      <c r="R22" s="873">
        <f t="shared" ref="R22:R41" si="1">3.14*Q22^2/4*7850</f>
        <v>4.8312040000000005</v>
      </c>
      <c r="S22" s="874">
        <f t="shared" ref="S22:S41" si="2">3.14*Q22^2/4*10000</f>
        <v>6.1544000000000008</v>
      </c>
    </row>
    <row r="23" spans="1:19" ht="19.899999999999999" customHeight="1">
      <c r="A23" s="355" t="s">
        <v>214</v>
      </c>
      <c r="B23" s="842"/>
      <c r="C23" s="842"/>
      <c r="D23" s="842"/>
      <c r="E23" s="842"/>
      <c r="F23" s="857" t="s">
        <v>214</v>
      </c>
      <c r="G23" s="1584">
        <f>K26</f>
        <v>2.75</v>
      </c>
      <c r="H23" s="842"/>
      <c r="I23" s="842"/>
      <c r="J23" s="857" t="s">
        <v>74</v>
      </c>
      <c r="K23" s="356">
        <f>'D122-42'!K23</f>
        <v>0.7</v>
      </c>
      <c r="L23" s="856" t="s">
        <v>0</v>
      </c>
      <c r="P23" s="875">
        <v>25</v>
      </c>
      <c r="Q23" s="27">
        <f t="shared" si="0"/>
        <v>2.5000000000000001E-2</v>
      </c>
      <c r="R23" s="876">
        <f t="shared" si="1"/>
        <v>3.8514062500000006</v>
      </c>
      <c r="S23" s="877">
        <f>3.14*Q23^2/4*10000</f>
        <v>4.9062500000000009</v>
      </c>
    </row>
    <row r="24" spans="1:19" ht="19.899999999999999" customHeight="1">
      <c r="A24" s="842"/>
      <c r="B24" s="842"/>
      <c r="C24" s="842"/>
      <c r="D24" s="842"/>
      <c r="E24" s="842"/>
      <c r="F24" s="842"/>
      <c r="G24" s="1584"/>
      <c r="H24" s="842"/>
      <c r="I24" s="842"/>
      <c r="J24" s="842" t="s">
        <v>611</v>
      </c>
      <c r="K24" s="355"/>
      <c r="L24" s="856"/>
      <c r="P24" s="875">
        <v>22</v>
      </c>
      <c r="Q24" s="27">
        <f t="shared" si="0"/>
        <v>2.1999999999999999E-2</v>
      </c>
      <c r="R24" s="876">
        <f t="shared" si="1"/>
        <v>2.982529</v>
      </c>
      <c r="S24" s="877">
        <f t="shared" si="2"/>
        <v>3.7993999999999999</v>
      </c>
    </row>
    <row r="25" spans="1:19" ht="19.899999999999999" customHeight="1">
      <c r="A25" s="842"/>
      <c r="B25" s="842"/>
      <c r="C25" s="842"/>
      <c r="D25" s="842"/>
      <c r="E25" s="842"/>
      <c r="F25" s="842"/>
      <c r="G25" s="842"/>
      <c r="H25" s="842"/>
      <c r="I25" s="842"/>
      <c r="J25" s="759" t="s">
        <v>936</v>
      </c>
      <c r="K25" s="357">
        <f>K7-K16</f>
        <v>3.5</v>
      </c>
      <c r="L25" s="856" t="s">
        <v>0</v>
      </c>
      <c r="P25" s="875">
        <v>20</v>
      </c>
      <c r="Q25" s="27">
        <f t="shared" si="0"/>
        <v>0.02</v>
      </c>
      <c r="R25" s="876">
        <f t="shared" si="1"/>
        <v>2.4649000000000005</v>
      </c>
      <c r="S25" s="877">
        <f t="shared" si="2"/>
        <v>3.1400000000000006</v>
      </c>
    </row>
    <row r="26" spans="1:19" ht="19.899999999999999" customHeight="1">
      <c r="A26" s="1254">
        <f>K28</f>
        <v>3.75</v>
      </c>
      <c r="B26" s="839" t="str">
        <f>K16&amp;""</f>
        <v>0.5</v>
      </c>
      <c r="D26" s="357">
        <f>K27</f>
        <v>3.5</v>
      </c>
      <c r="F26" s="446">
        <f>K16</f>
        <v>0.5</v>
      </c>
      <c r="G26" s="906">
        <f>K28</f>
        <v>3.75</v>
      </c>
      <c r="H26" s="842"/>
      <c r="I26" s="842"/>
      <c r="J26" s="759" t="s">
        <v>935</v>
      </c>
      <c r="K26" s="357">
        <f>(K10-K7-K16)/2</f>
        <v>2.75</v>
      </c>
      <c r="L26" s="856" t="s">
        <v>0</v>
      </c>
      <c r="P26" s="875">
        <v>18</v>
      </c>
      <c r="Q26" s="27">
        <f t="shared" si="0"/>
        <v>1.7999999999999999E-2</v>
      </c>
      <c r="R26" s="876">
        <f t="shared" si="1"/>
        <v>1.9965689999999998</v>
      </c>
      <c r="S26" s="877">
        <f t="shared" si="2"/>
        <v>2.5433999999999997</v>
      </c>
    </row>
    <row r="27" spans="1:19" ht="19.899999999999999" customHeight="1">
      <c r="A27" s="842"/>
      <c r="B27" s="842"/>
      <c r="D27" s="839">
        <f>A26+B26+D26+G26+F26</f>
        <v>12</v>
      </c>
      <c r="E27" s="842"/>
      <c r="F27" s="842"/>
      <c r="G27" s="842"/>
      <c r="H27" s="842"/>
      <c r="I27" s="842"/>
      <c r="J27" s="759" t="s">
        <v>934</v>
      </c>
      <c r="K27" s="357">
        <f>K8-K16</f>
        <v>3.5</v>
      </c>
      <c r="L27" s="856" t="s">
        <v>0</v>
      </c>
      <c r="P27" s="875">
        <v>16</v>
      </c>
      <c r="Q27" s="27">
        <f t="shared" si="0"/>
        <v>1.6E-2</v>
      </c>
      <c r="R27" s="876">
        <f t="shared" si="1"/>
        <v>1.577536</v>
      </c>
      <c r="S27" s="877">
        <f t="shared" si="2"/>
        <v>2.0095999999999998</v>
      </c>
    </row>
    <row r="28" spans="1:19" ht="19.899999999999999" customHeight="1">
      <c r="A28" s="842"/>
      <c r="B28" s="842"/>
      <c r="C28" s="842"/>
      <c r="D28" s="355"/>
      <c r="E28" s="842"/>
      <c r="F28" s="842"/>
      <c r="G28" s="842"/>
      <c r="H28" s="842"/>
      <c r="I28" s="842"/>
      <c r="J28" s="759" t="s">
        <v>933</v>
      </c>
      <c r="K28" s="357">
        <f>(K11-K8-K16)/2</f>
        <v>3.75</v>
      </c>
      <c r="L28" s="856" t="s">
        <v>0</v>
      </c>
      <c r="P28" s="875">
        <v>14</v>
      </c>
      <c r="Q28" s="27">
        <f t="shared" si="0"/>
        <v>1.4E-2</v>
      </c>
      <c r="R28" s="876">
        <f t="shared" si="1"/>
        <v>1.2078010000000001</v>
      </c>
      <c r="S28" s="877">
        <f t="shared" si="2"/>
        <v>1.5386000000000002</v>
      </c>
    </row>
    <row r="29" spans="1:19" ht="19.899999999999999" customHeight="1">
      <c r="A29" s="879" t="s">
        <v>613</v>
      </c>
      <c r="B29" s="842"/>
      <c r="C29" s="842"/>
      <c r="D29" s="842"/>
      <c r="E29" s="842"/>
      <c r="F29" s="859"/>
      <c r="G29" s="842"/>
      <c r="H29" s="842"/>
      <c r="I29" s="842"/>
      <c r="J29" s="842" t="s">
        <v>612</v>
      </c>
      <c r="K29" s="842"/>
      <c r="L29" s="842"/>
      <c r="M29" s="355"/>
      <c r="N29" s="355"/>
      <c r="P29" s="875">
        <v>12</v>
      </c>
      <c r="Q29" s="27">
        <f t="shared" si="0"/>
        <v>1.2E-2</v>
      </c>
      <c r="R29" s="876">
        <f t="shared" si="1"/>
        <v>0.88736400000000004</v>
      </c>
      <c r="S29" s="877">
        <f t="shared" si="2"/>
        <v>1.1304000000000001</v>
      </c>
    </row>
    <row r="30" spans="1:19" ht="19.899999999999999" customHeight="1">
      <c r="A30" s="761" t="s">
        <v>651</v>
      </c>
      <c r="B30" s="761"/>
      <c r="C30" s="753"/>
      <c r="D30" s="753"/>
      <c r="E30" s="753"/>
      <c r="F30" s="753"/>
      <c r="G30" s="753"/>
      <c r="H30" s="754"/>
      <c r="I30" s="842"/>
      <c r="J30" s="857" t="s">
        <v>117</v>
      </c>
      <c r="K30" s="357">
        <f>(K10*K11-K20^2)*K19+(K10+K11)*2*K16*(K17-K19)-K16^2*4*(K17-K19)+(K14-K17)*K23^2*4+K21^2*(K17-K19)*8</f>
        <v>60.837000000000003</v>
      </c>
      <c r="L30" s="856" t="s">
        <v>1</v>
      </c>
      <c r="M30" s="355"/>
      <c r="N30" s="355"/>
      <c r="P30" s="875"/>
      <c r="Q30" s="27"/>
      <c r="R30" s="876"/>
      <c r="S30" s="877"/>
    </row>
    <row r="31" spans="1:19" ht="19.899999999999999" customHeight="1">
      <c r="A31" s="1586" t="s">
        <v>652</v>
      </c>
      <c r="B31" s="1587"/>
      <c r="C31" s="755" t="s">
        <v>653</v>
      </c>
      <c r="D31" s="755" t="s">
        <v>654</v>
      </c>
      <c r="E31" s="755" t="s">
        <v>655</v>
      </c>
      <c r="F31" s="755" t="s">
        <v>656</v>
      </c>
      <c r="G31" s="755" t="s">
        <v>657</v>
      </c>
      <c r="H31" s="755" t="s">
        <v>658</v>
      </c>
      <c r="I31" s="842"/>
      <c r="J31" s="842" t="s">
        <v>614</v>
      </c>
      <c r="K31" s="842"/>
      <c r="L31" s="842"/>
      <c r="M31" s="355"/>
      <c r="N31" s="355"/>
      <c r="P31" s="875"/>
      <c r="Q31" s="27"/>
      <c r="R31" s="876"/>
      <c r="S31" s="877"/>
    </row>
    <row r="32" spans="1:19" ht="19.899999999999999" customHeight="1">
      <c r="A32" s="1494" t="s">
        <v>564</v>
      </c>
      <c r="B32" s="1494"/>
      <c r="C32" s="412">
        <f>'D122-42'!C42</f>
        <v>-4.6744000000000003</v>
      </c>
      <c r="D32" s="412">
        <f>'D122-42'!D42</f>
        <v>-4.9444999999999997</v>
      </c>
      <c r="E32" s="412">
        <f>'D122-42'!E42</f>
        <v>80.48060000000001</v>
      </c>
      <c r="F32" s="412">
        <f>'D122-42'!F42</f>
        <v>4.58E-2</v>
      </c>
      <c r="G32" s="412">
        <f>'D122-42'!G42</f>
        <v>-1.9E-3</v>
      </c>
      <c r="H32" s="412">
        <f>'D122-42'!H42</f>
        <v>-1.5E-3</v>
      </c>
      <c r="I32" s="842"/>
      <c r="J32" s="857" t="s">
        <v>118</v>
      </c>
      <c r="K32" s="839">
        <f>K10*K11-K20^2</f>
        <v>119</v>
      </c>
      <c r="L32" s="856" t="s">
        <v>2</v>
      </c>
      <c r="M32" s="355"/>
      <c r="N32" s="355"/>
      <c r="P32" s="875"/>
      <c r="Q32" s="27"/>
      <c r="R32" s="876"/>
      <c r="S32" s="877"/>
    </row>
    <row r="33" spans="1:26" ht="19.899999999999999" customHeight="1">
      <c r="A33" s="1494" t="s">
        <v>659</v>
      </c>
      <c r="B33" s="1494"/>
      <c r="C33" s="412">
        <f>'D122-42'!C43</f>
        <v>-6.408199999999999</v>
      </c>
      <c r="D33" s="412">
        <f>'D122-42'!D43</f>
        <v>-4.7540999999999993</v>
      </c>
      <c r="E33" s="412">
        <f>'D122-42'!E43</f>
        <v>-87.999899999999997</v>
      </c>
      <c r="F33" s="412">
        <f>'D122-42'!F43</f>
        <v>-5.9799999999999999E-2</v>
      </c>
      <c r="G33" s="412">
        <f>'D122-42'!G43</f>
        <v>-6.6900000000000001E-2</v>
      </c>
      <c r="H33" s="412">
        <f>'D122-42'!H43</f>
        <v>-7.6E-3</v>
      </c>
      <c r="I33" s="842"/>
      <c r="K33" s="758"/>
      <c r="L33" s="759" t="s">
        <v>616</v>
      </c>
      <c r="M33" s="355"/>
      <c r="N33" s="355"/>
      <c r="P33" s="875"/>
      <c r="Q33" s="27"/>
      <c r="R33" s="876"/>
      <c r="S33" s="877"/>
    </row>
    <row r="34" spans="1:26" ht="19.899999999999999" customHeight="1">
      <c r="A34" s="1494" t="s">
        <v>660</v>
      </c>
      <c r="B34" s="1494"/>
      <c r="C34" s="412">
        <f>'D122-42'!C44</f>
        <v>-17.82</v>
      </c>
      <c r="D34" s="412">
        <f>'D122-42'!D44</f>
        <v>-2.7599999999999993</v>
      </c>
      <c r="E34" s="412">
        <f>'D122-42'!E44</f>
        <v>15.269499999999994</v>
      </c>
      <c r="F34" s="412">
        <f>'D122-42'!F44</f>
        <v>108.8412</v>
      </c>
      <c r="G34" s="412">
        <f>'D122-42'!G44</f>
        <v>564.86349999999993</v>
      </c>
      <c r="H34" s="412">
        <f>'D122-42'!H44</f>
        <v>1.9052800000000001</v>
      </c>
      <c r="I34" s="842"/>
      <c r="J34" s="857" t="s">
        <v>937</v>
      </c>
      <c r="K34" s="839">
        <f>(K11*K10^3-K20^4)/6/K10</f>
        <v>199.98333333333332</v>
      </c>
      <c r="L34" s="856" t="s">
        <v>1</v>
      </c>
      <c r="M34" s="355"/>
      <c r="N34" s="355"/>
      <c r="P34" s="875"/>
      <c r="Q34" s="27"/>
      <c r="R34" s="876"/>
      <c r="S34" s="877"/>
    </row>
    <row r="35" spans="1:26" ht="19.899999999999999" customHeight="1">
      <c r="A35" s="1494" t="s">
        <v>661</v>
      </c>
      <c r="B35" s="1494"/>
      <c r="C35" s="412">
        <f>'D122-42'!C45</f>
        <v>-11.067600000000002</v>
      </c>
      <c r="D35" s="412">
        <f>'D122-42'!D45</f>
        <v>-7.6415999999999995</v>
      </c>
      <c r="E35" s="412">
        <f>'D122-42'!E45</f>
        <v>15.269399999999999</v>
      </c>
      <c r="F35" s="412">
        <f>'D122-42'!F45</f>
        <v>226.97150000000002</v>
      </c>
      <c r="G35" s="412">
        <f>'D122-42'!G45</f>
        <v>341.53899999999999</v>
      </c>
      <c r="H35" s="412">
        <f>'D122-42'!H45</f>
        <v>1.6241000000000003</v>
      </c>
      <c r="I35" s="842"/>
      <c r="K35" s="758"/>
      <c r="L35" s="759" t="s">
        <v>615</v>
      </c>
      <c r="M35" s="758"/>
      <c r="N35" s="758"/>
      <c r="P35" s="875"/>
      <c r="Q35" s="27"/>
      <c r="R35" s="876"/>
      <c r="S35" s="877"/>
    </row>
    <row r="36" spans="1:26" ht="19.899999999999999" customHeight="1">
      <c r="A36" s="1494" t="s">
        <v>549</v>
      </c>
      <c r="B36" s="1494"/>
      <c r="C36" s="412">
        <f>'D122-42'!C46</f>
        <v>-17.82</v>
      </c>
      <c r="D36" s="412">
        <f>'D122-42'!D46</f>
        <v>-2.7599999999999993</v>
      </c>
      <c r="E36" s="412">
        <f>'D122-42'!E46</f>
        <v>15.269499999999994</v>
      </c>
      <c r="F36" s="412">
        <f>'D122-42'!F46</f>
        <v>108.8412</v>
      </c>
      <c r="G36" s="412">
        <f>'D122-42'!G46</f>
        <v>564.86349999999993</v>
      </c>
      <c r="H36" s="412">
        <f>'D122-42'!H46</f>
        <v>1.9052800000000001</v>
      </c>
      <c r="I36" s="842"/>
      <c r="J36" s="857" t="s">
        <v>938</v>
      </c>
      <c r="K36" s="839">
        <f>+(K10*K11^3-K20^4)/12/K11*2</f>
        <v>239.98611111111111</v>
      </c>
      <c r="L36" s="856" t="s">
        <v>1</v>
      </c>
      <c r="M36" s="355"/>
      <c r="N36" s="355"/>
      <c r="P36" s="875"/>
      <c r="Q36" s="27"/>
      <c r="R36" s="876"/>
      <c r="S36" s="877"/>
    </row>
    <row r="37" spans="1:26" ht="19.899999999999999" customHeight="1">
      <c r="A37" s="1255" t="s">
        <v>662</v>
      </c>
      <c r="B37" s="880"/>
      <c r="C37" s="412">
        <f>'D122-42'!C47</f>
        <v>-9.6999999999999993</v>
      </c>
      <c r="D37" s="412">
        <f>'D122-42'!D47</f>
        <v>0</v>
      </c>
      <c r="E37" s="412">
        <f>'D122-42'!E47</f>
        <v>13.7995</v>
      </c>
      <c r="F37" s="412">
        <f>'D122-42'!F47</f>
        <v>4.0000000000077309E-3</v>
      </c>
      <c r="G37" s="412">
        <f>'D122-42'!G47</f>
        <v>349.31220000000002</v>
      </c>
      <c r="H37" s="412">
        <f>'D122-42'!H47</f>
        <v>0.91809999999999992</v>
      </c>
      <c r="I37" s="842"/>
      <c r="J37" s="842" t="s">
        <v>212</v>
      </c>
      <c r="K37" s="842"/>
      <c r="L37" s="842"/>
      <c r="M37" s="355"/>
      <c r="N37" s="355"/>
      <c r="P37" s="875"/>
      <c r="Q37" s="27"/>
      <c r="R37" s="876"/>
      <c r="S37" s="877"/>
    </row>
    <row r="38" spans="1:26" ht="19.899999999999999" customHeight="1">
      <c r="A38" s="881" t="s">
        <v>663</v>
      </c>
      <c r="B38" s="756"/>
      <c r="C38" s="757"/>
      <c r="D38" s="757"/>
      <c r="E38" s="757"/>
      <c r="F38" s="757"/>
      <c r="G38" s="757"/>
      <c r="H38" s="757"/>
      <c r="I38" s="842"/>
      <c r="J38" s="857" t="s">
        <v>940</v>
      </c>
      <c r="K38" s="840">
        <f>'D122-42'!K39</f>
        <v>1</v>
      </c>
      <c r="L38" s="856" t="s">
        <v>0</v>
      </c>
      <c r="M38" s="355"/>
      <c r="N38" s="355"/>
      <c r="P38" s="875"/>
      <c r="Q38" s="27"/>
      <c r="R38" s="876"/>
      <c r="S38" s="877"/>
    </row>
    <row r="39" spans="1:26" ht="19.899999999999999" customHeight="1">
      <c r="A39" s="1573" t="s">
        <v>855</v>
      </c>
      <c r="B39" s="857" t="s">
        <v>856</v>
      </c>
      <c r="C39" s="357">
        <f>'D122-42'!C49/1.15</f>
        <v>13.277826086956518</v>
      </c>
      <c r="D39" s="842" t="s">
        <v>3</v>
      </c>
      <c r="E39" s="859"/>
      <c r="F39" s="842"/>
      <c r="G39" s="842"/>
      <c r="H39" s="842"/>
      <c r="I39" s="842"/>
      <c r="J39" s="842" t="s">
        <v>617</v>
      </c>
      <c r="K39" s="355"/>
      <c r="L39" s="856"/>
      <c r="M39" s="355"/>
      <c r="N39" s="355"/>
      <c r="P39" s="875">
        <v>10</v>
      </c>
      <c r="Q39" s="27">
        <f t="shared" si="0"/>
        <v>0.01</v>
      </c>
      <c r="R39" s="876">
        <f t="shared" si="1"/>
        <v>0.61622500000000013</v>
      </c>
      <c r="S39" s="877">
        <f t="shared" si="2"/>
        <v>0.78500000000000014</v>
      </c>
    </row>
    <row r="40" spans="1:26" ht="19.899999999999999" customHeight="1">
      <c r="A40" s="1573"/>
      <c r="B40" s="857" t="s">
        <v>857</v>
      </c>
      <c r="C40" s="357">
        <f>'D122-42'!C50/1.15</f>
        <v>15.495652173913046</v>
      </c>
      <c r="D40" s="842" t="s">
        <v>3</v>
      </c>
      <c r="E40" s="857" t="s">
        <v>858</v>
      </c>
      <c r="F40" s="357">
        <f>'D122-42'!F50/1.15</f>
        <v>2.3999999999999995</v>
      </c>
      <c r="G40" s="758" t="s">
        <v>3</v>
      </c>
      <c r="H40" s="842"/>
      <c r="I40" s="842"/>
      <c r="J40" s="857" t="s">
        <v>939</v>
      </c>
      <c r="K40" s="840">
        <f>'D122-42'!K41</f>
        <v>2.5</v>
      </c>
      <c r="L40" s="856" t="s">
        <v>0</v>
      </c>
      <c r="M40" s="355"/>
      <c r="N40" s="355"/>
      <c r="P40" s="875">
        <v>8</v>
      </c>
      <c r="Q40" s="27">
        <f t="shared" si="0"/>
        <v>8.0000000000000002E-3</v>
      </c>
      <c r="R40" s="876">
        <f t="shared" si="1"/>
        <v>0.39438400000000001</v>
      </c>
      <c r="S40" s="877">
        <f t="shared" si="2"/>
        <v>0.50239999999999996</v>
      </c>
    </row>
    <row r="41" spans="1:26" ht="19.899999999999999" customHeight="1" thickBot="1">
      <c r="A41" s="1573"/>
      <c r="B41" s="857" t="s">
        <v>859</v>
      </c>
      <c r="C41" s="357">
        <f>'D122-42'!C51/1.15</f>
        <v>491.18565217391301</v>
      </c>
      <c r="D41" s="842" t="s">
        <v>4</v>
      </c>
      <c r="E41" s="857" t="s">
        <v>860</v>
      </c>
      <c r="F41" s="357">
        <f>'D122-42'!F51/1.15</f>
        <v>94.64452173913044</v>
      </c>
      <c r="G41" s="758" t="s">
        <v>4</v>
      </c>
      <c r="H41" s="842"/>
      <c r="I41" s="842"/>
      <c r="J41" s="842" t="s">
        <v>618</v>
      </c>
      <c r="K41" s="355"/>
      <c r="L41" s="856"/>
      <c r="M41" s="355"/>
      <c r="N41" s="355"/>
      <c r="P41" s="882">
        <v>6</v>
      </c>
      <c r="Q41" s="28">
        <f t="shared" si="0"/>
        <v>6.0000000000000001E-3</v>
      </c>
      <c r="R41" s="883">
        <f t="shared" si="1"/>
        <v>0.22184100000000001</v>
      </c>
      <c r="S41" s="884">
        <f t="shared" si="2"/>
        <v>0.28260000000000002</v>
      </c>
    </row>
    <row r="42" spans="1:26" ht="19.899999999999999" customHeight="1">
      <c r="A42" s="1573" t="s">
        <v>861</v>
      </c>
      <c r="B42" s="759" t="s">
        <v>856</v>
      </c>
      <c r="C42" s="760">
        <f>'D122-42'!C54/1.15</f>
        <v>13.277739130434783</v>
      </c>
      <c r="D42" s="758" t="s">
        <v>3</v>
      </c>
      <c r="E42" s="759"/>
      <c r="F42" s="757"/>
      <c r="G42" s="758"/>
      <c r="H42" s="842"/>
      <c r="I42" s="842"/>
      <c r="J42" s="857" t="s">
        <v>943</v>
      </c>
      <c r="K42" s="357">
        <f>K10*K11*K38-K30</f>
        <v>59.162999999999997</v>
      </c>
      <c r="L42" s="856" t="s">
        <v>1</v>
      </c>
      <c r="M42" s="355"/>
      <c r="N42" s="355"/>
      <c r="P42" s="11"/>
      <c r="R42" s="885"/>
      <c r="S42" s="886"/>
    </row>
    <row r="43" spans="1:26" ht="19.899999999999999" customHeight="1">
      <c r="A43" s="1573"/>
      <c r="B43" s="759" t="s">
        <v>857</v>
      </c>
      <c r="C43" s="760">
        <f>'D122-42'!C55/1.15</f>
        <v>9.6240000000000023</v>
      </c>
      <c r="D43" s="758" t="s">
        <v>3</v>
      </c>
      <c r="E43" s="759" t="s">
        <v>858</v>
      </c>
      <c r="F43" s="760">
        <f>'D122-42'!F55/1.15</f>
        <v>6.644869565217391</v>
      </c>
      <c r="G43" s="758" t="s">
        <v>3</v>
      </c>
      <c r="H43" s="842"/>
      <c r="I43" s="842"/>
      <c r="J43" s="842" t="s">
        <v>619</v>
      </c>
      <c r="K43" s="842"/>
      <c r="L43" s="856"/>
      <c r="M43" s="355"/>
      <c r="N43" s="355"/>
    </row>
    <row r="44" spans="1:26" ht="19.899999999999999" customHeight="1">
      <c r="A44" s="1573"/>
      <c r="B44" s="759" t="s">
        <v>859</v>
      </c>
      <c r="C44" s="760">
        <f>'D122-42'!C56/1.15</f>
        <v>296.9904347826087</v>
      </c>
      <c r="D44" s="758" t="s">
        <v>4</v>
      </c>
      <c r="E44" s="759" t="s">
        <v>860</v>
      </c>
      <c r="F44" s="760">
        <f>'D122-42'!F56/1.15</f>
        <v>197.36652173913046</v>
      </c>
      <c r="G44" s="758" t="s">
        <v>4</v>
      </c>
      <c r="H44" s="842"/>
      <c r="I44" s="842"/>
      <c r="J44" s="857" t="s">
        <v>862</v>
      </c>
      <c r="K44" s="839">
        <f>'D122-42'!K45</f>
        <v>0</v>
      </c>
      <c r="L44" s="856" t="s">
        <v>0</v>
      </c>
      <c r="M44" s="355"/>
      <c r="N44" s="355"/>
      <c r="Z44" s="7"/>
    </row>
    <row r="45" spans="1:26" ht="19.899999999999999" customHeight="1" thickBot="1">
      <c r="A45" s="1573" t="s">
        <v>549</v>
      </c>
      <c r="B45" s="759" t="s">
        <v>856</v>
      </c>
      <c r="C45" s="760">
        <f>'D122-42'!C57/1.15</f>
        <v>13.277826086956518</v>
      </c>
      <c r="D45" s="758" t="s">
        <v>3</v>
      </c>
      <c r="E45" s="759"/>
      <c r="F45" s="760"/>
      <c r="G45" s="758"/>
      <c r="H45" s="842"/>
      <c r="I45" s="842"/>
      <c r="J45" s="842" t="s">
        <v>620</v>
      </c>
      <c r="K45" s="355"/>
      <c r="L45" s="856"/>
      <c r="M45" s="355"/>
      <c r="N45" s="355"/>
      <c r="V45" s="1574" t="s">
        <v>850</v>
      </c>
      <c r="W45" s="1575"/>
      <c r="X45" s="1575"/>
      <c r="Y45" s="1576"/>
      <c r="Z45" s="7"/>
    </row>
    <row r="46" spans="1:26" ht="19.899999999999999" customHeight="1">
      <c r="A46" s="1573"/>
      <c r="B46" s="759" t="s">
        <v>857</v>
      </c>
      <c r="C46" s="760">
        <f>'D122-42'!C58/1.15</f>
        <v>15.495652173913046</v>
      </c>
      <c r="D46" s="758" t="s">
        <v>3</v>
      </c>
      <c r="E46" s="759" t="s">
        <v>858</v>
      </c>
      <c r="F46" s="760">
        <f>'D122-42'!F58/1.15</f>
        <v>2.3999999999999995</v>
      </c>
      <c r="G46" s="758" t="s">
        <v>3</v>
      </c>
      <c r="H46" s="842"/>
      <c r="I46" s="842"/>
      <c r="J46" s="857" t="s">
        <v>863</v>
      </c>
      <c r="K46" s="357">
        <f>K44*K10*K11</f>
        <v>0</v>
      </c>
      <c r="L46" s="856" t="s">
        <v>1</v>
      </c>
      <c r="M46" s="355"/>
      <c r="N46" s="355"/>
      <c r="Q46" s="63"/>
      <c r="R46" s="63"/>
      <c r="S46" s="108"/>
      <c r="V46" s="254" t="s">
        <v>851</v>
      </c>
      <c r="W46" s="467" t="s">
        <v>152</v>
      </c>
      <c r="X46" s="254" t="s">
        <v>153</v>
      </c>
      <c r="Y46" s="254" t="s">
        <v>699</v>
      </c>
      <c r="Z46" s="7"/>
    </row>
    <row r="47" spans="1:26" ht="19.899999999999999" customHeight="1">
      <c r="A47" s="1573"/>
      <c r="B47" s="759" t="s">
        <v>859</v>
      </c>
      <c r="C47" s="760">
        <f>'D122-42'!C59/1.15</f>
        <v>491.18565217391301</v>
      </c>
      <c r="D47" s="758" t="s">
        <v>4</v>
      </c>
      <c r="E47" s="759" t="s">
        <v>860</v>
      </c>
      <c r="F47" s="760">
        <f>'D122-42'!F59/1.15</f>
        <v>94.64452173913044</v>
      </c>
      <c r="G47" s="758" t="s">
        <v>4</v>
      </c>
      <c r="H47" s="842"/>
      <c r="I47" s="842"/>
      <c r="J47" s="857" t="s">
        <v>941</v>
      </c>
      <c r="K47" s="357">
        <f>K46*1.55*K11/4</f>
        <v>0</v>
      </c>
      <c r="L47" s="856" t="s">
        <v>4</v>
      </c>
      <c r="M47" s="355"/>
      <c r="N47" s="355"/>
      <c r="S47" s="117"/>
      <c r="V47" s="254" t="s">
        <v>696</v>
      </c>
      <c r="W47" s="467">
        <f>F41+F40*$K$14</f>
        <v>103.04452173913043</v>
      </c>
      <c r="X47" s="467">
        <f>C41+C40*$K$14</f>
        <v>545.42043478260871</v>
      </c>
      <c r="Y47" s="467">
        <f>SQRT(W47^2+X47^2)</f>
        <v>555.0690264632824</v>
      </c>
    </row>
    <row r="48" spans="1:26" ht="19.899999999999999" customHeight="1">
      <c r="A48" s="1573" t="s">
        <v>662</v>
      </c>
      <c r="B48" s="759" t="s">
        <v>856</v>
      </c>
      <c r="C48" s="760">
        <f>'D122-42'!R23/1.15</f>
        <v>11.999565217391305</v>
      </c>
      <c r="D48" s="758" t="s">
        <v>3</v>
      </c>
      <c r="E48" s="759"/>
      <c r="F48" s="760"/>
      <c r="G48" s="758"/>
      <c r="H48" s="842"/>
      <c r="I48" s="1598" t="s">
        <v>864</v>
      </c>
      <c r="J48" s="1598"/>
      <c r="K48" s="357">
        <f>'D122-42'!K52</f>
        <v>0</v>
      </c>
      <c r="L48" s="842" t="s">
        <v>1</v>
      </c>
      <c r="M48" s="355"/>
      <c r="N48" s="355"/>
      <c r="S48" s="117"/>
      <c r="V48" s="254" t="s">
        <v>697</v>
      </c>
      <c r="W48" s="467">
        <f>F44+F43*$K$14</f>
        <v>220.62356521739133</v>
      </c>
      <c r="X48" s="467">
        <f>C44+C43*$K$14</f>
        <v>330.67443478260873</v>
      </c>
      <c r="Y48" s="467">
        <f>SQRT(W48^2+X48^2)</f>
        <v>397.51772205529437</v>
      </c>
    </row>
    <row r="49" spans="1:33" ht="19.899999999999999" customHeight="1">
      <c r="A49" s="1573"/>
      <c r="B49" s="759" t="s">
        <v>857</v>
      </c>
      <c r="C49" s="760">
        <f>ABS('D122-42'!P23/1.15)</f>
        <v>8.4347826086956523</v>
      </c>
      <c r="D49" s="758" t="s">
        <v>3</v>
      </c>
      <c r="E49" s="759" t="s">
        <v>858</v>
      </c>
      <c r="F49" s="760">
        <f>ABS('D122-42'!Q23/1.15)</f>
        <v>0</v>
      </c>
      <c r="G49" s="758" t="s">
        <v>3</v>
      </c>
      <c r="H49" s="842"/>
      <c r="I49" s="1577" t="s">
        <v>865</v>
      </c>
      <c r="J49" s="1577"/>
      <c r="K49" s="357">
        <f>'D122-42'!K53</f>
        <v>0</v>
      </c>
      <c r="L49" s="842" t="s">
        <v>4</v>
      </c>
      <c r="M49" s="355"/>
      <c r="N49" s="355"/>
      <c r="S49" s="117"/>
      <c r="V49" s="254" t="s">
        <v>698</v>
      </c>
      <c r="W49" s="467">
        <f>F47+F46*$K$14</f>
        <v>103.04452173913043</v>
      </c>
      <c r="X49" s="467">
        <f>C47+C46*$K$14</f>
        <v>545.42043478260871</v>
      </c>
      <c r="Y49" s="467">
        <f t="shared" ref="Y49:Y50" si="3">SQRT(W49^2+X49^2)</f>
        <v>555.0690264632824</v>
      </c>
    </row>
    <row r="50" spans="1:33" ht="19.899999999999999" customHeight="1">
      <c r="A50" s="1573"/>
      <c r="B50" s="759" t="s">
        <v>859</v>
      </c>
      <c r="C50" s="760">
        <f>ABS('D122-42'!T23/1.15)</f>
        <v>303.74973913043482</v>
      </c>
      <c r="D50" s="758" t="s">
        <v>4</v>
      </c>
      <c r="E50" s="759" t="s">
        <v>860</v>
      </c>
      <c r="F50" s="760">
        <f>ABS('D122-42'!S23/1.15)</f>
        <v>3.47826086957194E-3</v>
      </c>
      <c r="G50" s="758" t="s">
        <v>4</v>
      </c>
      <c r="H50" s="842"/>
      <c r="I50" s="842"/>
      <c r="J50" s="842"/>
      <c r="K50" s="355"/>
      <c r="L50" s="856"/>
      <c r="M50" s="355"/>
      <c r="N50" s="355"/>
      <c r="S50" s="117"/>
      <c r="V50" s="12" t="s">
        <v>706</v>
      </c>
      <c r="W50" s="467">
        <f>F50+F49*$K$14</f>
        <v>3.47826086957194E-3</v>
      </c>
      <c r="X50" s="467">
        <f>C50+C49*$K$14</f>
        <v>333.27147826086957</v>
      </c>
      <c r="Y50" s="467">
        <f t="shared" si="3"/>
        <v>333.27147827902041</v>
      </c>
    </row>
    <row r="51" spans="1:33" ht="19.899999999999999" customHeight="1">
      <c r="A51" s="887" t="s">
        <v>664</v>
      </c>
      <c r="D51" s="1417" t="s">
        <v>1118</v>
      </c>
      <c r="E51" s="4"/>
      <c r="V51" s="889" t="s">
        <v>995</v>
      </c>
    </row>
    <row r="52" spans="1:33" ht="19.899999999999999" customHeight="1">
      <c r="A52" s="1482" t="s">
        <v>216</v>
      </c>
      <c r="B52" s="1482" t="s">
        <v>217</v>
      </c>
      <c r="C52" s="1504"/>
      <c r="D52" s="890" t="s">
        <v>218</v>
      </c>
      <c r="E52" s="890" t="s">
        <v>945</v>
      </c>
      <c r="F52" s="1475" t="s">
        <v>39</v>
      </c>
      <c r="G52" s="891" t="s">
        <v>946</v>
      </c>
      <c r="H52" s="892" t="s">
        <v>221</v>
      </c>
      <c r="I52" s="890" t="s">
        <v>25</v>
      </c>
      <c r="J52" s="890" t="s">
        <v>26</v>
      </c>
      <c r="K52" s="890" t="s">
        <v>947</v>
      </c>
      <c r="V52" s="893" t="s">
        <v>996</v>
      </c>
      <c r="Y52" s="1259">
        <f>Y50*0.5</f>
        <v>166.63573913951021</v>
      </c>
    </row>
    <row r="53" spans="1:33" ht="19.899999999999999" customHeight="1">
      <c r="A53" s="1482"/>
      <c r="B53" s="1482"/>
      <c r="C53" s="1504"/>
      <c r="D53" s="894" t="s">
        <v>0</v>
      </c>
      <c r="E53" s="894" t="s">
        <v>24</v>
      </c>
      <c r="F53" s="1471"/>
      <c r="G53" s="895"/>
      <c r="H53" s="894" t="s">
        <v>219</v>
      </c>
      <c r="I53" s="894" t="s">
        <v>10</v>
      </c>
      <c r="J53" s="894" t="s">
        <v>10</v>
      </c>
      <c r="K53" s="894" t="s">
        <v>24</v>
      </c>
    </row>
    <row r="54" spans="1:33" ht="24" customHeight="1">
      <c r="A54" s="896" t="str">
        <f t="shared" ref="A54:B54" si="4">V10</f>
        <v>Lớp 1</v>
      </c>
      <c r="B54" s="1567" t="str">
        <f t="shared" si="4"/>
        <v>Bùn sét</v>
      </c>
      <c r="C54" s="1567"/>
      <c r="D54" s="897">
        <f t="shared" ref="D54:J54" si="5">X10</f>
        <v>1</v>
      </c>
      <c r="E54" s="897">
        <f t="shared" si="5"/>
        <v>1.53</v>
      </c>
      <c r="F54" s="897">
        <f t="shared" si="5"/>
        <v>2.6</v>
      </c>
      <c r="G54" s="898">
        <f t="shared" si="5"/>
        <v>1.859</v>
      </c>
      <c r="H54" s="897">
        <f t="shared" si="5"/>
        <v>4.3</v>
      </c>
      <c r="I54" s="897">
        <f t="shared" si="5"/>
        <v>0.57999999999999996</v>
      </c>
      <c r="J54" s="897">
        <f t="shared" si="5"/>
        <v>51.6</v>
      </c>
      <c r="K54" s="897">
        <f>(F54-1)/(G54+1)</f>
        <v>0.55963623644630989</v>
      </c>
      <c r="M54" s="9"/>
      <c r="V54" s="4">
        <f>IF(E54&gt;1.55,1.55,E54)</f>
        <v>1.53</v>
      </c>
      <c r="W54" s="11">
        <f>IF(K54&gt;0.55,0.55,K54)</f>
        <v>0.55000000000000004</v>
      </c>
    </row>
    <row r="55" spans="1:33" ht="19.899999999999999" customHeight="1">
      <c r="A55" s="896"/>
      <c r="B55" s="1559" t="s">
        <v>536</v>
      </c>
      <c r="C55" s="1559"/>
      <c r="D55" s="897">
        <v>1</v>
      </c>
      <c r="E55" s="897">
        <v>1.55</v>
      </c>
      <c r="F55" s="899"/>
      <c r="G55" s="900"/>
      <c r="H55" s="897">
        <v>26</v>
      </c>
      <c r="I55" s="897">
        <v>0</v>
      </c>
      <c r="J55" s="897">
        <v>1100</v>
      </c>
      <c r="K55" s="901">
        <f>E55-1</f>
        <v>0.55000000000000004</v>
      </c>
      <c r="M55" s="9"/>
    </row>
    <row r="56" spans="1:33" s="7" customFormat="1" ht="24" customHeight="1">
      <c r="A56" s="896" t="str">
        <f>V11</f>
        <v>Lớp 1</v>
      </c>
      <c r="B56" s="1567" t="str">
        <f>W11</f>
        <v xml:space="preserve">Bùn sét </v>
      </c>
      <c r="C56" s="1567"/>
      <c r="D56" s="897">
        <f t="shared" ref="D56:J57" si="6">X11</f>
        <v>10</v>
      </c>
      <c r="E56" s="897">
        <f t="shared" si="6"/>
        <v>1.53</v>
      </c>
      <c r="F56" s="897">
        <f t="shared" si="6"/>
        <v>2.6</v>
      </c>
      <c r="G56" s="898">
        <f t="shared" si="6"/>
        <v>1.859</v>
      </c>
      <c r="H56" s="897">
        <f t="shared" si="6"/>
        <v>4.3</v>
      </c>
      <c r="I56" s="897">
        <f t="shared" si="6"/>
        <v>0.57999999999999996</v>
      </c>
      <c r="J56" s="897">
        <f t="shared" si="6"/>
        <v>51.6</v>
      </c>
      <c r="K56" s="897">
        <f>(F56-1)/(G56+1)</f>
        <v>0.55963623644630989</v>
      </c>
      <c r="M56" s="410"/>
      <c r="N56" s="267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</row>
    <row r="57" spans="1:33" ht="24" customHeight="1">
      <c r="A57" s="896">
        <f>V12</f>
        <v>0</v>
      </c>
      <c r="B57" s="1596">
        <f>W12</f>
        <v>0</v>
      </c>
      <c r="C57" s="1597"/>
      <c r="D57" s="897">
        <f t="shared" si="6"/>
        <v>0</v>
      </c>
      <c r="E57" s="897">
        <f t="shared" si="6"/>
        <v>0</v>
      </c>
      <c r="F57" s="897">
        <f t="shared" si="6"/>
        <v>0</v>
      </c>
      <c r="G57" s="898">
        <f t="shared" si="6"/>
        <v>0</v>
      </c>
      <c r="H57" s="897">
        <f t="shared" si="6"/>
        <v>0</v>
      </c>
      <c r="I57" s="897">
        <f t="shared" si="6"/>
        <v>0</v>
      </c>
      <c r="J57" s="897">
        <f t="shared" si="6"/>
        <v>0</v>
      </c>
      <c r="K57" s="897"/>
      <c r="M57" s="9"/>
    </row>
    <row r="58" spans="1:33" ht="19.899999999999999" customHeight="1">
      <c r="A58" s="879" t="s">
        <v>222</v>
      </c>
      <c r="B58" s="842"/>
      <c r="C58" s="842"/>
      <c r="D58" s="842"/>
      <c r="E58" s="842"/>
      <c r="F58" s="842"/>
      <c r="G58" s="842"/>
      <c r="H58" s="842"/>
      <c r="I58" s="842"/>
      <c r="J58" s="842"/>
      <c r="K58" s="355"/>
      <c r="L58" s="856"/>
    </row>
    <row r="59" spans="1:33" ht="19.899999999999999" customHeight="1">
      <c r="A59" s="879" t="s">
        <v>665</v>
      </c>
      <c r="B59" s="842"/>
      <c r="C59" s="842"/>
      <c r="D59" s="842"/>
      <c r="E59" s="842"/>
      <c r="F59" s="842"/>
      <c r="G59" s="842"/>
      <c r="H59" s="842"/>
      <c r="I59" s="842"/>
      <c r="J59" s="842"/>
      <c r="K59" s="355"/>
      <c r="L59" s="856"/>
      <c r="N59" s="4" t="s">
        <v>580</v>
      </c>
      <c r="O59" s="1561" t="s">
        <v>589</v>
      </c>
      <c r="P59" s="1561"/>
    </row>
    <row r="60" spans="1:33" ht="19.899999999999999" customHeight="1">
      <c r="A60" s="842"/>
      <c r="B60" s="857" t="s">
        <v>120</v>
      </c>
      <c r="C60" s="357">
        <f>IF(D55&gt;0,H55,H54)</f>
        <v>26</v>
      </c>
      <c r="D60" s="856" t="s">
        <v>666</v>
      </c>
      <c r="E60" s="857"/>
      <c r="F60" s="355"/>
      <c r="G60" s="842"/>
      <c r="H60" s="842"/>
      <c r="I60" s="842"/>
      <c r="J60" s="842"/>
      <c r="K60" s="355"/>
      <c r="L60" s="856"/>
      <c r="M60" s="4" t="s">
        <v>581</v>
      </c>
      <c r="N60" s="4" t="s">
        <v>583</v>
      </c>
      <c r="O60" s="4" t="s">
        <v>590</v>
      </c>
      <c r="P60" s="4" t="s">
        <v>591</v>
      </c>
    </row>
    <row r="61" spans="1:33" ht="19.899999999999999" customHeight="1">
      <c r="A61" s="355"/>
      <c r="B61" s="857" t="s">
        <v>59</v>
      </c>
      <c r="C61" s="355">
        <f>ROUND(0.25*3.1416/(1/TAN(RADIANS(C60))+RADIANS(C60)-3.1516/2),2)</f>
        <v>0.85</v>
      </c>
      <c r="D61" s="857" t="s">
        <v>112</v>
      </c>
      <c r="E61" s="355">
        <f>ROUND((1+3.1416/(1/TAN(RADIANS(C60))+RADIANS(C60)-3.1416/2)),2)</f>
        <v>4.37</v>
      </c>
      <c r="F61" s="857" t="s">
        <v>121</v>
      </c>
      <c r="G61" s="355">
        <f>ROUND(3.1416*1/TAN(RADIANS(C60))/(1/TAN(RADIANS(C60))+RADIANS(C60)-3.1416/2),2)</f>
        <v>6.9</v>
      </c>
      <c r="H61" s="842"/>
      <c r="I61" s="842"/>
      <c r="J61" s="355"/>
      <c r="K61" s="355"/>
      <c r="L61" s="355"/>
      <c r="M61" s="902" t="s">
        <v>582</v>
      </c>
      <c r="N61" s="4">
        <v>1.4</v>
      </c>
      <c r="O61" s="4">
        <v>1.2</v>
      </c>
      <c r="P61" s="4">
        <v>1.4</v>
      </c>
    </row>
    <row r="62" spans="1:33" ht="19.899999999999999" customHeight="1">
      <c r="A62" s="842"/>
      <c r="C62" s="857" t="s">
        <v>667</v>
      </c>
      <c r="D62" s="842" t="s">
        <v>948</v>
      </c>
      <c r="E62" s="842"/>
      <c r="F62" s="842"/>
      <c r="G62" s="857"/>
      <c r="H62" s="857" t="s">
        <v>949</v>
      </c>
      <c r="I62" s="355">
        <f>D63*F63/H63</f>
        <v>1.32</v>
      </c>
      <c r="J62" s="842"/>
      <c r="K62" s="355"/>
      <c r="L62" s="856"/>
      <c r="M62" s="4" t="s">
        <v>584</v>
      </c>
    </row>
    <row r="63" spans="1:33" ht="19.899999999999999" customHeight="1">
      <c r="A63" s="842"/>
      <c r="B63" s="842" t="s">
        <v>668</v>
      </c>
      <c r="C63" s="857" t="s">
        <v>577</v>
      </c>
      <c r="D63" s="355">
        <v>1.1000000000000001</v>
      </c>
      <c r="E63" s="857" t="s">
        <v>578</v>
      </c>
      <c r="F63" s="355">
        <v>1.2</v>
      </c>
      <c r="G63" s="857" t="s">
        <v>579</v>
      </c>
      <c r="H63" s="355">
        <v>1</v>
      </c>
      <c r="I63" s="355"/>
      <c r="J63" s="355"/>
      <c r="K63" s="355"/>
      <c r="L63" s="355"/>
      <c r="M63" s="903" t="s">
        <v>585</v>
      </c>
      <c r="N63" s="4">
        <v>1.3</v>
      </c>
      <c r="O63" s="4">
        <v>1.1000000000000001</v>
      </c>
      <c r="P63" s="4">
        <v>1.3</v>
      </c>
    </row>
    <row r="64" spans="1:33" ht="19.899999999999999" customHeight="1">
      <c r="A64" s="842"/>
      <c r="B64" s="904" t="s">
        <v>669</v>
      </c>
      <c r="D64" s="842"/>
      <c r="E64" s="857" t="s">
        <v>950</v>
      </c>
      <c r="F64" s="357">
        <f>W50</f>
        <v>3.47826086957194E-3</v>
      </c>
      <c r="G64" s="842" t="s">
        <v>4</v>
      </c>
      <c r="J64" s="857" t="s">
        <v>951</v>
      </c>
      <c r="K64" s="356">
        <f>Y50</f>
        <v>333.27147827902041</v>
      </c>
      <c r="L64" s="842" t="s">
        <v>4</v>
      </c>
      <c r="M64" s="4" t="s">
        <v>586</v>
      </c>
    </row>
    <row r="65" spans="1:22" ht="19.899999999999999" customHeight="1">
      <c r="A65" s="842"/>
      <c r="B65" s="904" t="s">
        <v>670</v>
      </c>
      <c r="C65" s="842"/>
      <c r="D65" s="842"/>
      <c r="E65" s="842"/>
      <c r="F65" s="859"/>
      <c r="G65" s="859"/>
      <c r="H65" s="859"/>
      <c r="I65" s="842"/>
      <c r="J65" s="842"/>
      <c r="K65" s="355"/>
      <c r="L65" s="856"/>
      <c r="M65" s="903" t="s">
        <v>587</v>
      </c>
      <c r="N65" s="4">
        <v>1.2</v>
      </c>
      <c r="O65" s="4">
        <v>1</v>
      </c>
      <c r="P65" s="4">
        <v>1.1000000000000001</v>
      </c>
    </row>
    <row r="66" spans="1:22" ht="19.899999999999999" customHeight="1">
      <c r="A66" s="904"/>
      <c r="B66" s="857" t="s">
        <v>145</v>
      </c>
      <c r="C66" s="357">
        <f>(C61*K10*K55+E61*K38*W54+G61*I55)*I62</f>
        <v>9.3436200000000014</v>
      </c>
      <c r="D66" s="842" t="s">
        <v>10</v>
      </c>
      <c r="E66" s="857" t="s">
        <v>952</v>
      </c>
      <c r="F66" s="357">
        <f>F67+F64/K34+K64/K36</f>
        <v>3.0518379602474708</v>
      </c>
      <c r="G66" s="842" t="s">
        <v>146</v>
      </c>
      <c r="H66" s="842"/>
      <c r="I66" s="357">
        <f>+C66*1.2</f>
        <v>11.212344000000002</v>
      </c>
      <c r="J66" s="842" t="s">
        <v>10</v>
      </c>
      <c r="K66" s="355"/>
      <c r="L66" s="856"/>
      <c r="V66" s="4" t="str">
        <f>IF(I66&gt;F66,"Đạt", "Chưa đạt")</f>
        <v>Đạt</v>
      </c>
    </row>
    <row r="67" spans="1:22" ht="19.899999999999999" customHeight="1">
      <c r="A67" s="904"/>
      <c r="B67" s="857" t="s">
        <v>164</v>
      </c>
      <c r="C67" s="357">
        <f>C39+K30*2.5+K42*W54+K46*W54</f>
        <v>197.9099760869565</v>
      </c>
      <c r="D67" s="842" t="s">
        <v>3</v>
      </c>
      <c r="E67" s="857" t="s">
        <v>953</v>
      </c>
      <c r="F67" s="357">
        <f>C67/K32</f>
        <v>1.6631090427475337</v>
      </c>
      <c r="G67" s="842" t="s">
        <v>147</v>
      </c>
      <c r="H67" s="842"/>
      <c r="I67" s="357">
        <f>+C66</f>
        <v>9.3436200000000014</v>
      </c>
      <c r="J67" s="842" t="s">
        <v>10</v>
      </c>
      <c r="K67" s="355"/>
      <c r="L67" s="856"/>
      <c r="M67" s="903" t="s">
        <v>588</v>
      </c>
      <c r="N67" s="4">
        <v>1.1000000000000001</v>
      </c>
      <c r="O67" s="4">
        <v>1</v>
      </c>
      <c r="P67" s="4">
        <v>1</v>
      </c>
      <c r="V67" s="4" t="str">
        <f>IF(I67&gt;F67,"Đạt", "Chưa đạt")</f>
        <v>Đạt</v>
      </c>
    </row>
    <row r="68" spans="1:22" ht="19.899999999999999" customHeight="1">
      <c r="A68" s="904"/>
      <c r="B68" s="842"/>
      <c r="C68" s="842"/>
      <c r="D68" s="842"/>
      <c r="E68" s="857" t="s">
        <v>954</v>
      </c>
      <c r="F68" s="357">
        <f>F67-F64/K34-K64/K36</f>
        <v>0.27438012524759681</v>
      </c>
      <c r="G68" s="842" t="s">
        <v>10</v>
      </c>
      <c r="H68" s="905" t="str">
        <f>+IF(F68&gt;0,"&gt; 0","@ 0")</f>
        <v>&gt; 0</v>
      </c>
      <c r="I68" s="357"/>
      <c r="J68" s="842"/>
      <c r="K68" s="357"/>
      <c r="L68" s="906"/>
      <c r="V68" s="4" t="str">
        <f>IF(F68&lt;-0.1,"Chưa đạt", "Đạt")</f>
        <v>Đạt</v>
      </c>
    </row>
    <row r="69" spans="1:22" ht="19.899999999999999" customHeight="1">
      <c r="A69" s="842"/>
      <c r="B69" s="904" t="s">
        <v>671</v>
      </c>
      <c r="C69" s="842"/>
      <c r="D69" s="842"/>
      <c r="E69" s="842"/>
      <c r="F69" s="357"/>
      <c r="G69" s="859"/>
      <c r="H69" s="859"/>
      <c r="I69" s="355"/>
      <c r="J69" s="842"/>
      <c r="K69" s="355"/>
      <c r="L69" s="856"/>
    </row>
    <row r="70" spans="1:22" ht="19.899999999999999" customHeight="1">
      <c r="A70" s="904"/>
      <c r="B70" s="857" t="s">
        <v>145</v>
      </c>
      <c r="C70" s="357">
        <f>(C61*K10*K55+E61*K38*V54+G61*I55)*I62</f>
        <v>14.996652000000001</v>
      </c>
      <c r="D70" s="842" t="s">
        <v>10</v>
      </c>
      <c r="E70" s="857" t="s">
        <v>952</v>
      </c>
      <c r="F70" s="357">
        <f>F71+F64/K34+K64/K36</f>
        <v>3.5390626661298237</v>
      </c>
      <c r="G70" s="842" t="s">
        <v>146</v>
      </c>
      <c r="H70" s="842"/>
      <c r="I70" s="357">
        <f>+C70*1.2</f>
        <v>17.995982399999999</v>
      </c>
      <c r="J70" s="842" t="s">
        <v>10</v>
      </c>
      <c r="K70" s="355"/>
      <c r="L70" s="856"/>
      <c r="V70" s="4" t="str">
        <f>IF(I70&gt;F70,"Đạt", "Chưa đạt")</f>
        <v>Đạt</v>
      </c>
    </row>
    <row r="71" spans="1:22" ht="19.899999999999999" customHeight="1">
      <c r="A71" s="904"/>
      <c r="B71" s="857" t="s">
        <v>164</v>
      </c>
      <c r="C71" s="357">
        <f>C39+K30*2.5+K42*V54+K46*V54</f>
        <v>255.88971608695653</v>
      </c>
      <c r="D71" s="842" t="s">
        <v>3</v>
      </c>
      <c r="E71" s="857" t="s">
        <v>953</v>
      </c>
      <c r="F71" s="357">
        <f>C71/K32</f>
        <v>2.1503337486298868</v>
      </c>
      <c r="G71" s="842" t="s">
        <v>147</v>
      </c>
      <c r="H71" s="842"/>
      <c r="I71" s="357">
        <f>+C70</f>
        <v>14.996652000000001</v>
      </c>
      <c r="J71" s="842" t="s">
        <v>10</v>
      </c>
      <c r="K71" s="355"/>
      <c r="L71" s="856"/>
      <c r="V71" s="4" t="str">
        <f>IF(I71&gt;F71,"Đạt", "Chưa đạt")</f>
        <v>Đạt</v>
      </c>
    </row>
    <row r="72" spans="1:22" ht="19.899999999999999" customHeight="1">
      <c r="A72" s="904"/>
      <c r="B72" s="857"/>
      <c r="C72" s="842"/>
      <c r="D72" s="842"/>
      <c r="E72" s="857" t="s">
        <v>954</v>
      </c>
      <c r="F72" s="357">
        <f>F71-F64/K34-K64/K36</f>
        <v>0.76160483112994992</v>
      </c>
      <c r="G72" s="842" t="s">
        <v>10</v>
      </c>
      <c r="H72" s="842" t="s">
        <v>148</v>
      </c>
      <c r="I72" s="357"/>
      <c r="J72" s="842"/>
      <c r="K72" s="355"/>
      <c r="L72" s="856"/>
      <c r="V72" s="4" t="str">
        <f>IF(F72&lt;-0.1,"Chưa đạt", "Đạt")</f>
        <v>Đạt</v>
      </c>
    </row>
    <row r="73" spans="1:22" ht="19.899999999999999" customHeight="1" outlineLevel="1">
      <c r="A73" s="879" t="s">
        <v>672</v>
      </c>
      <c r="B73" s="842"/>
      <c r="C73" s="842"/>
      <c r="D73" s="842"/>
      <c r="E73" s="842"/>
      <c r="F73" s="859"/>
      <c r="G73" s="859"/>
      <c r="H73" s="859"/>
      <c r="I73" s="842"/>
      <c r="J73" s="842"/>
      <c r="K73" s="355"/>
      <c r="L73" s="856"/>
    </row>
    <row r="74" spans="1:22" ht="19.899999999999999" customHeight="1" outlineLevel="1">
      <c r="A74" s="842"/>
      <c r="B74" s="857" t="s">
        <v>120</v>
      </c>
      <c r="C74" s="357">
        <f>H56</f>
        <v>4.3</v>
      </c>
      <c r="D74" s="842"/>
      <c r="E74" s="842" t="s">
        <v>955</v>
      </c>
      <c r="F74" s="859">
        <f>+K10+2*V74</f>
        <v>11.2</v>
      </c>
      <c r="G74" s="859" t="s">
        <v>0</v>
      </c>
      <c r="H74" s="859"/>
      <c r="I74" s="842"/>
      <c r="J74" s="842"/>
      <c r="K74" s="355"/>
      <c r="L74" s="856"/>
      <c r="V74" s="4">
        <f>IF(D56&gt;0.5,0.6,0.3)</f>
        <v>0.6</v>
      </c>
    </row>
    <row r="75" spans="1:22" ht="19.899999999999999" customHeight="1" outlineLevel="1">
      <c r="A75" s="842"/>
      <c r="B75" s="857" t="s">
        <v>59</v>
      </c>
      <c r="C75" s="355">
        <f>ROUND(0.25*3.1416/(1/TAN(RADIANS(C74))+RADIANS(C74)-3.1516/2),2)</f>
        <v>7.0000000000000007E-2</v>
      </c>
      <c r="D75" s="842"/>
      <c r="E75" s="842" t="s">
        <v>141</v>
      </c>
      <c r="F75" s="859">
        <f>+K11+2*V74</f>
        <v>13.2</v>
      </c>
      <c r="G75" s="859" t="s">
        <v>0</v>
      </c>
      <c r="H75" s="859"/>
      <c r="I75" s="842"/>
      <c r="J75" s="842"/>
      <c r="K75" s="355"/>
      <c r="L75" s="856"/>
      <c r="N75" s="2"/>
    </row>
    <row r="76" spans="1:22" ht="19.899999999999999" customHeight="1" outlineLevel="1">
      <c r="A76" s="842"/>
      <c r="B76" s="857" t="s">
        <v>112</v>
      </c>
      <c r="C76" s="355">
        <f>ROUND((1+3.1416/(1/TAN(RADIANS(C74))+RADIANS(C74)-3.1416/2)),2)</f>
        <v>1.27</v>
      </c>
      <c r="D76" s="842"/>
      <c r="E76" s="842" t="s">
        <v>142</v>
      </c>
      <c r="F76" s="859">
        <f>+D56+K38</f>
        <v>11</v>
      </c>
      <c r="G76" s="859" t="s">
        <v>0</v>
      </c>
      <c r="H76" s="859"/>
      <c r="I76" s="842"/>
      <c r="J76" s="842"/>
      <c r="K76" s="355"/>
      <c r="L76" s="856"/>
      <c r="N76" s="2"/>
    </row>
    <row r="77" spans="1:22" ht="19.899999999999999" customHeight="1" outlineLevel="1">
      <c r="A77" s="842"/>
      <c r="B77" s="857" t="s">
        <v>121</v>
      </c>
      <c r="C77" s="355">
        <f>ROUND(3.1416*1/TAN(RADIANS(C74))/(1/TAN(RADIANS(C74))+RADIANS(C74)-3.1416/2),2)</f>
        <v>3.54</v>
      </c>
      <c r="D77" s="842"/>
      <c r="E77" s="842" t="s">
        <v>143</v>
      </c>
      <c r="F77" s="859">
        <f>+(F75*F74^3-K20^4)/6/F74</f>
        <v>275.953119047619</v>
      </c>
      <c r="G77" s="856" t="s">
        <v>1</v>
      </c>
      <c r="H77" s="859"/>
      <c r="I77" s="842"/>
      <c r="J77" s="842"/>
      <c r="K77" s="355"/>
      <c r="L77" s="856"/>
    </row>
    <row r="78" spans="1:22" ht="19.899999999999999" customHeight="1" outlineLevel="1">
      <c r="A78" s="842"/>
      <c r="B78" s="857"/>
      <c r="C78" s="842"/>
      <c r="D78" s="842"/>
      <c r="E78" s="842" t="s">
        <v>144</v>
      </c>
      <c r="F78" s="859">
        <f>+(F74*F75^3-K20^4)/6/F75</f>
        <v>325.23537373737372</v>
      </c>
      <c r="G78" s="856" t="s">
        <v>1</v>
      </c>
      <c r="H78" s="859"/>
      <c r="I78" s="842"/>
      <c r="J78" s="842"/>
      <c r="K78" s="355"/>
      <c r="L78" s="856"/>
    </row>
    <row r="79" spans="1:22" ht="19.899999999999999" customHeight="1" outlineLevel="1">
      <c r="A79" s="842"/>
      <c r="B79" s="842"/>
      <c r="C79" s="857" t="s">
        <v>673</v>
      </c>
      <c r="D79" s="842" t="s">
        <v>956</v>
      </c>
      <c r="E79" s="842"/>
      <c r="F79" s="859"/>
      <c r="G79" s="842"/>
      <c r="H79" s="859"/>
      <c r="I79" s="842"/>
      <c r="J79" s="842"/>
      <c r="K79" s="355"/>
      <c r="L79" s="856"/>
    </row>
    <row r="80" spans="1:22" ht="19.899999999999999" customHeight="1" outlineLevel="1">
      <c r="A80" s="842"/>
      <c r="B80" s="842" t="s">
        <v>669</v>
      </c>
      <c r="D80" s="842"/>
      <c r="E80" s="857" t="s">
        <v>957</v>
      </c>
      <c r="F80" s="839">
        <f>+F64+F40*D55</f>
        <v>2.4034782608695715</v>
      </c>
      <c r="G80" s="842" t="s">
        <v>4</v>
      </c>
      <c r="J80" s="857" t="s">
        <v>958</v>
      </c>
      <c r="K80" s="839">
        <f>+K64+D55*C40</f>
        <v>348.76713045293349</v>
      </c>
      <c r="L80" s="842" t="s">
        <v>4</v>
      </c>
    </row>
    <row r="81" spans="1:22" ht="19.899999999999999" customHeight="1" outlineLevel="1">
      <c r="A81" s="842"/>
      <c r="B81" s="904" t="s">
        <v>670</v>
      </c>
      <c r="C81" s="842"/>
      <c r="D81" s="842"/>
      <c r="E81" s="842"/>
      <c r="F81" s="859"/>
      <c r="G81" s="859"/>
      <c r="H81" s="859"/>
      <c r="I81" s="842"/>
      <c r="J81" s="842"/>
      <c r="K81" s="355"/>
      <c r="L81" s="856"/>
    </row>
    <row r="82" spans="1:22" ht="19.899999999999999" customHeight="1" outlineLevel="1">
      <c r="A82" s="842"/>
      <c r="B82" s="857" t="s">
        <v>145</v>
      </c>
      <c r="C82" s="356">
        <f>(+C75*F74*K56+C76*(K38*W54+D55*K55)+C77*I56)*I62</f>
        <v>5.1334203483735577</v>
      </c>
      <c r="D82" s="842" t="s">
        <v>10</v>
      </c>
      <c r="E82" s="857" t="s">
        <v>952</v>
      </c>
      <c r="F82" s="357">
        <f>+C83/(F74*F75-K20^2)+F80/F77+K80/F78</f>
        <v>2.6311395309352728</v>
      </c>
      <c r="G82" s="842" t="s">
        <v>10</v>
      </c>
      <c r="H82" s="842" t="s">
        <v>1011</v>
      </c>
      <c r="I82" s="356">
        <f>1.2*C82</f>
        <v>6.1601044180482694</v>
      </c>
      <c r="J82" s="842" t="s">
        <v>10</v>
      </c>
      <c r="K82" s="355"/>
      <c r="L82" s="856"/>
      <c r="V82" s="4" t="str">
        <f>IF(I82&gt;F82,"Đạt", "Chưa đạt")</f>
        <v>Đạt</v>
      </c>
    </row>
    <row r="83" spans="1:22" ht="19.899999999999999" customHeight="1" outlineLevel="1">
      <c r="A83" s="842"/>
      <c r="B83" s="857" t="s">
        <v>164</v>
      </c>
      <c r="C83" s="356">
        <f>+C39+K42*W54+K30*1.4+(F74*F75-K10*K11)*K38*W54+F75*F74*D55*K55+K46*W54</f>
        <v>227.61327608695649</v>
      </c>
      <c r="D83" s="842" t="s">
        <v>3</v>
      </c>
      <c r="E83" s="857" t="s">
        <v>953</v>
      </c>
      <c r="F83" s="357">
        <f>+(F84+F82)/2</f>
        <v>1.5500767916572902</v>
      </c>
      <c r="G83" s="842" t="s">
        <v>10</v>
      </c>
      <c r="H83" s="842" t="s">
        <v>165</v>
      </c>
      <c r="I83" s="356">
        <f>+C82</f>
        <v>5.1334203483735577</v>
      </c>
      <c r="J83" s="842" t="s">
        <v>10</v>
      </c>
      <c r="K83" s="355"/>
      <c r="L83" s="856"/>
      <c r="V83" s="4" t="str">
        <f>IF(I83&gt;F83,"Đạt", "Chưa đạt")</f>
        <v>Đạt</v>
      </c>
    </row>
    <row r="84" spans="1:22" ht="19.899999999999999" customHeight="1" outlineLevel="1">
      <c r="A84" s="842"/>
      <c r="B84" s="842"/>
      <c r="C84" s="842"/>
      <c r="D84" s="842"/>
      <c r="E84" s="857" t="s">
        <v>954</v>
      </c>
      <c r="F84" s="357">
        <f>+C83/(F74*F75-K20^2)-F80/F77-K80/F78</f>
        <v>0.46901405237930782</v>
      </c>
      <c r="G84" s="842" t="s">
        <v>10</v>
      </c>
      <c r="H84" s="905" t="str">
        <f>+IF(F84&gt;0,"&gt; 0","@ 0")</f>
        <v>&gt; 0</v>
      </c>
      <c r="I84" s="355"/>
      <c r="J84" s="842"/>
      <c r="K84" s="355"/>
      <c r="L84" s="856"/>
      <c r="V84" s="4" t="str">
        <f>IF(F84&lt;-0.1,"Chưa đạt", "Đạt")</f>
        <v>Đạt</v>
      </c>
    </row>
    <row r="85" spans="1:22" ht="19.899999999999999" hidden="1" customHeight="1" outlineLevel="1">
      <c r="A85" s="842"/>
      <c r="B85" s="842"/>
      <c r="C85" s="842"/>
      <c r="D85" s="842"/>
      <c r="E85" s="842"/>
      <c r="F85" s="355"/>
      <c r="G85" s="842"/>
      <c r="H85" s="842"/>
      <c r="I85" s="355"/>
      <c r="J85" s="355"/>
      <c r="K85" s="355"/>
      <c r="L85" s="856"/>
    </row>
    <row r="86" spans="1:22" ht="19.899999999999999" hidden="1" customHeight="1" outlineLevel="1">
      <c r="A86" s="842"/>
      <c r="B86" s="842"/>
      <c r="C86" s="842"/>
      <c r="D86" s="842"/>
      <c r="E86" s="842"/>
      <c r="F86" s="355"/>
      <c r="G86" s="842"/>
      <c r="H86" s="842"/>
      <c r="I86" s="355"/>
      <c r="J86" s="355"/>
      <c r="K86" s="355"/>
      <c r="L86" s="856"/>
    </row>
    <row r="87" spans="1:22" ht="19.899999999999999" customHeight="1" outlineLevel="1">
      <c r="A87" s="842"/>
      <c r="B87" s="904" t="s">
        <v>671</v>
      </c>
      <c r="C87" s="842"/>
      <c r="D87" s="857"/>
      <c r="E87" s="859"/>
      <c r="F87" s="355"/>
      <c r="G87" s="859"/>
      <c r="H87" s="859"/>
      <c r="I87" s="355"/>
      <c r="J87" s="355"/>
      <c r="K87" s="355"/>
      <c r="L87" s="856"/>
    </row>
    <row r="88" spans="1:22" ht="19.899999999999999" customHeight="1" outlineLevel="1">
      <c r="A88" s="842"/>
      <c r="B88" s="857" t="s">
        <v>145</v>
      </c>
      <c r="C88" s="907">
        <f>(+C75*F74*K56+C76*(K38*V54+D55*E55)+C77*I56)*I62</f>
        <v>8.4526923483735565</v>
      </c>
      <c r="D88" s="842" t="s">
        <v>10</v>
      </c>
      <c r="E88" s="857" t="s">
        <v>952</v>
      </c>
      <c r="F88" s="357">
        <f>+C89/(F74*F75-K20^2)+F80/F77+K80/F78</f>
        <v>3.6260996235530887</v>
      </c>
      <c r="G88" s="842" t="s">
        <v>10</v>
      </c>
      <c r="H88" s="842" t="s">
        <v>1011</v>
      </c>
      <c r="I88" s="356">
        <f>1.2*C88</f>
        <v>10.143230818048268</v>
      </c>
      <c r="J88" s="842" t="s">
        <v>10</v>
      </c>
      <c r="K88" s="355"/>
      <c r="L88" s="856"/>
      <c r="V88" s="4" t="str">
        <f>IF(I88&gt;F88,"Đạt", "Chưa đạt")</f>
        <v>Đạt</v>
      </c>
    </row>
    <row r="89" spans="1:22" ht="19.899999999999999" customHeight="1" outlineLevel="1">
      <c r="A89" s="842"/>
      <c r="B89" s="857" t="s">
        <v>164</v>
      </c>
      <c r="C89" s="907">
        <f>+C39+K42*V54+K30*2.4+(F74*F75-K10*K11)*K38*V54+F75*F74*D55*K55+K46*V54</f>
        <v>373.71321608695649</v>
      </c>
      <c r="D89" s="842" t="s">
        <v>3</v>
      </c>
      <c r="E89" s="857" t="s">
        <v>953</v>
      </c>
      <c r="F89" s="357">
        <f>+(F88+F90)/2</f>
        <v>2.5450368842751061</v>
      </c>
      <c r="G89" s="842" t="s">
        <v>10</v>
      </c>
      <c r="H89" s="842" t="s">
        <v>165</v>
      </c>
      <c r="I89" s="356">
        <f>+C88</f>
        <v>8.4526923483735565</v>
      </c>
      <c r="J89" s="842" t="s">
        <v>10</v>
      </c>
      <c r="K89" s="355"/>
      <c r="L89" s="856"/>
      <c r="V89" s="4" t="str">
        <f>IF(I89&gt;F89,"Đạt", "Chưa đạt")</f>
        <v>Đạt</v>
      </c>
    </row>
    <row r="90" spans="1:22" ht="19.899999999999999" customHeight="1" outlineLevel="1">
      <c r="A90" s="842"/>
      <c r="B90" s="842"/>
      <c r="C90" s="842"/>
      <c r="D90" s="842"/>
      <c r="E90" s="857" t="s">
        <v>954</v>
      </c>
      <c r="F90" s="357">
        <f>+C89/(F74*F75-K20^2)-F80/F77-K80/F78</f>
        <v>1.4639741449971235</v>
      </c>
      <c r="G90" s="842" t="s">
        <v>10</v>
      </c>
      <c r="H90" s="859" t="s">
        <v>148</v>
      </c>
      <c r="I90" s="859"/>
      <c r="J90" s="842"/>
      <c r="K90" s="842"/>
      <c r="L90" s="856"/>
      <c r="V90" s="4" t="str">
        <f>IF(F90&lt;-0.1,"Chưa đạt", "Đạt")</f>
        <v>Đạt</v>
      </c>
    </row>
    <row r="91" spans="1:22" ht="19.899999999999999" hidden="1" customHeight="1">
      <c r="B91" s="842"/>
      <c r="C91" s="842"/>
      <c r="D91" s="842"/>
      <c r="E91" s="842"/>
      <c r="F91" s="842"/>
      <c r="G91" s="842"/>
      <c r="H91" s="842"/>
      <c r="I91" s="842"/>
      <c r="J91" s="842"/>
      <c r="K91" s="355"/>
      <c r="L91" s="856"/>
    </row>
    <row r="92" spans="1:22" ht="19.899999999999999" hidden="1" customHeight="1">
      <c r="B92" s="842"/>
      <c r="C92" s="842"/>
      <c r="D92" s="842"/>
      <c r="E92" s="842"/>
      <c r="F92" s="842"/>
      <c r="G92" s="842"/>
      <c r="H92" s="842"/>
      <c r="I92" s="842"/>
      <c r="J92" s="842"/>
      <c r="K92" s="355"/>
      <c r="L92" s="856"/>
    </row>
    <row r="93" spans="1:22" ht="19.899999999999999" hidden="1" customHeight="1">
      <c r="B93" s="842"/>
      <c r="C93" s="842"/>
      <c r="D93" s="857"/>
      <c r="E93" s="859"/>
      <c r="F93" s="842"/>
      <c r="G93" s="859"/>
      <c r="H93" s="859"/>
      <c r="I93" s="842"/>
      <c r="J93" s="842"/>
      <c r="K93" s="355"/>
      <c r="L93" s="856"/>
    </row>
    <row r="94" spans="1:22" ht="19.899999999999999" hidden="1" customHeight="1">
      <c r="A94" s="429"/>
      <c r="B94" s="424"/>
      <c r="C94" s="424"/>
      <c r="D94" s="857"/>
      <c r="E94" s="859"/>
      <c r="F94" s="842"/>
      <c r="G94" s="842"/>
      <c r="H94" s="859"/>
      <c r="I94" s="842"/>
      <c r="J94" s="842"/>
      <c r="K94" s="355"/>
      <c r="L94" s="856"/>
    </row>
    <row r="95" spans="1:22" ht="19.899999999999999" hidden="1" customHeight="1">
      <c r="A95" s="908"/>
      <c r="B95" s="842"/>
      <c r="C95" s="842"/>
      <c r="D95" s="857"/>
      <c r="E95" s="859"/>
      <c r="F95" s="842"/>
      <c r="G95" s="859"/>
      <c r="H95" s="859"/>
      <c r="I95" s="842"/>
      <c r="J95" s="842"/>
      <c r="K95" s="355"/>
      <c r="L95" s="856"/>
    </row>
    <row r="96" spans="1:22" ht="19.899999999999999" customHeight="1">
      <c r="B96" s="879" t="s">
        <v>674</v>
      </c>
      <c r="C96" s="842"/>
      <c r="D96" s="842"/>
      <c r="E96" s="842"/>
      <c r="F96" s="842"/>
      <c r="G96" s="842"/>
      <c r="H96" s="842"/>
      <c r="I96" s="842"/>
      <c r="J96" s="842"/>
      <c r="K96" s="355"/>
      <c r="L96" s="856"/>
    </row>
    <row r="97" spans="1:23" ht="19.899999999999999" customHeight="1">
      <c r="A97" s="879" t="s">
        <v>675</v>
      </c>
      <c r="B97" s="842"/>
      <c r="C97" s="842"/>
      <c r="D97" s="842"/>
      <c r="E97" s="842"/>
      <c r="F97" s="842"/>
      <c r="G97" s="842"/>
      <c r="H97" s="842"/>
      <c r="I97" s="842"/>
      <c r="J97" s="842"/>
      <c r="K97" s="355"/>
      <c r="L97" s="856"/>
    </row>
    <row r="98" spans="1:23" ht="19.899999999999999" customHeight="1">
      <c r="A98" s="842"/>
      <c r="B98" s="842" t="s">
        <v>676</v>
      </c>
      <c r="C98" s="842"/>
      <c r="D98" s="842"/>
      <c r="E98" s="842"/>
      <c r="F98" s="842"/>
      <c r="G98" s="842"/>
      <c r="H98" s="842"/>
      <c r="I98" s="842"/>
      <c r="J98" s="842"/>
      <c r="K98" s="355"/>
      <c r="L98" s="856"/>
    </row>
    <row r="99" spans="1:23" ht="19.899999999999999" customHeight="1">
      <c r="A99" s="842"/>
      <c r="B99" s="842" t="s">
        <v>677</v>
      </c>
      <c r="C99" s="842"/>
      <c r="D99" s="842"/>
      <c r="E99" s="842"/>
      <c r="G99" s="909" t="s">
        <v>959</v>
      </c>
      <c r="H99" s="910">
        <f>F67-K38*W54</f>
        <v>1.1131090427475336</v>
      </c>
      <c r="I99" s="842" t="s">
        <v>10</v>
      </c>
      <c r="J99" s="842"/>
      <c r="K99" s="355"/>
      <c r="L99" s="856"/>
    </row>
    <row r="100" spans="1:23" ht="19.899999999999999" customHeight="1">
      <c r="A100" s="842"/>
      <c r="B100" s="842" t="s">
        <v>678</v>
      </c>
      <c r="C100" s="842"/>
      <c r="D100" s="842"/>
      <c r="E100" s="842"/>
      <c r="G100" s="909" t="s">
        <v>959</v>
      </c>
      <c r="H100" s="910">
        <f>F71-V54*K38</f>
        <v>0.62033374862988677</v>
      </c>
      <c r="I100" s="842" t="s">
        <v>10</v>
      </c>
      <c r="J100" s="842"/>
      <c r="K100" s="355"/>
      <c r="L100" s="856"/>
    </row>
    <row r="101" spans="1:23" ht="19.899999999999999" customHeight="1">
      <c r="A101" s="842"/>
      <c r="B101" s="842" t="s">
        <v>223</v>
      </c>
      <c r="C101" s="842"/>
      <c r="D101" s="842"/>
      <c r="E101" s="842"/>
      <c r="G101" s="911" t="s">
        <v>960</v>
      </c>
      <c r="H101" s="910">
        <f>+MAX(H99,H100)</f>
        <v>1.1131090427475336</v>
      </c>
      <c r="I101" s="842" t="s">
        <v>10</v>
      </c>
      <c r="K101" s="857" t="s">
        <v>679</v>
      </c>
      <c r="L101" s="842" t="s">
        <v>1145</v>
      </c>
    </row>
    <row r="102" spans="1:23" ht="19.899999999999999" customHeight="1">
      <c r="A102" s="842"/>
      <c r="B102" s="758" t="s">
        <v>961</v>
      </c>
      <c r="C102" s="842"/>
      <c r="D102" s="842"/>
      <c r="E102" s="842"/>
      <c r="F102" s="842"/>
      <c r="G102" s="842"/>
      <c r="H102" s="842"/>
      <c r="I102" s="842"/>
      <c r="J102" s="842"/>
      <c r="K102" s="355"/>
      <c r="L102" s="856"/>
    </row>
    <row r="103" spans="1:23" ht="40.15" customHeight="1">
      <c r="B103" s="912" t="s">
        <v>140</v>
      </c>
      <c r="C103" s="913" t="s">
        <v>28</v>
      </c>
      <c r="D103" s="913" t="s">
        <v>27</v>
      </c>
      <c r="E103" s="914" t="s">
        <v>29</v>
      </c>
      <c r="F103" s="915" t="s">
        <v>962</v>
      </c>
      <c r="G103" s="914" t="s">
        <v>963</v>
      </c>
      <c r="H103" s="914" t="s">
        <v>964</v>
      </c>
      <c r="I103" s="914" t="s">
        <v>965</v>
      </c>
      <c r="J103" s="916" t="s">
        <v>837</v>
      </c>
    </row>
    <row r="104" spans="1:23" ht="19.899999999999999" customHeight="1">
      <c r="B104" s="917">
        <v>1</v>
      </c>
      <c r="C104" s="918">
        <f t="shared" ref="C104:C125" si="7">+$K$10/2*D104</f>
        <v>0</v>
      </c>
      <c r="D104" s="919">
        <v>0</v>
      </c>
      <c r="E104" s="920">
        <f>+VLOOKUP(D104,Tra!$C$19:$J$115,5,0)</f>
        <v>1</v>
      </c>
      <c r="F104" s="921">
        <f>IF(D55=0,J54,J55)</f>
        <v>1100</v>
      </c>
      <c r="G104" s="920">
        <f>H101*E104</f>
        <v>1.1131090427475336</v>
      </c>
      <c r="H104" s="920">
        <f>$K$38*$K$54+$K$56*C104</f>
        <v>0.55963623644630989</v>
      </c>
      <c r="I104" s="920">
        <f>IF(G104&gt;0.1*H104,0.8*C104*(G104+G105)/2/F104*1000,"-")</f>
        <v>0</v>
      </c>
      <c r="J104" s="922" t="str">
        <f>IF(H104/G104&gt;$I$126,"STOP","CONT")</f>
        <v>CONT</v>
      </c>
      <c r="M104" s="923">
        <f t="shared" ref="M104:M118" si="8">+H104/G104</f>
        <v>0.50276856530150571</v>
      </c>
      <c r="P104" s="4">
        <f>SUMIF($J$104:$J$118,"CONT",$I$104:$I$118)</f>
        <v>81.151836816104364</v>
      </c>
      <c r="Q104" s="4">
        <f>SUMIF($J$104:$J$118,"CONT",$D$104:$D$118)</f>
        <v>10.5</v>
      </c>
    </row>
    <row r="105" spans="1:23" ht="19.899999999999999" customHeight="1">
      <c r="B105" s="924">
        <f t="shared" ref="B105:B125" si="9">+B104+1</f>
        <v>2</v>
      </c>
      <c r="C105" s="925">
        <f t="shared" si="7"/>
        <v>0.5</v>
      </c>
      <c r="D105" s="926">
        <f>+ROUND(D104+0.1,2)</f>
        <v>0.1</v>
      </c>
      <c r="E105" s="927">
        <f>+VLOOKUP(D105,Tra!$C$19:$J$115,5,0)</f>
        <v>0.99199999999999999</v>
      </c>
      <c r="F105" s="928">
        <f>IF(C105&lt;=$D$55,$J$55,IF(AND($D$55&lt;C105,C105&lt;=($D$56+$D$55)),$J$56,$J$57))</f>
        <v>1100</v>
      </c>
      <c r="G105" s="927">
        <f t="shared" ref="G105:G125" si="10">$H$101*E105</f>
        <v>1.1042041704055534</v>
      </c>
      <c r="H105" s="920">
        <f t="shared" ref="H105:H125" si="11">$K$38*$K$54+$K$56*C105</f>
        <v>0.83945435466946483</v>
      </c>
      <c r="I105" s="927">
        <f t="shared" ref="I105:I124" si="12">0.8*$C$105*(G105+G106)/2/F105*1000</f>
        <v>0.39990972153984122</v>
      </c>
      <c r="J105" s="929" t="str">
        <f>IF(H105/G105&gt;$I$126,"STOP","CONT")</f>
        <v>CONT</v>
      </c>
      <c r="M105" s="923">
        <f t="shared" si="8"/>
        <v>0.76023472575832518</v>
      </c>
      <c r="N105" s="6" t="str">
        <f t="shared" ref="N105:N118" si="13">+IF(H105/G105&lt;=$I$126,"X","")</f>
        <v>X</v>
      </c>
      <c r="O105" s="4">
        <v>1</v>
      </c>
    </row>
    <row r="106" spans="1:23" ht="19.899999999999999" customHeight="1">
      <c r="B106" s="924">
        <f t="shared" si="9"/>
        <v>3</v>
      </c>
      <c r="C106" s="925">
        <f t="shared" si="7"/>
        <v>1</v>
      </c>
      <c r="D106" s="926">
        <f t="shared" ref="D106:D123" si="14">+ROUND(D105+0.1,2)</f>
        <v>0.2</v>
      </c>
      <c r="E106" s="927">
        <f>+VLOOKUP(D106,Tra!$C$19:$J$115,5,0)</f>
        <v>0.98399999999999999</v>
      </c>
      <c r="F106" s="928">
        <f>IF(C106&lt;=$D$55,$J$55,IF(AND($D$55&lt;C106,C106&lt;=($D$56+$D$55)),$J$56,$J$57))</f>
        <v>1100</v>
      </c>
      <c r="G106" s="927">
        <f t="shared" si="10"/>
        <v>1.0952992980635732</v>
      </c>
      <c r="H106" s="920">
        <f t="shared" si="11"/>
        <v>1.1192724728926198</v>
      </c>
      <c r="I106" s="927">
        <f t="shared" si="12"/>
        <v>0.39667158614275749</v>
      </c>
      <c r="J106" s="929" t="str">
        <f t="shared" ref="J106:J120" si="15">IF(H106/G106&gt;$I$126,"STOP","CONT")</f>
        <v>CONT</v>
      </c>
      <c r="M106" s="923">
        <f t="shared" si="8"/>
        <v>1.0218873278485887</v>
      </c>
      <c r="N106" s="6" t="str">
        <f t="shared" si="13"/>
        <v>X</v>
      </c>
      <c r="O106" s="4">
        <v>1</v>
      </c>
    </row>
    <row r="107" spans="1:23" ht="19.899999999999999" customHeight="1">
      <c r="B107" s="924">
        <f t="shared" si="9"/>
        <v>4</v>
      </c>
      <c r="C107" s="925">
        <f t="shared" si="7"/>
        <v>1.5</v>
      </c>
      <c r="D107" s="926">
        <f t="shared" si="14"/>
        <v>0.3</v>
      </c>
      <c r="E107" s="927">
        <f>+VLOOKUP(D107,Tra!$C$19:$J$115,5,0)</f>
        <v>0.97599999999999998</v>
      </c>
      <c r="F107" s="928">
        <f t="shared" ref="F107:F125" si="16">IF(C107&lt;=$D$55,$J$55,IF(AND($D$55&lt;C107,C107&lt;=($D$56+$D$55)),$J$56,$J$57))</f>
        <v>51.6</v>
      </c>
      <c r="G107" s="927">
        <f t="shared" si="10"/>
        <v>1.0863944257215927</v>
      </c>
      <c r="H107" s="920">
        <f t="shared" si="11"/>
        <v>1.3990905911157747</v>
      </c>
      <c r="I107" s="927">
        <f t="shared" si="12"/>
        <v>8.3871472058186249</v>
      </c>
      <c r="J107" s="929" t="str">
        <f t="shared" si="15"/>
        <v>CONT</v>
      </c>
      <c r="M107" s="923">
        <f t="shared" si="8"/>
        <v>1.2878293168583652</v>
      </c>
      <c r="N107" s="6" t="str">
        <f t="shared" si="13"/>
        <v>X</v>
      </c>
      <c r="O107" s="4">
        <v>1</v>
      </c>
      <c r="V107" s="722" t="s">
        <v>843</v>
      </c>
      <c r="W107" s="930">
        <f>COUNTIF(J104:J120,"CONT")</f>
        <v>17</v>
      </c>
    </row>
    <row r="108" spans="1:23" ht="19.899999999999999" customHeight="1">
      <c r="B108" s="924">
        <f t="shared" si="9"/>
        <v>5</v>
      </c>
      <c r="C108" s="925">
        <f t="shared" si="7"/>
        <v>2</v>
      </c>
      <c r="D108" s="926">
        <f t="shared" si="14"/>
        <v>0.4</v>
      </c>
      <c r="E108" s="927">
        <f>+VLOOKUP(D108,Tra!$C$19:$J$115,5,0)</f>
        <v>0.96799999999999997</v>
      </c>
      <c r="F108" s="928">
        <f t="shared" si="16"/>
        <v>51.6</v>
      </c>
      <c r="G108" s="927">
        <f t="shared" si="10"/>
        <v>1.0774895533796125</v>
      </c>
      <c r="H108" s="920">
        <f t="shared" si="11"/>
        <v>1.6789087093389297</v>
      </c>
      <c r="I108" s="927">
        <f t="shared" si="12"/>
        <v>8.2037862200947096</v>
      </c>
      <c r="J108" s="929" t="str">
        <f t="shared" si="15"/>
        <v>CONT</v>
      </c>
      <c r="M108" s="923">
        <f t="shared" si="8"/>
        <v>1.5581670412236748</v>
      </c>
      <c r="N108" s="6" t="str">
        <f t="shared" si="13"/>
        <v>X</v>
      </c>
      <c r="O108" s="4">
        <v>1</v>
      </c>
    </row>
    <row r="109" spans="1:23" ht="19.899999999999999" customHeight="1">
      <c r="B109" s="924">
        <f t="shared" si="9"/>
        <v>6</v>
      </c>
      <c r="C109" s="925">
        <f t="shared" si="7"/>
        <v>2.5</v>
      </c>
      <c r="D109" s="926">
        <f t="shared" si="14"/>
        <v>0.5</v>
      </c>
      <c r="E109" s="927">
        <f>+VLOOKUP(D109,Tra!$C$19:$J$115,5,0)</f>
        <v>0.9335</v>
      </c>
      <c r="F109" s="928">
        <f t="shared" si="16"/>
        <v>51.6</v>
      </c>
      <c r="G109" s="927">
        <f t="shared" si="10"/>
        <v>1.0390872914048226</v>
      </c>
      <c r="H109" s="920">
        <f t="shared" si="11"/>
        <v>1.9587268275620846</v>
      </c>
      <c r="I109" s="927">
        <f t="shared" si="12"/>
        <v>7.9060942668017651</v>
      </c>
      <c r="J109" s="929" t="str">
        <f t="shared" si="15"/>
        <v>CONT</v>
      </c>
      <c r="M109" s="923">
        <f t="shared" si="8"/>
        <v>1.8850455046119658</v>
      </c>
      <c r="N109" s="6" t="str">
        <f t="shared" si="13"/>
        <v>X</v>
      </c>
      <c r="O109" s="4">
        <v>1</v>
      </c>
    </row>
    <row r="110" spans="1:23" ht="19.899999999999999" customHeight="1">
      <c r="B110" s="924">
        <f t="shared" si="9"/>
        <v>7</v>
      </c>
      <c r="C110" s="925">
        <f t="shared" si="7"/>
        <v>3</v>
      </c>
      <c r="D110" s="926">
        <f t="shared" si="14"/>
        <v>0.6</v>
      </c>
      <c r="E110" s="927">
        <f>+VLOOKUP(D110,Tra!$C$19:$J$115,5,0)</f>
        <v>0.89900000000000002</v>
      </c>
      <c r="F110" s="928">
        <f t="shared" si="16"/>
        <v>51.6</v>
      </c>
      <c r="G110" s="927">
        <f t="shared" si="10"/>
        <v>1.0006850294300327</v>
      </c>
      <c r="H110" s="920">
        <f t="shared" si="11"/>
        <v>2.2385449457852395</v>
      </c>
      <c r="I110" s="927">
        <f t="shared" si="12"/>
        <v>7.6084023135088188</v>
      </c>
      <c r="J110" s="929" t="str">
        <f t="shared" si="15"/>
        <v>CONT</v>
      </c>
      <c r="M110" s="923">
        <f t="shared" si="8"/>
        <v>2.237012526369325</v>
      </c>
      <c r="N110" s="6" t="str">
        <f t="shared" si="13"/>
        <v>X</v>
      </c>
      <c r="O110" s="4">
        <v>1</v>
      </c>
      <c r="P110" s="4">
        <f>COUNTIF($J$104:$J$118,"STOP")</f>
        <v>0</v>
      </c>
    </row>
    <row r="111" spans="1:23" ht="19.899999999999999" customHeight="1">
      <c r="B111" s="924">
        <f t="shared" si="9"/>
        <v>8</v>
      </c>
      <c r="C111" s="925">
        <f t="shared" si="7"/>
        <v>3.5</v>
      </c>
      <c r="D111" s="926">
        <f t="shared" si="14"/>
        <v>0.7</v>
      </c>
      <c r="E111" s="927">
        <f>+VLOOKUP(D111,Tra!$C$19:$J$115,5,0)</f>
        <v>0.86450000000000005</v>
      </c>
      <c r="F111" s="928">
        <f t="shared" si="16"/>
        <v>51.6</v>
      </c>
      <c r="G111" s="927">
        <f t="shared" si="10"/>
        <v>0.96228276745524288</v>
      </c>
      <c r="H111" s="920">
        <f t="shared" si="11"/>
        <v>2.5183630640083945</v>
      </c>
      <c r="I111" s="927">
        <f t="shared" si="12"/>
        <v>7.3107103602158752</v>
      </c>
      <c r="J111" s="929" t="str">
        <f t="shared" si="15"/>
        <v>CONT</v>
      </c>
      <c r="M111" s="923">
        <f t="shared" si="8"/>
        <v>2.6170717684867273</v>
      </c>
      <c r="N111" s="6" t="str">
        <f t="shared" si="13"/>
        <v>X</v>
      </c>
      <c r="O111" s="4">
        <v>1</v>
      </c>
    </row>
    <row r="112" spans="1:23" ht="19.899999999999999" customHeight="1">
      <c r="B112" s="924">
        <f t="shared" si="9"/>
        <v>9</v>
      </c>
      <c r="C112" s="925">
        <f t="shared" si="7"/>
        <v>4</v>
      </c>
      <c r="D112" s="926">
        <f t="shared" si="14"/>
        <v>0.8</v>
      </c>
      <c r="E112" s="927">
        <f>+VLOOKUP(D112,Tra!$C$19:$J$115,5,0)</f>
        <v>0.83</v>
      </c>
      <c r="F112" s="928">
        <f t="shared" si="16"/>
        <v>51.6</v>
      </c>
      <c r="G112" s="927">
        <f t="shared" si="10"/>
        <v>0.92388050548045286</v>
      </c>
      <c r="H112" s="920">
        <f t="shared" si="11"/>
        <v>2.7981811822315494</v>
      </c>
      <c r="I112" s="927">
        <f>0.8*$C$105*(G112+G113)/2/F112*1000</f>
        <v>6.9698746455761267</v>
      </c>
      <c r="J112" s="929" t="str">
        <f t="shared" si="15"/>
        <v>CONT</v>
      </c>
      <c r="M112" s="923">
        <f t="shared" si="8"/>
        <v>3.0287262969970228</v>
      </c>
      <c r="N112" s="6" t="str">
        <f t="shared" si="13"/>
        <v>X</v>
      </c>
      <c r="O112" s="4">
        <v>1</v>
      </c>
    </row>
    <row r="113" spans="2:24" ht="19.899999999999999" customHeight="1">
      <c r="B113" s="924">
        <f t="shared" si="9"/>
        <v>10</v>
      </c>
      <c r="C113" s="925">
        <f t="shared" si="7"/>
        <v>4.5</v>
      </c>
      <c r="D113" s="926">
        <f t="shared" si="14"/>
        <v>0.9</v>
      </c>
      <c r="E113" s="927">
        <f>+VLOOKUP(D113,Tra!$C$19:$J$115,5,0)</f>
        <v>0.78549999999999998</v>
      </c>
      <c r="F113" s="928">
        <f t="shared" si="16"/>
        <v>51.6</v>
      </c>
      <c r="G113" s="927">
        <f t="shared" si="10"/>
        <v>0.87434715307818767</v>
      </c>
      <c r="H113" s="920">
        <f t="shared" si="11"/>
        <v>3.0779993004547044</v>
      </c>
      <c r="I113" s="927">
        <f t="shared" si="12"/>
        <v>6.5858951695895742</v>
      </c>
      <c r="J113" s="929" t="str">
        <f t="shared" si="15"/>
        <v>CONT</v>
      </c>
      <c r="M113" s="923">
        <f t="shared" si="8"/>
        <v>3.5203400498514088</v>
      </c>
      <c r="N113" s="6" t="str">
        <f t="shared" si="13"/>
        <v>X</v>
      </c>
      <c r="O113" s="4">
        <v>1</v>
      </c>
    </row>
    <row r="114" spans="2:24" ht="19.899999999999999" customHeight="1">
      <c r="B114" s="924">
        <f t="shared" si="9"/>
        <v>11</v>
      </c>
      <c r="C114" s="925">
        <f t="shared" si="7"/>
        <v>5</v>
      </c>
      <c r="D114" s="926">
        <f t="shared" si="14"/>
        <v>1</v>
      </c>
      <c r="E114" s="927">
        <f>+VLOOKUP(D114,Tra!$C$19:$J$115,5,0)</f>
        <v>0.74099999999999999</v>
      </c>
      <c r="F114" s="928">
        <f t="shared" si="16"/>
        <v>51.6</v>
      </c>
      <c r="G114" s="927">
        <f t="shared" si="10"/>
        <v>0.82481380067592247</v>
      </c>
      <c r="H114" s="920">
        <f t="shared" si="11"/>
        <v>3.3578174186778593</v>
      </c>
      <c r="I114" s="927">
        <f t="shared" si="12"/>
        <v>6.2019156936030209</v>
      </c>
      <c r="J114" s="929" t="str">
        <f t="shared" si="15"/>
        <v>CONT</v>
      </c>
      <c r="M114" s="923">
        <f t="shared" si="8"/>
        <v>4.0710005287571311</v>
      </c>
      <c r="N114" s="6" t="str">
        <f>+IF(H114/G114&lt;=$I$126,"X","")</f>
        <v>X</v>
      </c>
      <c r="O114" s="4">
        <v>1</v>
      </c>
    </row>
    <row r="115" spans="2:24" ht="19.899999999999999" customHeight="1">
      <c r="B115" s="924">
        <f t="shared" si="9"/>
        <v>12</v>
      </c>
      <c r="C115" s="925">
        <f t="shared" si="7"/>
        <v>5.5</v>
      </c>
      <c r="D115" s="926">
        <f t="shared" si="14"/>
        <v>1.1000000000000001</v>
      </c>
      <c r="E115" s="927">
        <f>+VLOOKUP(D115,Tra!$C$19:$J$115,5,0)</f>
        <v>0.69650000000000001</v>
      </c>
      <c r="F115" s="928">
        <f t="shared" si="16"/>
        <v>51.6</v>
      </c>
      <c r="G115" s="927">
        <f t="shared" si="10"/>
        <v>0.77528044827365716</v>
      </c>
      <c r="H115" s="920">
        <f t="shared" si="11"/>
        <v>3.6376355369010143</v>
      </c>
      <c r="I115" s="927">
        <f t="shared" si="12"/>
        <v>5.8179362176164702</v>
      </c>
      <c r="J115" s="929" t="str">
        <f t="shared" si="15"/>
        <v>CONT</v>
      </c>
      <c r="M115" s="923">
        <f t="shared" si="8"/>
        <v>4.6920253761088118</v>
      </c>
      <c r="N115" s="6" t="str">
        <f>+IF(H115/G115&lt;=$I$126,"X","")</f>
        <v>X</v>
      </c>
      <c r="O115" s="4">
        <v>1</v>
      </c>
    </row>
    <row r="116" spans="2:24" ht="19.899999999999999" customHeight="1">
      <c r="B116" s="924">
        <f t="shared" si="9"/>
        <v>13</v>
      </c>
      <c r="C116" s="925">
        <f t="shared" si="7"/>
        <v>6</v>
      </c>
      <c r="D116" s="926">
        <f t="shared" si="14"/>
        <v>1.2</v>
      </c>
      <c r="E116" s="927">
        <f>+VLOOKUP(D116,Tra!$C$19:$J$115,5,0)</f>
        <v>0.65200000000000002</v>
      </c>
      <c r="F116" s="928">
        <f t="shared" si="16"/>
        <v>51.6</v>
      </c>
      <c r="G116" s="927">
        <f t="shared" si="10"/>
        <v>0.72574709587139197</v>
      </c>
      <c r="H116" s="920">
        <f t="shared" si="11"/>
        <v>3.9174536551241692</v>
      </c>
      <c r="I116" s="927">
        <f t="shared" si="12"/>
        <v>5.4576858103706591</v>
      </c>
      <c r="J116" s="929" t="str">
        <f t="shared" si="15"/>
        <v>CONT</v>
      </c>
      <c r="M116" s="923">
        <f t="shared" si="8"/>
        <v>5.3978220201081903</v>
      </c>
      <c r="N116" s="6" t="str">
        <f t="shared" si="13"/>
        <v>X</v>
      </c>
      <c r="O116" s="4">
        <v>1</v>
      </c>
    </row>
    <row r="117" spans="2:24" ht="19.899999999999999" customHeight="1">
      <c r="B117" s="924">
        <f t="shared" si="9"/>
        <v>14</v>
      </c>
      <c r="C117" s="925">
        <f t="shared" si="7"/>
        <v>6.5</v>
      </c>
      <c r="D117" s="926">
        <f t="shared" si="14"/>
        <v>1.3</v>
      </c>
      <c r="E117" s="927">
        <f>+VLOOKUP(D117,Tra!$C$19:$J$115,5,0)</f>
        <v>0.61299999999999999</v>
      </c>
      <c r="F117" s="928">
        <f t="shared" si="16"/>
        <v>51.6</v>
      </c>
      <c r="G117" s="927">
        <f t="shared" si="10"/>
        <v>0.68233584320423812</v>
      </c>
      <c r="H117" s="920">
        <f t="shared" si="11"/>
        <v>4.1972717733473246</v>
      </c>
      <c r="I117" s="927">
        <f t="shared" si="12"/>
        <v>5.1211644718655913</v>
      </c>
      <c r="J117" s="929" t="str">
        <f t="shared" si="15"/>
        <v>CONT</v>
      </c>
      <c r="M117" s="923">
        <f t="shared" si="8"/>
        <v>6.151328286723154</v>
      </c>
      <c r="N117" s="6" t="str">
        <f t="shared" si="13"/>
        <v>X</v>
      </c>
      <c r="O117" s="4">
        <v>1</v>
      </c>
    </row>
    <row r="118" spans="2:24" ht="19.899999999999999" customHeight="1">
      <c r="B118" s="924">
        <f t="shared" si="9"/>
        <v>15</v>
      </c>
      <c r="C118" s="925">
        <f t="shared" si="7"/>
        <v>7</v>
      </c>
      <c r="D118" s="926">
        <f t="shared" si="14"/>
        <v>1.4</v>
      </c>
      <c r="E118" s="927">
        <f>+VLOOKUP(D118,Tra!$C$19:$J$115,5,0)</f>
        <v>0.57400000000000007</v>
      </c>
      <c r="F118" s="928">
        <f t="shared" si="16"/>
        <v>51.6</v>
      </c>
      <c r="G118" s="927">
        <f t="shared" si="10"/>
        <v>0.63892459053708439</v>
      </c>
      <c r="H118" s="920">
        <f t="shared" si="11"/>
        <v>4.4770898915704791</v>
      </c>
      <c r="I118" s="927">
        <f t="shared" si="12"/>
        <v>4.7846431333605226</v>
      </c>
      <c r="J118" s="929" t="str">
        <f t="shared" si="15"/>
        <v>CONT</v>
      </c>
      <c r="M118" s="923">
        <f t="shared" si="8"/>
        <v>7.0072273909617513</v>
      </c>
      <c r="N118" s="6" t="str">
        <f t="shared" si="13"/>
        <v>X</v>
      </c>
      <c r="O118" s="4">
        <v>1</v>
      </c>
    </row>
    <row r="119" spans="2:24" ht="19.899999999999999" customHeight="1">
      <c r="B119" s="924">
        <f t="shared" si="9"/>
        <v>16</v>
      </c>
      <c r="C119" s="925">
        <f t="shared" si="7"/>
        <v>7.5</v>
      </c>
      <c r="D119" s="926">
        <f t="shared" si="14"/>
        <v>1.5</v>
      </c>
      <c r="E119" s="927">
        <f>+VLOOKUP(D119,Tra!$C$19:$J$115,5,0)</f>
        <v>0.53500000000000003</v>
      </c>
      <c r="F119" s="928">
        <f t="shared" si="16"/>
        <v>51.6</v>
      </c>
      <c r="G119" s="927">
        <f t="shared" si="10"/>
        <v>0.59551333786993055</v>
      </c>
      <c r="H119" s="920">
        <f t="shared" si="11"/>
        <v>4.7569080097936345</v>
      </c>
      <c r="I119" s="927">
        <f t="shared" si="12"/>
        <v>4.4481217948554539</v>
      </c>
      <c r="J119" s="929" t="str">
        <f t="shared" si="15"/>
        <v>CONT</v>
      </c>
      <c r="K119" s="1261"/>
      <c r="L119" s="11"/>
      <c r="M119" s="923" t="e">
        <f t="shared" ref="M119:M125" si="17">+J119/I119</f>
        <v>#VALUE!</v>
      </c>
      <c r="N119" s="6" t="e">
        <f t="shared" ref="N119:N125" si="18">+IF(J119/I119&lt;=$I$126,"X","")</f>
        <v>#VALUE!</v>
      </c>
      <c r="O119" s="4">
        <v>1</v>
      </c>
      <c r="X119" s="4">
        <f>IF(C119&lt;D67,K67,K68)</f>
        <v>0</v>
      </c>
    </row>
    <row r="120" spans="2:24" ht="19.899999999999999" customHeight="1">
      <c r="B120" s="924">
        <f t="shared" si="9"/>
        <v>17</v>
      </c>
      <c r="C120" s="925">
        <f t="shared" si="7"/>
        <v>8</v>
      </c>
      <c r="D120" s="926">
        <f t="shared" si="14"/>
        <v>1.6</v>
      </c>
      <c r="E120" s="927">
        <f>+VLOOKUP(D120,Tra!$C$19:$J$115,5,0)</f>
        <v>0.496</v>
      </c>
      <c r="F120" s="928">
        <f t="shared" si="16"/>
        <v>51.6</v>
      </c>
      <c r="G120" s="927">
        <f t="shared" si="10"/>
        <v>0.5521020852027767</v>
      </c>
      <c r="H120" s="920">
        <f t="shared" si="11"/>
        <v>5.036726128016789</v>
      </c>
      <c r="I120" s="927">
        <f t="shared" si="12"/>
        <v>4.1536656236635201</v>
      </c>
      <c r="J120" s="929" t="str">
        <f t="shared" si="15"/>
        <v>CONT</v>
      </c>
      <c r="K120" s="1261"/>
      <c r="L120" s="11"/>
      <c r="M120" s="923" t="e">
        <f t="shared" si="17"/>
        <v>#VALUE!</v>
      </c>
      <c r="N120" s="6" t="e">
        <f t="shared" si="18"/>
        <v>#VALUE!</v>
      </c>
      <c r="O120" s="4">
        <v>1</v>
      </c>
      <c r="X120" s="4" t="e">
        <f>IF(C120&lt;D68,K68,#REF!)</f>
        <v>#REF!</v>
      </c>
    </row>
    <row r="121" spans="2:24" ht="19.899999999999999" customHeight="1">
      <c r="B121" s="924">
        <f t="shared" si="9"/>
        <v>18</v>
      </c>
      <c r="C121" s="925">
        <f t="shared" si="7"/>
        <v>8.5</v>
      </c>
      <c r="D121" s="926">
        <f t="shared" si="14"/>
        <v>1.7</v>
      </c>
      <c r="E121" s="927">
        <f>+VLOOKUP(D121,Tra!$C$19:$J$115,5,0)</f>
        <v>0.46675</v>
      </c>
      <c r="F121" s="928">
        <f t="shared" si="16"/>
        <v>51.6</v>
      </c>
      <c r="G121" s="927">
        <f t="shared" si="10"/>
        <v>0.51954364570241129</v>
      </c>
      <c r="H121" s="920">
        <f t="shared" si="11"/>
        <v>5.3165442462399435</v>
      </c>
      <c r="I121" s="927">
        <f t="shared" si="12"/>
        <v>3.9012746197847186</v>
      </c>
      <c r="J121" s="929" t="str">
        <f t="shared" ref="J121:J125" si="19">IF(H121/G121&gt;$I$126,"STOP","CONT")</f>
        <v>STOP</v>
      </c>
      <c r="K121" s="1261"/>
      <c r="L121" s="11"/>
      <c r="M121" s="923" t="e">
        <f t="shared" si="17"/>
        <v>#VALUE!</v>
      </c>
      <c r="N121" s="6" t="e">
        <f t="shared" si="18"/>
        <v>#VALUE!</v>
      </c>
      <c r="O121" s="4">
        <v>1</v>
      </c>
      <c r="X121" s="4" t="e">
        <f>IF(C121&lt;#REF!,#REF!,#REF!)</f>
        <v>#REF!</v>
      </c>
    </row>
    <row r="122" spans="2:24" ht="19.899999999999999" hidden="1" customHeight="1">
      <c r="B122" s="924">
        <f t="shared" si="9"/>
        <v>19</v>
      </c>
      <c r="C122" s="925">
        <f t="shared" si="7"/>
        <v>9</v>
      </c>
      <c r="D122" s="926">
        <f t="shared" si="14"/>
        <v>1.8</v>
      </c>
      <c r="E122" s="927">
        <f>+VLOOKUP(D122,Tra!$C$19:$J$115,5,0)</f>
        <v>0.4375</v>
      </c>
      <c r="F122" s="928">
        <f t="shared" si="16"/>
        <v>51.6</v>
      </c>
      <c r="G122" s="925">
        <f t="shared" si="10"/>
        <v>0.48698520620204599</v>
      </c>
      <c r="H122" s="920">
        <f t="shared" si="11"/>
        <v>5.5963623644630989</v>
      </c>
      <c r="I122" s="927">
        <f t="shared" si="12"/>
        <v>3.6488836159059175</v>
      </c>
      <c r="J122" s="929" t="str">
        <f t="shared" si="19"/>
        <v>STOP</v>
      </c>
      <c r="K122" s="1261"/>
      <c r="L122" s="1262"/>
      <c r="M122" s="923" t="e">
        <f t="shared" si="17"/>
        <v>#VALUE!</v>
      </c>
      <c r="N122" s="6" t="e">
        <f t="shared" si="18"/>
        <v>#VALUE!</v>
      </c>
      <c r="O122" s="4">
        <v>1</v>
      </c>
      <c r="X122" s="4" t="e">
        <f>IF(C122&lt;#REF!,#REF!,K69)</f>
        <v>#REF!</v>
      </c>
    </row>
    <row r="123" spans="2:24" ht="19.899999999999999" hidden="1" customHeight="1">
      <c r="B123" s="924">
        <f t="shared" si="9"/>
        <v>20</v>
      </c>
      <c r="C123" s="925">
        <f t="shared" si="7"/>
        <v>9.5</v>
      </c>
      <c r="D123" s="926">
        <f t="shared" si="14"/>
        <v>1.9</v>
      </c>
      <c r="E123" s="927">
        <f>+VLOOKUP(D123,Tra!$C$19:$J$115,5,0)</f>
        <v>0.40825</v>
      </c>
      <c r="F123" s="928">
        <f t="shared" si="16"/>
        <v>51.6</v>
      </c>
      <c r="G123" s="925">
        <f t="shared" si="10"/>
        <v>0.45442676670168058</v>
      </c>
      <c r="H123" s="920">
        <f t="shared" si="11"/>
        <v>5.8761804826862543</v>
      </c>
      <c r="I123" s="927">
        <f t="shared" si="12"/>
        <v>3.3964926120271155</v>
      </c>
      <c r="J123" s="929" t="str">
        <f t="shared" si="19"/>
        <v>STOP</v>
      </c>
      <c r="K123" s="1261"/>
      <c r="L123" s="1262"/>
      <c r="M123" s="923" t="e">
        <f t="shared" si="17"/>
        <v>#VALUE!</v>
      </c>
      <c r="N123" s="6" t="e">
        <f t="shared" si="18"/>
        <v>#VALUE!</v>
      </c>
      <c r="O123" s="4">
        <v>1</v>
      </c>
      <c r="X123" s="4">
        <f>IF(C123&lt;D69,K69,K70)</f>
        <v>0</v>
      </c>
    </row>
    <row r="124" spans="2:24" ht="19.899999999999999" hidden="1" customHeight="1">
      <c r="B124" s="933">
        <f t="shared" si="9"/>
        <v>21</v>
      </c>
      <c r="C124" s="925">
        <f t="shared" si="7"/>
        <v>10</v>
      </c>
      <c r="D124" s="926">
        <f>+ROUND(D123+0.1,2)</f>
        <v>2</v>
      </c>
      <c r="E124" s="927">
        <f>+VLOOKUP(D124,Tra!$C$19:$J$115,5,0)</f>
        <v>0.379</v>
      </c>
      <c r="F124" s="928">
        <f t="shared" si="16"/>
        <v>51.6</v>
      </c>
      <c r="G124" s="934">
        <f t="shared" si="10"/>
        <v>0.42186832720131523</v>
      </c>
      <c r="H124" s="920">
        <f t="shared" si="11"/>
        <v>6.1559986009094088</v>
      </c>
      <c r="I124" s="927">
        <f t="shared" si="12"/>
        <v>3.1786166172257575</v>
      </c>
      <c r="J124" s="929" t="str">
        <f t="shared" si="19"/>
        <v>STOP</v>
      </c>
      <c r="K124" s="1261"/>
      <c r="L124" s="1262"/>
      <c r="M124" s="923" t="e">
        <f t="shared" si="17"/>
        <v>#VALUE!</v>
      </c>
      <c r="N124" s="6" t="e">
        <f t="shared" si="18"/>
        <v>#VALUE!</v>
      </c>
      <c r="O124" s="4">
        <v>1</v>
      </c>
      <c r="X124" s="4">
        <f>IF(C124&lt;D70,K70,K71)</f>
        <v>0</v>
      </c>
    </row>
    <row r="125" spans="2:24" ht="19.899999999999999" hidden="1" customHeight="1">
      <c r="B125" s="940">
        <f t="shared" si="9"/>
        <v>22</v>
      </c>
      <c r="C125" s="925">
        <f t="shared" si="7"/>
        <v>10.5</v>
      </c>
      <c r="D125" s="926">
        <f t="shared" ref="D125" si="20">+ROUND(D124+0.1,2)</f>
        <v>2.1</v>
      </c>
      <c r="E125" s="927">
        <f>+VLOOKUP(D125,Tra!$C$19:$J$115,5,0)</f>
        <v>0.35775000000000001</v>
      </c>
      <c r="F125" s="928">
        <f t="shared" si="16"/>
        <v>51.6</v>
      </c>
      <c r="G125" s="934">
        <f t="shared" si="10"/>
        <v>0.39821476004293016</v>
      </c>
      <c r="H125" s="920">
        <f t="shared" si="11"/>
        <v>6.4358167191325633</v>
      </c>
      <c r="I125" s="943">
        <f t="shared" ref="I125" si="21">$H$101*E125</f>
        <v>0.39821476004293016</v>
      </c>
      <c r="J125" s="932" t="str">
        <f t="shared" si="19"/>
        <v>STOP</v>
      </c>
      <c r="K125" s="1261"/>
      <c r="L125" s="1262"/>
      <c r="M125" s="923" t="e">
        <f t="shared" si="17"/>
        <v>#VALUE!</v>
      </c>
      <c r="N125" s="6" t="e">
        <f t="shared" si="18"/>
        <v>#VALUE!</v>
      </c>
      <c r="O125" s="4">
        <v>1</v>
      </c>
      <c r="X125" s="4">
        <f>IF(C125&lt;D71,K71,K72)</f>
        <v>0</v>
      </c>
    </row>
    <row r="126" spans="2:24" ht="19.899999999999999" customHeight="1">
      <c r="B126" s="945" t="s">
        <v>680</v>
      </c>
      <c r="C126" s="945"/>
      <c r="D126" s="945"/>
      <c r="E126" s="945"/>
      <c r="F126" s="945"/>
      <c r="G126" s="1568" t="s">
        <v>966</v>
      </c>
      <c r="H126" s="1568"/>
      <c r="I126" s="1439">
        <v>10</v>
      </c>
      <c r="J126" s="945"/>
      <c r="M126" s="923"/>
    </row>
    <row r="127" spans="2:24" ht="19.899999999999999" hidden="1" customHeight="1">
      <c r="B127" s="946" t="s">
        <v>681</v>
      </c>
      <c r="C127" s="355"/>
      <c r="D127" s="910" t="s">
        <v>534</v>
      </c>
      <c r="E127" s="357">
        <f>+SUMIF(N104:N125,"X",$K$104:$K$125)</f>
        <v>0</v>
      </c>
      <c r="F127" s="856" t="s">
        <v>30</v>
      </c>
      <c r="G127" s="842" t="s">
        <v>601</v>
      </c>
      <c r="H127" s="355">
        <v>20</v>
      </c>
      <c r="I127" s="842" t="s">
        <v>54</v>
      </c>
      <c r="J127" s="842" t="str">
        <f>"="&amp;200</f>
        <v>=200</v>
      </c>
      <c r="K127" s="4" t="s">
        <v>554</v>
      </c>
      <c r="L127" s="3" t="str">
        <f>IF(H127*10&gt;E127,"=&gt; Thỏa mãn ","NO")</f>
        <v xml:space="preserve">=&gt; Thỏa mãn </v>
      </c>
      <c r="M127" s="923"/>
    </row>
    <row r="128" spans="2:24" ht="19.899999999999999" hidden="1" customHeight="1">
      <c r="B128" s="856" t="s">
        <v>682</v>
      </c>
      <c r="C128" s="356"/>
      <c r="D128" s="856"/>
      <c r="E128" s="946"/>
      <c r="F128" s="946"/>
      <c r="G128" s="355"/>
      <c r="H128" s="355"/>
      <c r="I128" s="910"/>
      <c r="J128" s="910"/>
      <c r="K128" s="11"/>
      <c r="M128" s="923"/>
    </row>
    <row r="129" spans="1:26" ht="19.899999999999999" hidden="1" customHeight="1">
      <c r="A129" s="947"/>
      <c r="B129" s="842"/>
      <c r="C129" s="356"/>
      <c r="D129" s="856"/>
      <c r="E129" s="946"/>
      <c r="F129" s="946"/>
      <c r="G129" s="355"/>
      <c r="H129" s="355"/>
      <c r="I129" s="910"/>
      <c r="J129" s="910"/>
      <c r="K129" s="11"/>
      <c r="M129" s="923"/>
    </row>
    <row r="130" spans="1:26" ht="19.899999999999999" hidden="1" customHeight="1">
      <c r="A130" s="947"/>
      <c r="B130" s="842"/>
      <c r="C130" s="356"/>
      <c r="D130" s="948"/>
      <c r="E130" s="946"/>
      <c r="F130" s="946"/>
      <c r="G130" s="355"/>
      <c r="H130" s="355"/>
      <c r="I130" s="910"/>
      <c r="J130" s="910"/>
      <c r="K130" s="11"/>
      <c r="M130" s="923"/>
    </row>
    <row r="131" spans="1:26" ht="19.899999999999999" customHeight="1">
      <c r="B131" s="842" t="s">
        <v>983</v>
      </c>
      <c r="C131" s="910"/>
      <c r="D131" s="910" t="s">
        <v>535</v>
      </c>
      <c r="E131" s="357">
        <f>SUMIF(J104:J125,"CONT",C104:C125)/(W107/2)</f>
        <v>8</v>
      </c>
      <c r="F131" s="856" t="s">
        <v>0</v>
      </c>
      <c r="H131" s="857" t="s">
        <v>681</v>
      </c>
      <c r="I131" s="355" t="s">
        <v>683</v>
      </c>
      <c r="J131" s="357">
        <f>SUMIF(J104:J125,"CONT",I104:I125)</f>
        <v>89.753624234623331</v>
      </c>
      <c r="K131" s="856" t="s">
        <v>30</v>
      </c>
      <c r="M131" s="923"/>
      <c r="V131" s="4" t="str">
        <f>IF(J131&lt;200,"OK","NOT")</f>
        <v>OK</v>
      </c>
    </row>
    <row r="132" spans="1:26" ht="19.899999999999999" hidden="1" customHeight="1">
      <c r="B132" s="355"/>
      <c r="C132" s="356"/>
      <c r="D132" s="357"/>
      <c r="E132" s="910"/>
      <c r="F132" s="842"/>
      <c r="G132" s="842"/>
      <c r="H132" s="842"/>
      <c r="I132" s="842"/>
      <c r="J132" s="842"/>
    </row>
    <row r="133" spans="1:26" ht="19.899999999999999" hidden="1" customHeight="1">
      <c r="A133" s="2" t="s">
        <v>224</v>
      </c>
      <c r="B133" s="842"/>
      <c r="C133" s="842"/>
      <c r="D133" s="949">
        <f>C113</f>
        <v>4.5</v>
      </c>
      <c r="E133" s="909" t="s">
        <v>967</v>
      </c>
      <c r="F133" s="950">
        <f>G113</f>
        <v>0.87434715307818767</v>
      </c>
      <c r="G133" s="951"/>
      <c r="H133" s="856" t="s">
        <v>968</v>
      </c>
      <c r="I133" s="842"/>
      <c r="J133" s="950">
        <f>0.1*H113</f>
        <v>0.30779993004547046</v>
      </c>
      <c r="K133" s="4" t="s">
        <v>10</v>
      </c>
    </row>
    <row r="134" spans="1:26" ht="19.899999999999999" hidden="1" customHeight="1">
      <c r="A134" s="2" t="s">
        <v>225</v>
      </c>
      <c r="B134" s="842"/>
      <c r="C134" s="842"/>
      <c r="D134" s="842"/>
      <c r="E134" s="866">
        <f>+D133</f>
        <v>4.5</v>
      </c>
      <c r="F134" s="842" t="s">
        <v>0</v>
      </c>
      <c r="G134" s="842"/>
      <c r="H134" s="842"/>
      <c r="I134" s="842"/>
      <c r="J134" s="842"/>
    </row>
    <row r="135" spans="1:26" ht="19.899999999999999" customHeight="1">
      <c r="B135" s="1253" t="s">
        <v>226</v>
      </c>
      <c r="C135" s="1253"/>
      <c r="D135" s="1253"/>
      <c r="E135" s="1253"/>
      <c r="F135" s="1253"/>
      <c r="G135" s="1253"/>
      <c r="H135" s="1253"/>
      <c r="I135" s="1252" t="s">
        <v>1010</v>
      </c>
      <c r="J135" s="357">
        <f>Y52-K47</f>
        <v>166.63573913951021</v>
      </c>
      <c r="K135" s="856" t="s">
        <v>31</v>
      </c>
      <c r="O135" s="952"/>
    </row>
    <row r="136" spans="1:26" ht="19.899999999999999" hidden="1" customHeight="1">
      <c r="A136" s="953"/>
      <c r="B136" s="842"/>
      <c r="C136" s="842"/>
      <c r="D136" s="842"/>
      <c r="E136" s="842"/>
      <c r="F136" s="842"/>
      <c r="G136" s="842"/>
      <c r="H136" s="842"/>
      <c r="I136" s="842"/>
      <c r="J136" s="859"/>
      <c r="O136" s="952"/>
    </row>
    <row r="137" spans="1:26" ht="19.899999999999999" customHeight="1">
      <c r="B137" s="1569" t="s">
        <v>969</v>
      </c>
      <c r="C137" s="1569"/>
      <c r="D137" s="1569"/>
      <c r="E137" s="1570" t="s">
        <v>970</v>
      </c>
      <c r="F137" s="821" t="s">
        <v>437</v>
      </c>
      <c r="G137" s="1570" t="s">
        <v>6</v>
      </c>
      <c r="H137" s="1571">
        <f>+SUMIF(C104:C125,"&lt;="&amp;E131,F104:F125)*$C$105/E131</f>
        <v>251.39999999999992</v>
      </c>
      <c r="I137" s="1570" t="s">
        <v>10</v>
      </c>
      <c r="J137" s="842"/>
    </row>
    <row r="138" spans="1:26" ht="19.899999999999999" customHeight="1">
      <c r="B138" s="1569"/>
      <c r="C138" s="1569"/>
      <c r="D138" s="1569"/>
      <c r="E138" s="1570"/>
      <c r="F138" s="954" t="s">
        <v>438</v>
      </c>
      <c r="G138" s="1570"/>
      <c r="H138" s="1571"/>
      <c r="I138" s="1570"/>
      <c r="J138" s="842"/>
    </row>
    <row r="139" spans="1:26" ht="19.899999999999999" customHeight="1">
      <c r="A139" s="908"/>
      <c r="B139" s="1569" t="s">
        <v>523</v>
      </c>
      <c r="C139" s="1569"/>
      <c r="D139" s="1570" t="s">
        <v>971</v>
      </c>
      <c r="E139" s="955" t="s">
        <v>972</v>
      </c>
      <c r="F139" s="1570" t="s">
        <v>6</v>
      </c>
      <c r="G139" s="1566">
        <f>0.5*J135*(1-0.42^2)/(H137*(K11/2)^3)</f>
        <v>1.2636752220463612E-3</v>
      </c>
      <c r="H139" s="1572" t="str">
        <f>IF(I139&gt;G139, "&lt; [tg] ="," &gt; [tg] =")</f>
        <v>&lt; [tg] =</v>
      </c>
      <c r="I139" s="1566">
        <f>IF(LEFT(C3,1)= "N",0.0025,0.003)</f>
        <v>3.0000000000000001E-3</v>
      </c>
      <c r="J139" s="842"/>
      <c r="K139" s="7"/>
      <c r="L139" s="7"/>
      <c r="V139" s="4" t="str">
        <f>IF(G139&lt;I139,"OK","NOT")</f>
        <v>OK</v>
      </c>
    </row>
    <row r="140" spans="1:26" ht="19.899999999999999" customHeight="1">
      <c r="B140" s="1569"/>
      <c r="C140" s="1569"/>
      <c r="D140" s="1570"/>
      <c r="E140" s="956" t="s">
        <v>973</v>
      </c>
      <c r="F140" s="1570"/>
      <c r="G140" s="1566"/>
      <c r="H140" s="1572"/>
      <c r="I140" s="1566"/>
      <c r="J140" s="842"/>
      <c r="K140" s="7"/>
      <c r="L140" s="7"/>
    </row>
    <row r="141" spans="1:26" ht="19.899999999999999" customHeight="1">
      <c r="A141" s="424" t="s">
        <v>684</v>
      </c>
      <c r="B141" s="842"/>
      <c r="C141" s="842"/>
      <c r="D141" s="842"/>
      <c r="E141" s="842"/>
      <c r="F141" s="842"/>
      <c r="G141" s="842"/>
      <c r="H141" s="842"/>
      <c r="I141" s="842"/>
      <c r="J141" s="842"/>
      <c r="K141" s="355"/>
      <c r="L141" s="856"/>
      <c r="W141" s="1559" t="s">
        <v>849</v>
      </c>
      <c r="X141" s="1559"/>
      <c r="Y141" s="1559"/>
      <c r="Z141" s="1559"/>
    </row>
    <row r="142" spans="1:26" ht="19.899999999999999" customHeight="1">
      <c r="A142" s="879" t="s">
        <v>685</v>
      </c>
      <c r="B142" s="842"/>
      <c r="C142" s="842"/>
      <c r="D142" s="842"/>
      <c r="E142" s="842"/>
      <c r="F142" s="842"/>
      <c r="G142" s="842"/>
      <c r="H142" s="842"/>
      <c r="I142" s="842"/>
      <c r="J142" s="842"/>
      <c r="K142" s="355"/>
      <c r="L142" s="856"/>
      <c r="W142" s="12"/>
      <c r="X142" s="12" t="s">
        <v>149</v>
      </c>
      <c r="Y142" s="12" t="s">
        <v>150</v>
      </c>
      <c r="Z142" s="12" t="s">
        <v>765</v>
      </c>
    </row>
    <row r="143" spans="1:26" ht="22.15" customHeight="1">
      <c r="A143" s="842"/>
      <c r="B143" s="911" t="s">
        <v>686</v>
      </c>
      <c r="C143" s="842"/>
      <c r="D143" s="842"/>
      <c r="E143" s="842"/>
      <c r="F143" s="842"/>
      <c r="G143" s="842"/>
      <c r="H143" s="760">
        <f>(TAN(RADIANS(45-$H$57/2)))^2</f>
        <v>0.99999999999999978</v>
      </c>
      <c r="I143" s="842"/>
      <c r="J143" s="842"/>
      <c r="K143" s="355"/>
      <c r="L143" s="856"/>
      <c r="W143" s="12" t="s">
        <v>766</v>
      </c>
      <c r="X143" s="957">
        <f>C40</f>
        <v>15.495652173913046</v>
      </c>
      <c r="Y143" s="146">
        <f>F40</f>
        <v>2.3999999999999995</v>
      </c>
      <c r="Z143" s="12">
        <f>SQRT(X143^2+Y143^2)</f>
        <v>15.680409315285621</v>
      </c>
    </row>
    <row r="144" spans="1:26" ht="22.15" customHeight="1">
      <c r="A144" s="842"/>
      <c r="B144" s="911" t="s">
        <v>687</v>
      </c>
      <c r="C144" s="842"/>
      <c r="D144" s="842"/>
      <c r="E144" s="842"/>
      <c r="F144" s="909" t="s">
        <v>974</v>
      </c>
      <c r="G144" s="355">
        <f>ABS(U144)</f>
        <v>0.4</v>
      </c>
      <c r="H144" s="842" t="s">
        <v>600</v>
      </c>
      <c r="I144" s="842"/>
      <c r="J144" s="355">
        <f>G144*K10</f>
        <v>4</v>
      </c>
      <c r="K144" s="856" t="s">
        <v>592</v>
      </c>
      <c r="L144" s="856"/>
      <c r="N144" s="4">
        <f>TAN(RADIANS(45-H57/2))</f>
        <v>0.99999999999999989</v>
      </c>
      <c r="U144" s="4">
        <f>ROUND(0.5*$E$56*$K$38^2*H143-2*$I$56*$K$38*SQRT(H143),2)</f>
        <v>-0.4</v>
      </c>
      <c r="W144" s="12" t="s">
        <v>767</v>
      </c>
      <c r="X144" s="957">
        <f>C43</f>
        <v>9.6240000000000023</v>
      </c>
      <c r="Y144" s="957">
        <f>F43</f>
        <v>6.644869565217391</v>
      </c>
      <c r="Z144" s="12">
        <f t="shared" ref="Z144:Z146" si="22">SQRT(X144^2+Y144^2)</f>
        <v>11.695112976741713</v>
      </c>
    </row>
    <row r="145" spans="1:26" ht="22.15" customHeight="1">
      <c r="A145" s="842"/>
      <c r="B145" s="958" t="s">
        <v>688</v>
      </c>
      <c r="C145" s="842"/>
      <c r="D145" s="842"/>
      <c r="E145" s="842"/>
      <c r="F145" s="842"/>
      <c r="G145" s="909"/>
      <c r="H145" s="760">
        <f>(TAN(RADIANS(45+$H$57/2)))^2</f>
        <v>0.99999999999999978</v>
      </c>
      <c r="I145" s="842"/>
      <c r="J145" s="842"/>
      <c r="K145" s="355"/>
      <c r="L145" s="856"/>
      <c r="W145" s="12" t="s">
        <v>549</v>
      </c>
      <c r="X145" s="957">
        <f>C46</f>
        <v>15.495652173913046</v>
      </c>
      <c r="Y145" s="957">
        <f>F46</f>
        <v>2.3999999999999995</v>
      </c>
      <c r="Z145" s="12">
        <f t="shared" si="22"/>
        <v>15.680409315285621</v>
      </c>
    </row>
    <row r="146" spans="1:26" ht="22.15" customHeight="1">
      <c r="A146" s="842"/>
      <c r="B146" s="911" t="s">
        <v>689</v>
      </c>
      <c r="C146" s="842"/>
      <c r="D146" s="842"/>
      <c r="E146" s="842"/>
      <c r="F146" s="909" t="s">
        <v>975</v>
      </c>
      <c r="G146" s="355">
        <f>U146</f>
        <v>1.93</v>
      </c>
      <c r="H146" s="842" t="s">
        <v>600</v>
      </c>
      <c r="I146" s="842"/>
      <c r="J146" s="355">
        <f>G146*K10</f>
        <v>19.3</v>
      </c>
      <c r="K146" s="856" t="s">
        <v>592</v>
      </c>
      <c r="L146" s="856"/>
      <c r="U146" s="4">
        <f>ROUND(0.5*$E$56*$K$38^2*H145+2*$I$56*$K$38*SQRT(H145),2)</f>
        <v>1.93</v>
      </c>
      <c r="W146" s="12" t="s">
        <v>768</v>
      </c>
      <c r="X146" s="957">
        <f>C49</f>
        <v>8.4347826086956523</v>
      </c>
      <c r="Y146" s="957">
        <f>F49</f>
        <v>0</v>
      </c>
      <c r="Z146" s="12">
        <f t="shared" si="22"/>
        <v>8.4347826086956523</v>
      </c>
    </row>
    <row r="147" spans="1:26" ht="22.15" customHeight="1">
      <c r="A147" s="842"/>
      <c r="B147" s="911" t="s">
        <v>690</v>
      </c>
      <c r="C147" s="842"/>
      <c r="D147" s="842" t="s">
        <v>976</v>
      </c>
      <c r="E147" s="1254">
        <f>J144+MAX(Z143:Z146)</f>
        <v>19.680409315285623</v>
      </c>
      <c r="F147" s="842" t="s">
        <v>592</v>
      </c>
      <c r="G147" s="842"/>
      <c r="H147" s="842"/>
      <c r="I147" s="842"/>
      <c r="J147" s="842"/>
      <c r="K147" s="355"/>
      <c r="L147" s="856"/>
    </row>
    <row r="148" spans="1:26" ht="22.15" customHeight="1">
      <c r="A148" s="842"/>
      <c r="B148" s="842" t="s">
        <v>691</v>
      </c>
      <c r="C148" s="842"/>
      <c r="D148" s="842"/>
      <c r="E148" s="857">
        <f>ROUND(SUM(K30*2.5+MAX(E34:E37))*0.45*0.9+J146,2)</f>
        <v>87.08</v>
      </c>
      <c r="F148" s="842" t="s">
        <v>592</v>
      </c>
      <c r="H148" s="857" t="s">
        <v>979</v>
      </c>
      <c r="I148" s="355">
        <f>ABS(ROUND(E148/E147,2))</f>
        <v>4.42</v>
      </c>
      <c r="J148" s="856" t="str">
        <f>IF(I148&gt;1.5,"&gt; 1.5    Thỏa mãn điều kiện","NO")</f>
        <v>&gt; 1.5    Thỏa mãn điều kiện</v>
      </c>
      <c r="V148" s="4" t="str">
        <f>IF(I148&gt;1.5,"OK","NO")</f>
        <v>OK</v>
      </c>
    </row>
    <row r="149" spans="1:26" ht="22.15" customHeight="1">
      <c r="A149" s="842"/>
      <c r="B149" s="959" t="s">
        <v>593</v>
      </c>
      <c r="C149" s="842"/>
      <c r="D149" s="842"/>
      <c r="E149" s="842"/>
      <c r="F149" s="842"/>
      <c r="G149" s="842"/>
      <c r="H149" s="842"/>
      <c r="I149" s="842"/>
      <c r="J149" s="842"/>
      <c r="K149" s="355"/>
      <c r="L149" s="856"/>
      <c r="N149" s="960" t="s">
        <v>594</v>
      </c>
    </row>
    <row r="150" spans="1:26" ht="22.15" customHeight="1">
      <c r="A150" s="842"/>
      <c r="B150" s="959" t="s">
        <v>977</v>
      </c>
      <c r="C150" s="842"/>
      <c r="D150" s="842"/>
      <c r="E150" s="842"/>
      <c r="F150" s="842"/>
      <c r="G150" s="842"/>
      <c r="H150" s="842"/>
      <c r="I150" s="842"/>
      <c r="J150" s="842"/>
      <c r="K150" s="355"/>
      <c r="L150" s="856"/>
      <c r="N150" s="960" t="s">
        <v>595</v>
      </c>
    </row>
    <row r="151" spans="1:26" ht="22.15" customHeight="1">
      <c r="A151" s="842"/>
      <c r="B151" s="959" t="s">
        <v>978</v>
      </c>
      <c r="C151" s="842"/>
      <c r="D151" s="842"/>
      <c r="E151" s="842"/>
      <c r="F151" s="842"/>
      <c r="G151" s="842"/>
      <c r="H151" s="842"/>
      <c r="I151" s="842"/>
      <c r="J151" s="842"/>
      <c r="K151" s="355"/>
      <c r="L151" s="856"/>
      <c r="N151" s="960" t="s">
        <v>596</v>
      </c>
    </row>
    <row r="152" spans="1:26" ht="22.15" customHeight="1">
      <c r="A152" s="842"/>
      <c r="B152" s="959" t="s">
        <v>1012</v>
      </c>
      <c r="C152" s="842"/>
      <c r="D152" s="842"/>
      <c r="E152" s="842"/>
      <c r="F152" s="842"/>
      <c r="G152" s="842"/>
      <c r="I152" s="959" t="s">
        <v>693</v>
      </c>
      <c r="J152" s="842"/>
      <c r="K152" s="355"/>
      <c r="L152" s="856"/>
      <c r="N152" s="960" t="s">
        <v>597</v>
      </c>
    </row>
    <row r="153" spans="1:26" ht="22.15" customHeight="1">
      <c r="A153" s="961" t="s">
        <v>692</v>
      </c>
      <c r="B153" s="842"/>
      <c r="C153" s="842"/>
      <c r="D153" s="842"/>
      <c r="E153" s="842"/>
      <c r="F153" s="842"/>
      <c r="G153" s="842"/>
      <c r="H153" s="842"/>
      <c r="I153" s="842"/>
      <c r="J153" s="842"/>
      <c r="K153" s="355"/>
      <c r="L153" s="856"/>
    </row>
    <row r="154" spans="1:26" ht="19.899999999999999" customHeight="1">
      <c r="A154" s="842"/>
      <c r="B154" s="842"/>
      <c r="C154" s="842"/>
      <c r="D154" s="842"/>
      <c r="E154" s="357">
        <f>0.9*(C67*K11/2)/((C40*K14+C41)*1.2)</f>
        <v>1.632859415592439</v>
      </c>
      <c r="F154" s="842" t="s">
        <v>599</v>
      </c>
      <c r="G154" s="856" t="str">
        <f>IF(E154&gt;1.5,"Thỏa mãn điều kiện","NO")</f>
        <v>Thỏa mãn điều kiện</v>
      </c>
      <c r="H154" s="842"/>
      <c r="I154" s="842"/>
      <c r="J154" s="842"/>
      <c r="K154" s="355"/>
      <c r="L154" s="856"/>
      <c r="V154" s="4" t="str">
        <f>IF(E154&gt;1.5,"OK", "NO")</f>
        <v>OK</v>
      </c>
    </row>
    <row r="155" spans="1:26" ht="19.899999999999999" customHeight="1">
      <c r="A155" s="842"/>
      <c r="B155" s="842"/>
      <c r="C155" s="842"/>
      <c r="D155" s="842"/>
      <c r="E155" s="842"/>
      <c r="F155" s="842"/>
      <c r="G155" s="842"/>
      <c r="H155" s="842"/>
      <c r="I155" s="842"/>
      <c r="J155" s="842"/>
      <c r="K155" s="355"/>
      <c r="L155" s="856"/>
    </row>
    <row r="156" spans="1:26" ht="19.899999999999999" hidden="1" customHeight="1"/>
    <row r="187" spans="1:17" ht="19.899999999999999" customHeight="1">
      <c r="A187" s="5" t="s">
        <v>522</v>
      </c>
    </row>
    <row r="188" spans="1:17" ht="19.899999999999999" customHeight="1">
      <c r="A188" s="2" t="s">
        <v>537</v>
      </c>
      <c r="C188" s="6" t="str">
        <f>IF(D188="M200","B15  -  Mác","B20-  Mác")</f>
        <v>B15  -  Mác</v>
      </c>
      <c r="D188" s="962" t="s">
        <v>5</v>
      </c>
      <c r="I188" s="6" t="s">
        <v>540</v>
      </c>
      <c r="J188" s="963" t="s">
        <v>56</v>
      </c>
      <c r="K188" s="4" t="s">
        <v>538</v>
      </c>
      <c r="O188" s="185" t="s">
        <v>280</v>
      </c>
      <c r="P188" s="964">
        <f>+(K11-K10)/2</f>
        <v>1</v>
      </c>
      <c r="Q188" s="965" t="s">
        <v>281</v>
      </c>
    </row>
    <row r="189" spans="1:17" ht="19.899999999999999" customHeight="1">
      <c r="B189" s="2" t="s">
        <v>541</v>
      </c>
      <c r="E189" s="2">
        <f>IF(D188="M200",85,IF(D188="M250",115,IF(D188="M300",130,"Maùc beâ toâng")))</f>
        <v>85</v>
      </c>
      <c r="F189" s="2" t="s">
        <v>66</v>
      </c>
      <c r="J189" s="6" t="s">
        <v>543</v>
      </c>
      <c r="K189" s="2">
        <f>IF(J188="AI",2250,IF(J188="AII",2800,IF(J188="AIII",3650,"nhóm cốt thép")))</f>
        <v>3650</v>
      </c>
      <c r="L189" s="4" t="s">
        <v>66</v>
      </c>
      <c r="O189" s="966" t="s">
        <v>282</v>
      </c>
      <c r="P189" s="9" t="e">
        <f>+F197-K11/2</f>
        <v>#REF!</v>
      </c>
      <c r="Q189" s="967" t="s">
        <v>281</v>
      </c>
    </row>
    <row r="190" spans="1:17" ht="19.899999999999999" customHeight="1">
      <c r="B190" s="2" t="s">
        <v>542</v>
      </c>
      <c r="E190" s="2">
        <f>IF(D188="M200",7.5,IF(D188="M250",8.8,IF(D188="M300",10,"Maùc be toâng")))</f>
        <v>7.5</v>
      </c>
      <c r="F190" s="2" t="s">
        <v>66</v>
      </c>
      <c r="O190" s="966" t="s">
        <v>283</v>
      </c>
      <c r="P190" s="4">
        <f>+K25/2</f>
        <v>1.75</v>
      </c>
      <c r="Q190" s="967" t="s">
        <v>281</v>
      </c>
    </row>
    <row r="191" spans="1:17" ht="19.899999999999999" customHeight="1">
      <c r="A191" s="2" t="s">
        <v>227</v>
      </c>
      <c r="O191" s="968" t="e">
        <f>+IF(P190&gt;P189,"ok")</f>
        <v>#REF!</v>
      </c>
      <c r="Q191" s="967"/>
    </row>
    <row r="192" spans="1:17" ht="19.899999999999999" customHeight="1">
      <c r="B192" s="3" t="s">
        <v>166</v>
      </c>
      <c r="D192" s="6" t="s">
        <v>63</v>
      </c>
      <c r="E192" s="4" t="s">
        <v>6</v>
      </c>
      <c r="F192" s="437" t="e">
        <f>#REF!+#REF!*K14</f>
        <v>#REF!</v>
      </c>
      <c r="G192" s="437"/>
      <c r="H192" s="2" t="s">
        <v>4</v>
      </c>
      <c r="O192" s="966" t="s">
        <v>11</v>
      </c>
      <c r="Q192" s="967"/>
    </row>
    <row r="193" spans="1:17" ht="19.899999999999999" customHeight="1">
      <c r="D193" s="6" t="s">
        <v>7</v>
      </c>
      <c r="E193" s="4" t="s">
        <v>6</v>
      </c>
      <c r="F193" s="100" t="e">
        <f>#REF!/K32</f>
        <v>#REF!</v>
      </c>
      <c r="G193" s="100"/>
      <c r="H193" s="2" t="s">
        <v>10</v>
      </c>
      <c r="O193" s="966" t="s">
        <v>284</v>
      </c>
      <c r="Q193" s="967"/>
    </row>
    <row r="194" spans="1:17" ht="19.899999999999999" customHeight="1">
      <c r="D194" s="6" t="s">
        <v>8</v>
      </c>
      <c r="E194" s="4" t="s">
        <v>6</v>
      </c>
      <c r="F194" s="100" t="e">
        <f>F193+F192/K34</f>
        <v>#REF!</v>
      </c>
      <c r="G194" s="100"/>
      <c r="H194" s="2" t="s">
        <v>10</v>
      </c>
      <c r="O194" s="966" t="s">
        <v>285</v>
      </c>
      <c r="Q194" s="967"/>
    </row>
    <row r="195" spans="1:17" ht="19.899999999999999" customHeight="1">
      <c r="D195" s="6" t="s">
        <v>9</v>
      </c>
      <c r="E195" s="4" t="s">
        <v>6</v>
      </c>
      <c r="F195" s="100" t="e">
        <f>F193-F192/K34</f>
        <v>#REF!</v>
      </c>
      <c r="G195" s="100"/>
      <c r="H195" s="2" t="s">
        <v>10</v>
      </c>
      <c r="O195" s="966" t="s">
        <v>286</v>
      </c>
      <c r="Q195" s="967"/>
    </row>
    <row r="196" spans="1:17" ht="19.899999999999999" customHeight="1">
      <c r="A196" s="2" t="s">
        <v>228</v>
      </c>
      <c r="O196" s="966" t="s">
        <v>287</v>
      </c>
      <c r="Q196" s="967"/>
    </row>
    <row r="197" spans="1:17" ht="19.899999999999999" customHeight="1">
      <c r="B197" s="2" t="s">
        <v>11</v>
      </c>
      <c r="D197" s="6"/>
      <c r="E197" s="4" t="s">
        <v>6</v>
      </c>
      <c r="F197" s="100" t="e">
        <f>(F194*K11)/(F194-F195)</f>
        <v>#REF!</v>
      </c>
      <c r="G197" s="100"/>
      <c r="H197" s="100"/>
      <c r="O197" s="966" t="s">
        <v>288</v>
      </c>
      <c r="Q197" s="967"/>
    </row>
    <row r="198" spans="1:17" ht="19.899999999999999" customHeight="1">
      <c r="A198" s="2" t="s">
        <v>229</v>
      </c>
      <c r="O198" s="966"/>
      <c r="Q198" s="967"/>
    </row>
    <row r="199" spans="1:17" ht="19.899999999999999" customHeight="1">
      <c r="D199" s="6" t="s">
        <v>15</v>
      </c>
      <c r="E199" s="4" t="s">
        <v>6</v>
      </c>
      <c r="F199" s="100" t="e">
        <f>(F194*(F197-G26)/F197)</f>
        <v>#REF!</v>
      </c>
      <c r="H199" s="2" t="s">
        <v>10</v>
      </c>
      <c r="O199" s="966" t="s">
        <v>289</v>
      </c>
      <c r="Q199" s="967"/>
    </row>
    <row r="200" spans="1:17" ht="19.899999999999999" customHeight="1">
      <c r="D200" s="6" t="s">
        <v>16</v>
      </c>
      <c r="E200" s="4" t="s">
        <v>6</v>
      </c>
      <c r="F200" s="100" t="e">
        <f>(F194*(F197-K28-K16)/F197)</f>
        <v>#REF!</v>
      </c>
      <c r="H200" s="2" t="s">
        <v>10</v>
      </c>
      <c r="O200" s="966" t="s">
        <v>290</v>
      </c>
      <c r="Q200" s="967"/>
    </row>
    <row r="201" spans="1:17" ht="19.899999999999999" customHeight="1">
      <c r="D201" s="6" t="s">
        <v>14</v>
      </c>
      <c r="E201" s="4" t="s">
        <v>6</v>
      </c>
      <c r="F201" s="100" t="e">
        <f>-(F195*(K11-F197-K28)/(K11-F197))</f>
        <v>#REF!</v>
      </c>
      <c r="H201" s="2" t="s">
        <v>10</v>
      </c>
      <c r="O201" s="966"/>
      <c r="Q201" s="967"/>
    </row>
    <row r="202" spans="1:17" ht="19.899999999999999" customHeight="1">
      <c r="D202" s="6" t="s">
        <v>13</v>
      </c>
      <c r="E202" s="4" t="s">
        <v>6</v>
      </c>
      <c r="F202" s="100" t="e">
        <f>F195*(F197-K11+K28+K16)/(K11-F197)</f>
        <v>#REF!</v>
      </c>
      <c r="H202" s="2" t="s">
        <v>10</v>
      </c>
      <c r="O202" s="29" t="s">
        <v>299</v>
      </c>
      <c r="P202" s="854"/>
      <c r="Q202" s="969"/>
    </row>
    <row r="203" spans="1:17" ht="19.899999999999999" customHeight="1">
      <c r="D203" s="6" t="s">
        <v>12</v>
      </c>
      <c r="E203" s="4" t="s">
        <v>6</v>
      </c>
      <c r="F203" s="100" t="e">
        <f>F194*(F197-K11/2)/F197</f>
        <v>#REF!</v>
      </c>
      <c r="H203" s="2" t="s">
        <v>10</v>
      </c>
    </row>
    <row r="204" spans="1:17" ht="19.899999999999999" customHeight="1">
      <c r="D204" s="6" t="s">
        <v>22</v>
      </c>
      <c r="E204" s="4" t="s">
        <v>6</v>
      </c>
      <c r="F204" s="970" t="e">
        <f>F194*(F197-K28*2-K16)/F197</f>
        <v>#REF!</v>
      </c>
      <c r="H204" s="2" t="s">
        <v>10</v>
      </c>
    </row>
    <row r="205" spans="1:17" ht="19.899999999999999" customHeight="1">
      <c r="D205" s="6" t="s">
        <v>23</v>
      </c>
      <c r="E205" s="4" t="s">
        <v>6</v>
      </c>
      <c r="F205" s="970" t="e">
        <f>F194*(F197-K11/2+K20/2)/F197</f>
        <v>#REF!</v>
      </c>
      <c r="H205" s="2" t="s">
        <v>10</v>
      </c>
    </row>
    <row r="206" spans="1:17" ht="19.899999999999999" customHeight="1">
      <c r="D206" s="6" t="s">
        <v>154</v>
      </c>
      <c r="E206" s="4" t="s">
        <v>6</v>
      </c>
      <c r="F206" s="970" t="e">
        <f>(F194*(F197-(K11-K10)/2)/F197)</f>
        <v>#REF!</v>
      </c>
      <c r="H206" s="2" t="s">
        <v>10</v>
      </c>
    </row>
    <row r="207" spans="1:17" ht="19.899999999999999" customHeight="1">
      <c r="D207" s="6"/>
      <c r="E207" s="4"/>
      <c r="F207" s="100"/>
      <c r="G207" s="100"/>
      <c r="H207" s="100"/>
    </row>
    <row r="208" spans="1:17" ht="19.899999999999999" customHeight="1">
      <c r="A208" s="6" t="s">
        <v>9</v>
      </c>
      <c r="D208" s="6"/>
      <c r="E208" s="4" t="s">
        <v>12</v>
      </c>
      <c r="F208" s="970" t="s">
        <v>16</v>
      </c>
      <c r="G208" s="100"/>
      <c r="H208" s="100" t="s">
        <v>15</v>
      </c>
    </row>
    <row r="209" spans="1:14" ht="19.899999999999999" customHeight="1">
      <c r="D209" s="6"/>
      <c r="E209" s="4"/>
      <c r="F209" s="100"/>
      <c r="G209" s="100"/>
      <c r="H209" s="100"/>
    </row>
    <row r="210" spans="1:14" ht="19.899999999999999" customHeight="1">
      <c r="A210" s="6"/>
      <c r="B210" s="6" t="s">
        <v>14</v>
      </c>
      <c r="C210" s="4" t="s">
        <v>13</v>
      </c>
      <c r="D210" s="6" t="s">
        <v>41</v>
      </c>
      <c r="E210" s="4" t="s">
        <v>12</v>
      </c>
      <c r="J210" s="2" t="s">
        <v>8</v>
      </c>
    </row>
    <row r="211" spans="1:14" ht="19.899999999999999" customHeight="1">
      <c r="D211" s="6"/>
      <c r="G211" s="2" t="s">
        <v>35</v>
      </c>
    </row>
    <row r="212" spans="1:14" ht="19.899999999999999" customHeight="1">
      <c r="B212" s="6"/>
      <c r="D212" s="4"/>
    </row>
    <row r="213" spans="1:14" ht="19.899999999999999" customHeight="1">
      <c r="E213" s="2" t="s">
        <v>40</v>
      </c>
    </row>
    <row r="214" spans="1:14" ht="19.899999999999999" customHeight="1">
      <c r="A214" s="971" t="s">
        <v>519</v>
      </c>
    </row>
    <row r="215" spans="1:14" ht="19.899999999999999" customHeight="1">
      <c r="B215" s="972" t="s">
        <v>231</v>
      </c>
    </row>
    <row r="216" spans="1:14" ht="19.899999999999999" customHeight="1">
      <c r="B216" s="973" t="s">
        <v>230</v>
      </c>
    </row>
    <row r="217" spans="1:14" ht="19.899999999999999" customHeight="1">
      <c r="B217" s="973" t="s">
        <v>525</v>
      </c>
    </row>
    <row r="218" spans="1:14" ht="19.899999999999999" customHeight="1">
      <c r="B218" s="5" t="s">
        <v>232</v>
      </c>
      <c r="E218" s="4" t="s">
        <v>43</v>
      </c>
      <c r="F218" s="2">
        <f>K28+K16/2</f>
        <v>4</v>
      </c>
      <c r="G218" s="2" t="s">
        <v>0</v>
      </c>
    </row>
    <row r="219" spans="1:14" ht="19.899999999999999" customHeight="1">
      <c r="B219" s="5"/>
      <c r="E219" s="4" t="s">
        <v>44</v>
      </c>
      <c r="F219" s="2">
        <f>K26+K16/2</f>
        <v>3</v>
      </c>
      <c r="G219" s="2" t="s">
        <v>0</v>
      </c>
    </row>
    <row r="220" spans="1:14" ht="19.899999999999999" customHeight="1">
      <c r="B220" s="2" t="s">
        <v>233</v>
      </c>
    </row>
    <row r="221" spans="1:14" ht="19.899999999999999" customHeight="1">
      <c r="B221" s="2" t="s">
        <v>234</v>
      </c>
      <c r="E221" s="4" t="s">
        <v>167</v>
      </c>
      <c r="F221" s="100" t="e">
        <f>F194/(1+F218^4/(F219^4))</f>
        <v>#REF!</v>
      </c>
      <c r="G221" s="2" t="s">
        <v>235</v>
      </c>
      <c r="M221" s="11"/>
      <c r="N221" s="419" t="e">
        <f>+F194/(1+F219^4/F218^4)</f>
        <v>#REF!</v>
      </c>
    </row>
    <row r="222" spans="1:14" ht="19.899999999999999" customHeight="1">
      <c r="E222" s="4" t="s">
        <v>168</v>
      </c>
      <c r="F222" s="100" t="e">
        <f>+F194-F221</f>
        <v>#REF!</v>
      </c>
      <c r="G222" s="2" t="s">
        <v>235</v>
      </c>
      <c r="M222" s="11"/>
      <c r="N222" s="419" t="e">
        <f>+F194-N221</f>
        <v>#REF!</v>
      </c>
    </row>
    <row r="223" spans="1:14" ht="19.899999999999999" customHeight="1">
      <c r="B223" s="2" t="s">
        <v>238</v>
      </c>
      <c r="D223" s="2" t="s">
        <v>169</v>
      </c>
      <c r="J223" s="4"/>
    </row>
    <row r="224" spans="1:14" ht="19.899999999999999" customHeight="1">
      <c r="B224" s="4" t="s">
        <v>170</v>
      </c>
      <c r="C224" s="923" t="e">
        <f>F221*F218^2/2*100000</f>
        <v>#REF!</v>
      </c>
      <c r="D224" s="2" t="s">
        <v>17</v>
      </c>
      <c r="E224" s="6" t="s">
        <v>236</v>
      </c>
      <c r="F224" s="2">
        <f>K19*100</f>
        <v>35</v>
      </c>
      <c r="G224" s="2" t="s">
        <v>18</v>
      </c>
      <c r="I224" s="4">
        <f>+F218</f>
        <v>4</v>
      </c>
      <c r="M224" s="9"/>
    </row>
    <row r="225" spans="2:13" ht="19.899999999999999" customHeight="1">
      <c r="B225" s="4" t="s">
        <v>171</v>
      </c>
      <c r="C225" s="923" t="e">
        <f>F222*F219^2/2*100000</f>
        <v>#REF!</v>
      </c>
      <c r="D225" s="2" t="s">
        <v>17</v>
      </c>
      <c r="E225" s="6" t="s">
        <v>122</v>
      </c>
      <c r="F225" s="962">
        <v>7.5</v>
      </c>
      <c r="G225" s="2" t="s">
        <v>18</v>
      </c>
      <c r="M225" s="9"/>
    </row>
    <row r="226" spans="2:13" ht="19.899999999999999" customHeight="1">
      <c r="E226" s="974" t="s">
        <v>172</v>
      </c>
      <c r="F226" s="2">
        <f>+F224-F225</f>
        <v>27.5</v>
      </c>
      <c r="G226" s="2" t="s">
        <v>18</v>
      </c>
      <c r="M226" s="9"/>
    </row>
    <row r="227" spans="2:13" ht="19.899999999999999" customHeight="1">
      <c r="B227" s="4" t="s">
        <v>173</v>
      </c>
      <c r="C227" s="9" t="e">
        <f>+C224/(E189*100*F226^2)</f>
        <v>#REF!</v>
      </c>
      <c r="D227" s="2" t="s">
        <v>174</v>
      </c>
      <c r="E227" s="974"/>
      <c r="J227" s="4">
        <f>+F219</f>
        <v>3</v>
      </c>
      <c r="M227" s="9"/>
    </row>
    <row r="228" spans="2:13" ht="19.899999999999999" customHeight="1">
      <c r="B228" s="4" t="s">
        <v>175</v>
      </c>
      <c r="C228" s="9" t="e">
        <f>+C225/(E189*100*F226^2)</f>
        <v>#REF!</v>
      </c>
      <c r="D228" s="2" t="s">
        <v>174</v>
      </c>
      <c r="E228" s="974"/>
      <c r="M228" s="9"/>
    </row>
    <row r="229" spans="2:13" ht="19.899999999999999" customHeight="1">
      <c r="B229" s="4" t="s">
        <v>176</v>
      </c>
      <c r="C229" s="10" t="e">
        <f>0.5*(1+SQRT(1-2*C227))</f>
        <v>#REF!</v>
      </c>
      <c r="E229" s="4"/>
      <c r="F229" s="9"/>
      <c r="G229" s="9"/>
      <c r="M229" s="9"/>
    </row>
    <row r="230" spans="2:13" ht="19.899999999999999" customHeight="1">
      <c r="B230" s="4" t="s">
        <v>177</v>
      </c>
      <c r="C230" s="10" t="e">
        <f>0.5*(1+SQRT(1-2*C228))</f>
        <v>#REF!</v>
      </c>
      <c r="E230" s="4"/>
      <c r="F230" s="9"/>
      <c r="G230" s="9"/>
      <c r="M230" s="9"/>
    </row>
    <row r="231" spans="2:13" ht="19.899999999999999" customHeight="1">
      <c r="B231" s="2" t="s">
        <v>239</v>
      </c>
      <c r="M231" s="9"/>
    </row>
    <row r="232" spans="2:13" ht="19.899999999999999" customHeight="1">
      <c r="B232" s="2" t="s">
        <v>244</v>
      </c>
      <c r="D232" s="893" t="str">
        <f>J188</f>
        <v>AIII</v>
      </c>
      <c r="E232" s="4" t="s">
        <v>538</v>
      </c>
      <c r="F232" s="9"/>
      <c r="G232" s="9"/>
      <c r="M232" s="9"/>
    </row>
    <row r="233" spans="2:13" ht="19.899999999999999" customHeight="1">
      <c r="B233" s="2" t="s">
        <v>237</v>
      </c>
      <c r="D233" s="2">
        <f>IF(D232="AI",2250,IF(D232="AII",2800,IF(D232="AIII",3650,"nhóm cốt thép")))</f>
        <v>3650</v>
      </c>
      <c r="E233" s="4" t="s">
        <v>66</v>
      </c>
      <c r="F233" s="9"/>
      <c r="G233" s="9"/>
      <c r="M233" s="9"/>
    </row>
    <row r="234" spans="2:13" ht="19.899999999999999" customHeight="1">
      <c r="B234" s="6" t="s">
        <v>178</v>
      </c>
      <c r="C234" s="975" t="e">
        <f>+C224/(D233*C229*$F$226)</f>
        <v>#REF!</v>
      </c>
      <c r="D234" s="2" t="s">
        <v>20</v>
      </c>
      <c r="E234" s="4"/>
      <c r="F234" s="9"/>
      <c r="G234" s="9"/>
      <c r="M234" s="9"/>
    </row>
    <row r="235" spans="2:13" ht="19.899999999999999" customHeight="1">
      <c r="B235" s="6" t="s">
        <v>179</v>
      </c>
      <c r="C235" s="975" t="e">
        <f>+C225/(D233*C230*F226)</f>
        <v>#REF!</v>
      </c>
      <c r="D235" s="2" t="s">
        <v>20</v>
      </c>
      <c r="E235" s="4"/>
      <c r="F235" s="9"/>
      <c r="G235" s="9"/>
      <c r="M235" s="9"/>
    </row>
    <row r="236" spans="2:13" ht="19.899999999999999" customHeight="1">
      <c r="B236" s="2" t="s">
        <v>240</v>
      </c>
      <c r="C236" s="976" t="str">
        <f>12&amp;D232  &amp;"   a  ="</f>
        <v>12AIII   a  =</v>
      </c>
      <c r="D236" s="963">
        <v>200</v>
      </c>
      <c r="E236" s="903"/>
      <c r="F236" s="9"/>
      <c r="G236" s="9"/>
      <c r="M236" s="9"/>
    </row>
    <row r="237" spans="2:13" ht="19.899999999999999" customHeight="1">
      <c r="C237" s="973" t="s">
        <v>58</v>
      </c>
      <c r="D237" s="442" t="str">
        <f>ROUND(VLOOKUP(VALUE(LEFT(C236,2)),$P$21:$S$41,4,0)*1000/D236,2) &amp;"  (cm²/m dài)"</f>
        <v>5.65  (cm²/m dài)</v>
      </c>
      <c r="E237" s="111"/>
      <c r="F237" s="9"/>
      <c r="G237" s="9"/>
      <c r="M237" s="9"/>
    </row>
    <row r="238" spans="2:13" ht="19.899999999999999" customHeight="1">
      <c r="C238" s="972" t="s">
        <v>111</v>
      </c>
      <c r="E238" s="3" t="str">
        <f>0.1*100*F226/100&amp;" (cm²/m dài)"</f>
        <v>2.75 (cm²/m dài)</v>
      </c>
      <c r="F238" s="9"/>
      <c r="G238" s="9"/>
      <c r="M238" s="9"/>
    </row>
    <row r="239" spans="2:13" ht="19.899999999999999" customHeight="1">
      <c r="B239" s="5" t="s">
        <v>241</v>
      </c>
      <c r="C239" s="972"/>
      <c r="E239" s="4" t="s">
        <v>180</v>
      </c>
      <c r="F239" s="9">
        <f>K7</f>
        <v>4</v>
      </c>
      <c r="G239" s="9"/>
      <c r="M239" s="9"/>
    </row>
    <row r="240" spans="2:13" ht="19.899999999999999" customHeight="1">
      <c r="C240" s="972"/>
      <c r="E240" s="4" t="s">
        <v>181</v>
      </c>
      <c r="F240" s="9">
        <f>K28+K16/2</f>
        <v>4</v>
      </c>
      <c r="G240" s="9"/>
      <c r="M240" s="9"/>
    </row>
    <row r="241" spans="2:13" ht="19.899999999999999" customHeight="1">
      <c r="B241" s="2" t="s">
        <v>279</v>
      </c>
      <c r="C241" s="972"/>
      <c r="D241" s="10">
        <f>+F239/F240</f>
        <v>1</v>
      </c>
      <c r="E241" s="3" t="str">
        <f>IF(D241&lt;2,"&lt; 2  Tính theo bản ngàm 3 cạnh","&gt;= 2 Tính theo bản console")</f>
        <v>&lt; 2  Tính theo bản ngàm 3 cạnh</v>
      </c>
      <c r="F241" s="9"/>
      <c r="G241" s="9"/>
      <c r="I241" s="977">
        <f>+F239</f>
        <v>4</v>
      </c>
      <c r="M241" s="9"/>
    </row>
    <row r="242" spans="2:13" ht="19.899999999999999" customHeight="1">
      <c r="B242" s="978" t="s">
        <v>520</v>
      </c>
      <c r="C242" s="972"/>
      <c r="E242" s="4"/>
      <c r="F242" s="9"/>
      <c r="G242" s="9"/>
      <c r="M242" s="9"/>
    </row>
    <row r="243" spans="2:13" ht="19.899999999999999" customHeight="1">
      <c r="B243" s="2" t="s">
        <v>245</v>
      </c>
      <c r="C243" s="972"/>
      <c r="E243" s="4"/>
      <c r="F243" s="9"/>
      <c r="G243" s="9"/>
      <c r="M243" s="9"/>
    </row>
    <row r="244" spans="2:13" ht="19.899999999999999" customHeight="1">
      <c r="B244" s="6" t="s">
        <v>182</v>
      </c>
      <c r="C244" s="979">
        <f>+IF(D241&lt;=1.5,IF(D241&lt;=1.4,IF(D241&lt;=1.3,IF(D241&lt;=1.2,IF(D241&lt;=1.1,Tra!O$5+(D241-Tra!$L$5)*Tra!S$5,Tra!O$6+(D241-Tra!$L$6)*Tra!S$6),Tra!O$7+(D241-Tra!$L$7)*Tra!S$7),Tra!O$8+(D241-Tra!$L$8)*Tra!S$8),Tra!O$9+(D241-Tra!$L$9)*Tra!S$9),Tra!O$10)</f>
        <v>5.0999999999999997E-2</v>
      </c>
      <c r="D244" s="6" t="s">
        <v>183</v>
      </c>
      <c r="E244" s="979">
        <f>+IF(D241&lt;=1.5,IF(D241&lt;=1.4,IF(D241&lt;=1.3,IF(D241&lt;=1.2,IF(D241&lt;=1.1,Tra!M$5+(D241-Tra!$L$5)*Tra!Q$5,Tra!M$6+(D241-Tra!$L$6)*Tra!Q$6),Tra!M$7+(D241-Tra!$L$7)*Tra!Q$7),Tra!M$8+(D241-Tra!$L$8)*Tra!Q$8),Tra!M$9+(D241-Tra!$L$9)*Tra!Q$9),Tra!M$10)</f>
        <v>9.9000000000000008E-3</v>
      </c>
      <c r="F244" s="9"/>
      <c r="G244" s="977">
        <f>+F240</f>
        <v>4</v>
      </c>
      <c r="M244" s="9"/>
    </row>
    <row r="245" spans="2:13" ht="19.899999999999999" customHeight="1">
      <c r="B245" s="6" t="s">
        <v>184</v>
      </c>
      <c r="C245" s="979">
        <f>+IF(D241&lt;=1.5,IF(D241&lt;=1.4,IF(D241&lt;=1.3,IF(D241&lt;=1.2,IF(D241&lt;=1.1,Tra!P$5+(D241-Tra!$L$5)*Tra!T$5,Tra!P$6+(D241-Tra!$L$6)*Tra!T$6),Tra!P$7+(D241-Tra!$L$7)*Tra!T$7),Tra!P$8+(D241-Tra!$L$8)*Tra!T$8),Tra!P$9+(D241-Tra!$L$9)*Tra!T$9),Tra!P$10)</f>
        <v>8.5300000000000001E-2</v>
      </c>
      <c r="D245" s="6" t="s">
        <v>185</v>
      </c>
      <c r="E245" s="979">
        <f>+IF(D241&lt;=1.5,IF(D241&lt;=1.4,IF(D241&lt;=1.3,IF(D241&lt;=1.2,IF(D241&lt;=1.1,Tra!N$5+(D241-Tra!$L$5)*Tra!R$5,Tra!N$6+(D241-Tra!$L$6)*Tra!R$6),Tra!N$7+(D241-Tra!$L$7)*Tra!R$7),Tra!N$8+(D241-Tra!$L$8)*Tra!R$8),Tra!N$9+(D241-Tra!$L$9)*Tra!R$9),Tra!N$10)</f>
        <v>4.5699999999999998E-2</v>
      </c>
      <c r="F245" s="9"/>
      <c r="G245" s="9"/>
      <c r="M245" s="9"/>
    </row>
    <row r="246" spans="2:13" ht="19.899999999999999" customHeight="1">
      <c r="B246" s="3" t="s">
        <v>242</v>
      </c>
      <c r="D246" s="6"/>
      <c r="E246" s="4" t="s">
        <v>186</v>
      </c>
      <c r="F246" s="9" t="e">
        <f>+F194</f>
        <v>#REF!</v>
      </c>
      <c r="G246" s="2" t="s">
        <v>10</v>
      </c>
      <c r="M246" s="9"/>
    </row>
    <row r="247" spans="2:13" ht="19.899999999999999" customHeight="1">
      <c r="B247" s="6" t="s">
        <v>170</v>
      </c>
      <c r="C247" s="980" t="e">
        <f>+IF(D241&lt;2,C244*F246*F239*F240*1000,0)</f>
        <v>#REF!</v>
      </c>
      <c r="D247" s="3" t="s">
        <v>60</v>
      </c>
      <c r="E247" s="6" t="s">
        <v>187</v>
      </c>
      <c r="F247" s="981" t="e">
        <f>+IF(D241&lt;2,E244*F246*F239*F240*1000,0)</f>
        <v>#REF!</v>
      </c>
      <c r="G247" s="3" t="s">
        <v>60</v>
      </c>
      <c r="M247" s="9"/>
    </row>
    <row r="248" spans="2:13" ht="19.899999999999999" customHeight="1">
      <c r="B248" s="6" t="s">
        <v>171</v>
      </c>
      <c r="C248" s="980" t="e">
        <f>+IF(D241&lt;2,C245*F246*F239*F240*1000,0)</f>
        <v>#REF!</v>
      </c>
      <c r="D248" s="3" t="s">
        <v>60</v>
      </c>
      <c r="E248" s="6" t="s">
        <v>188</v>
      </c>
      <c r="F248" s="981" t="e">
        <f>+IF(D241&lt;2,E245*F246*F239*F240*1000,0)</f>
        <v>#REF!</v>
      </c>
      <c r="G248" s="3" t="s">
        <v>60</v>
      </c>
      <c r="M248" s="9"/>
    </row>
    <row r="249" spans="2:13" ht="19.899999999999999" customHeight="1">
      <c r="B249" s="3" t="s">
        <v>243</v>
      </c>
      <c r="D249" s="982" t="e">
        <f>+MAX(C247,C248,F247,F248)</f>
        <v>#REF!</v>
      </c>
      <c r="E249" s="3" t="s">
        <v>60</v>
      </c>
      <c r="F249" s="9"/>
      <c r="G249" s="9"/>
      <c r="M249" s="9"/>
    </row>
    <row r="250" spans="2:13" ht="19.899999999999999" customHeight="1">
      <c r="B250" s="6" t="s">
        <v>59</v>
      </c>
      <c r="C250" s="10" t="e">
        <f>+D249*100/(E189*100*F226^2)</f>
        <v>#REF!</v>
      </c>
      <c r="D250" s="2" t="s">
        <v>174</v>
      </c>
      <c r="E250" s="903" t="s">
        <v>539</v>
      </c>
      <c r="F250" s="983" t="e">
        <f>0.5*(1+SQRT(1-2*C250))</f>
        <v>#REF!</v>
      </c>
      <c r="G250" s="9"/>
      <c r="M250" s="9"/>
    </row>
    <row r="251" spans="2:13" ht="19.899999999999999" customHeight="1">
      <c r="B251" s="2" t="s">
        <v>239</v>
      </c>
      <c r="E251" s="3"/>
      <c r="F251" s="9"/>
      <c r="G251" s="9"/>
      <c r="M251" s="9"/>
    </row>
    <row r="252" spans="2:13" ht="19.899999999999999" customHeight="1">
      <c r="B252" s="2" t="s">
        <v>244</v>
      </c>
      <c r="D252" s="2" t="str">
        <f>+D232</f>
        <v>AIII</v>
      </c>
      <c r="E252" s="3"/>
      <c r="F252" s="9"/>
      <c r="G252" s="9"/>
      <c r="M252" s="9"/>
    </row>
    <row r="253" spans="2:13" ht="19.899999999999999" customHeight="1">
      <c r="B253" s="2" t="s">
        <v>237</v>
      </c>
      <c r="D253" s="2">
        <f>IF(D252="AI",2250,IF(D252="AII",2800,IF(D252="AIII",3650,"nhóm cốt thép")))</f>
        <v>3650</v>
      </c>
      <c r="E253" s="3" t="s">
        <v>66</v>
      </c>
      <c r="F253" s="9"/>
      <c r="G253" s="9"/>
      <c r="M253" s="9"/>
    </row>
    <row r="254" spans="2:13" ht="19.899999999999999" customHeight="1">
      <c r="B254" s="6" t="s">
        <v>61</v>
      </c>
      <c r="C254" s="984" t="e">
        <f>+D249*100/(D253*F250*F226)</f>
        <v>#REF!</v>
      </c>
      <c r="D254" s="442" t="s">
        <v>62</v>
      </c>
      <c r="E254" s="3"/>
      <c r="F254" s="9"/>
      <c r="G254" s="9"/>
      <c r="M254" s="9"/>
    </row>
    <row r="255" spans="2:13" ht="19.899999999999999" customHeight="1">
      <c r="F255" s="9"/>
      <c r="G255" s="9"/>
      <c r="M255" s="9"/>
    </row>
    <row r="256" spans="2:13" ht="19.899999999999999" customHeight="1">
      <c r="B256" s="978" t="s">
        <v>521</v>
      </c>
      <c r="D256" s="982"/>
      <c r="E256" s="3"/>
      <c r="F256" s="9"/>
      <c r="G256" s="9"/>
      <c r="M256" s="9"/>
    </row>
    <row r="257" spans="1:16" ht="19.899999999999999" customHeight="1">
      <c r="B257" s="2" t="s">
        <v>246</v>
      </c>
      <c r="D257" s="985">
        <f>IF(E241="&gt;= 2 Tính theo bản console",(F199*F240^2/2+(F194-F199)*F240^2/3)*1000,0)</f>
        <v>0</v>
      </c>
      <c r="E257" s="3" t="s">
        <v>247</v>
      </c>
      <c r="F257" s="9"/>
      <c r="G257" s="9"/>
      <c r="M257" s="9"/>
    </row>
    <row r="258" spans="1:16" ht="19.899999999999999" customHeight="1">
      <c r="B258" s="6" t="s">
        <v>42</v>
      </c>
      <c r="C258" s="10">
        <f>+D257*100/(E189*100*F226^2)</f>
        <v>0</v>
      </c>
      <c r="D258" s="2" t="s">
        <v>174</v>
      </c>
      <c r="E258" s="903" t="s">
        <v>539</v>
      </c>
      <c r="F258" s="983">
        <f>0.5*(1+SQRT(1-2*C258))</f>
        <v>1</v>
      </c>
      <c r="G258" s="9"/>
      <c r="M258" s="9"/>
    </row>
    <row r="259" spans="1:16" ht="19.899999999999999" customHeight="1">
      <c r="B259" s="2" t="s">
        <v>239</v>
      </c>
      <c r="E259" s="3"/>
      <c r="F259" s="9"/>
      <c r="G259" s="9"/>
      <c r="M259" s="9"/>
    </row>
    <row r="260" spans="1:16" ht="19.899999999999999" customHeight="1">
      <c r="B260" s="2" t="s">
        <v>244</v>
      </c>
      <c r="D260" s="2" t="str">
        <f>+D252</f>
        <v>AIII</v>
      </c>
      <c r="E260" s="3"/>
      <c r="F260" s="9"/>
      <c r="G260" s="9"/>
      <c r="M260" s="9"/>
    </row>
    <row r="261" spans="1:16" ht="19.899999999999999" customHeight="1">
      <c r="B261" s="2" t="s">
        <v>237</v>
      </c>
      <c r="D261" s="2">
        <f>IF(D260="AI",2250,IF(D260="AII",2800,IF(D260="AIII",3650,"nhóm cốt thép")))</f>
        <v>3650</v>
      </c>
      <c r="E261" s="3" t="s">
        <v>66</v>
      </c>
      <c r="F261" s="9"/>
      <c r="G261" s="9"/>
      <c r="M261" s="9"/>
    </row>
    <row r="262" spans="1:16" ht="19.899999999999999" customHeight="1">
      <c r="B262" s="6" t="s">
        <v>61</v>
      </c>
      <c r="C262" s="984">
        <f>+D257*100/(D261*F258*F226)</f>
        <v>0</v>
      </c>
      <c r="D262" s="442" t="s">
        <v>62</v>
      </c>
      <c r="E262" s="3"/>
      <c r="F262" s="9"/>
      <c r="G262" s="9"/>
      <c r="M262" s="9"/>
    </row>
    <row r="263" spans="1:16" ht="19.899999999999999" customHeight="1">
      <c r="B263" s="6"/>
      <c r="C263" s="10"/>
      <c r="D263" s="442"/>
      <c r="E263" s="3"/>
      <c r="F263" s="9"/>
      <c r="G263" s="9"/>
      <c r="M263" s="9"/>
    </row>
    <row r="264" spans="1:16" ht="19.899999999999999" customHeight="1">
      <c r="B264" s="2" t="s">
        <v>240</v>
      </c>
      <c r="C264" s="2" t="str">
        <f>C236</f>
        <v>12AIII   a  =</v>
      </c>
      <c r="D264" s="986">
        <v>200</v>
      </c>
      <c r="E264" s="3"/>
      <c r="F264" s="9"/>
      <c r="G264" s="9"/>
      <c r="M264" s="9"/>
    </row>
    <row r="265" spans="1:16" ht="19.899999999999999" customHeight="1">
      <c r="B265" s="3"/>
      <c r="C265" s="903" t="s">
        <v>58</v>
      </c>
      <c r="D265" s="442" t="str">
        <f>ROUND(VLOOKUP(VALUE(LEFT(C264,2)),$P$21:$S$41,4,0)*1000/D264,2) &amp;"  (cm²/m dài)"</f>
        <v>5.65  (cm²/m dài)</v>
      </c>
      <c r="E265" s="3"/>
      <c r="F265" s="9"/>
      <c r="G265" s="9"/>
      <c r="M265" s="9"/>
    </row>
    <row r="266" spans="1:16" ht="19.899999999999999" customHeight="1">
      <c r="A266" s="971" t="s">
        <v>518</v>
      </c>
      <c r="I266" s="981" t="e">
        <f>(F194+F204)*(2*K28+K16)/2*1000</f>
        <v>#REF!</v>
      </c>
      <c r="J266" s="4" t="s">
        <v>21</v>
      </c>
    </row>
    <row r="267" spans="1:16" ht="19.899999999999999" customHeight="1">
      <c r="J267" s="981"/>
    </row>
    <row r="268" spans="1:16" ht="19.899999999999999" customHeight="1">
      <c r="J268" s="981"/>
      <c r="M268" s="4" t="s">
        <v>155</v>
      </c>
      <c r="N268" s="977" t="e">
        <f>0.5*(K26+K16/2)^2*F199*2*1000</f>
        <v>#REF!</v>
      </c>
      <c r="O268" s="4" t="s">
        <v>159</v>
      </c>
      <c r="P268" s="11">
        <f>+K28+N272/2</f>
        <v>4.25</v>
      </c>
    </row>
    <row r="269" spans="1:16" ht="19.899999999999999" customHeight="1">
      <c r="J269" s="981"/>
      <c r="M269" s="4" t="s">
        <v>156</v>
      </c>
      <c r="N269" s="987" t="e">
        <f>0.5*(K26+K16/2)^2*0.5*(F194-F199)*2*1000</f>
        <v>#REF!</v>
      </c>
      <c r="O269" s="4" t="s">
        <v>160</v>
      </c>
      <c r="P269" s="11">
        <f>1/2*K28</f>
        <v>1.875</v>
      </c>
    </row>
    <row r="270" spans="1:16" ht="19.899999999999999" customHeight="1">
      <c r="J270" s="981"/>
      <c r="M270" s="4" t="s">
        <v>158</v>
      </c>
      <c r="N270" s="987" t="e">
        <f>+(K26+K16/2)*N272*F206*2*1000</f>
        <v>#REF!</v>
      </c>
      <c r="O270" s="4" t="s">
        <v>161</v>
      </c>
      <c r="P270" s="11">
        <f>2/3*K28</f>
        <v>2.5</v>
      </c>
    </row>
    <row r="271" spans="1:16" ht="19.899999999999999" customHeight="1">
      <c r="J271" s="981"/>
      <c r="L271" s="988"/>
      <c r="M271" s="4" t="s">
        <v>116</v>
      </c>
      <c r="N271" s="923">
        <f>+(K11-K8)/2-K16/2</f>
        <v>3.75</v>
      </c>
    </row>
    <row r="272" spans="1:16" ht="19.899999999999999" customHeight="1">
      <c r="J272" s="981"/>
      <c r="L272" s="988"/>
      <c r="M272" s="4" t="s">
        <v>157</v>
      </c>
      <c r="N272" s="11">
        <f>+K28-K26</f>
        <v>1</v>
      </c>
    </row>
    <row r="273" spans="2:14" ht="19.899999999999999" customHeight="1">
      <c r="J273" s="981"/>
      <c r="L273" s="988"/>
      <c r="M273" s="4" t="s">
        <v>162</v>
      </c>
      <c r="N273" s="977" t="e">
        <f>L277*L280^2*100*2/3</f>
        <v>#REF!</v>
      </c>
    </row>
    <row r="274" spans="2:14" ht="19.899999999999999" customHeight="1">
      <c r="J274" s="981"/>
      <c r="L274" s="988"/>
      <c r="M274" s="4" t="s">
        <v>162</v>
      </c>
      <c r="N274" s="989" t="e">
        <f>+(N268*P268+N269*P269+N270*P270)*100</f>
        <v>#REF!</v>
      </c>
    </row>
    <row r="275" spans="2:14" ht="19.899999999999999" customHeight="1">
      <c r="I275" s="981" t="e">
        <f>(F194+F205)*(K11-K20)*1000/4</f>
        <v>#REF!</v>
      </c>
      <c r="J275" s="4" t="s">
        <v>21</v>
      </c>
      <c r="L275" s="988"/>
    </row>
    <row r="276" spans="2:14" ht="19.899999999999999" customHeight="1">
      <c r="L276" s="988"/>
    </row>
    <row r="277" spans="2:14" ht="19.899999999999999" customHeight="1">
      <c r="J277" s="981"/>
      <c r="K277" s="4" t="s">
        <v>32</v>
      </c>
      <c r="L277" s="988" t="e">
        <f>I285</f>
        <v>#REF!</v>
      </c>
    </row>
    <row r="278" spans="2:14" ht="19.899999999999999" customHeight="1">
      <c r="J278" s="981"/>
      <c r="K278" s="4" t="s">
        <v>33</v>
      </c>
      <c r="L278" s="988" t="e">
        <f>I275</f>
        <v>#REF!</v>
      </c>
    </row>
    <row r="279" spans="2:14" ht="19.899999999999999" customHeight="1">
      <c r="J279" s="981"/>
      <c r="K279" s="4" t="s">
        <v>526</v>
      </c>
      <c r="L279" s="988">
        <f>K7</f>
        <v>4</v>
      </c>
    </row>
    <row r="280" spans="2:14" ht="19.899999999999999" customHeight="1">
      <c r="J280" s="981"/>
      <c r="K280" s="4" t="s">
        <v>527</v>
      </c>
      <c r="L280" s="988">
        <f>(K10-K7)/2</f>
        <v>3</v>
      </c>
    </row>
    <row r="281" spans="2:14" ht="19.899999999999999" customHeight="1">
      <c r="J281" s="981"/>
      <c r="K281" s="4" t="s">
        <v>34</v>
      </c>
      <c r="L281" s="988" t="e">
        <f>0.5*(L277*L280+L279*L278-L280*L278)</f>
        <v>#REF!</v>
      </c>
    </row>
    <row r="282" spans="2:14" ht="19.899999999999999" customHeight="1">
      <c r="J282" s="981"/>
    </row>
    <row r="283" spans="2:14" ht="19.899999999999999" customHeight="1">
      <c r="J283" s="981"/>
    </row>
    <row r="285" spans="2:14" ht="19.899999999999999" customHeight="1">
      <c r="E285" s="4"/>
      <c r="I285" s="981" t="e">
        <f>I266</f>
        <v>#REF!</v>
      </c>
      <c r="J285" s="4" t="s">
        <v>21</v>
      </c>
    </row>
    <row r="286" spans="2:14" ht="19.899999999999999" customHeight="1">
      <c r="B286" s="2" t="s">
        <v>238</v>
      </c>
      <c r="D286" s="4" t="s">
        <v>67</v>
      </c>
      <c r="E286" s="990" t="e">
        <f>+N274</f>
        <v>#REF!</v>
      </c>
      <c r="F286" s="2" t="s">
        <v>17</v>
      </c>
      <c r="H286" s="100"/>
      <c r="M286" s="977"/>
    </row>
    <row r="287" spans="2:14" ht="19.899999999999999" customHeight="1">
      <c r="B287" s="2" t="s">
        <v>248</v>
      </c>
      <c r="D287" s="4" t="s">
        <v>67</v>
      </c>
      <c r="E287" s="990" t="e">
        <f>(0.5*L281*L279-0.5*L277*L280*(2*L280/3+L279/2)-L278*(L280/2*(L280/3-L280+L279/2))-L278*(L279-2*L280)^2/8)*100</f>
        <v>#REF!</v>
      </c>
      <c r="F287" s="2" t="s">
        <v>17</v>
      </c>
      <c r="H287" s="100"/>
    </row>
    <row r="288" spans="2:14" ht="19.899999999999999" customHeight="1">
      <c r="B288" s="2" t="s">
        <v>249</v>
      </c>
      <c r="D288" s="4" t="s">
        <v>68</v>
      </c>
      <c r="E288" s="2">
        <f>100*K16</f>
        <v>50</v>
      </c>
      <c r="F288" s="2" t="s">
        <v>18</v>
      </c>
      <c r="G288" s="4"/>
      <c r="H288" s="4"/>
      <c r="I288" s="2" t="s">
        <v>189</v>
      </c>
      <c r="J288" s="2">
        <f>F225</f>
        <v>7.5</v>
      </c>
      <c r="K288" s="4" t="s">
        <v>18</v>
      </c>
    </row>
    <row r="289" spans="2:11" ht="19.899999999999999" customHeight="1">
      <c r="D289" s="4" t="s">
        <v>69</v>
      </c>
      <c r="E289" s="2">
        <f>100*K17</f>
        <v>100</v>
      </c>
      <c r="F289" s="2" t="s">
        <v>18</v>
      </c>
      <c r="G289" s="4"/>
      <c r="H289" s="4"/>
      <c r="I289" s="2" t="s">
        <v>70</v>
      </c>
      <c r="J289" s="2">
        <f>E289-J288-4</f>
        <v>88.5</v>
      </c>
      <c r="K289" s="4" t="s">
        <v>18</v>
      </c>
    </row>
    <row r="290" spans="2:11" ht="19.899999999999999" customHeight="1">
      <c r="B290" s="978" t="s">
        <v>250</v>
      </c>
      <c r="D290" s="4" t="s">
        <v>67</v>
      </c>
      <c r="E290" s="991" t="e">
        <f>+E286</f>
        <v>#REF!</v>
      </c>
      <c r="F290" s="2" t="s">
        <v>17</v>
      </c>
      <c r="G290" s="4"/>
      <c r="H290" s="4"/>
    </row>
    <row r="291" spans="2:11" ht="19.899999999999999" customHeight="1">
      <c r="D291" s="903" t="s">
        <v>544</v>
      </c>
      <c r="E291" s="419" t="e">
        <f>E286/($E$189*$E$288*$J$289^2)</f>
        <v>#REF!</v>
      </c>
      <c r="F291" s="2" t="s">
        <v>19</v>
      </c>
    </row>
    <row r="292" spans="2:11" ht="19.899999999999999" customHeight="1">
      <c r="D292" s="903" t="s">
        <v>545</v>
      </c>
      <c r="E292" s="992" t="e">
        <f>0.5*(1+SQRT(1-2*E291))</f>
        <v>#REF!</v>
      </c>
    </row>
    <row r="293" spans="2:11" ht="19.899999999999999" customHeight="1">
      <c r="E293" s="419"/>
    </row>
    <row r="294" spans="2:11" ht="19.899999999999999" customHeight="1">
      <c r="B294" s="2" t="s">
        <v>253</v>
      </c>
      <c r="D294" s="2" t="s">
        <v>56</v>
      </c>
    </row>
    <row r="295" spans="2:11" ht="19.899999999999999" customHeight="1">
      <c r="B295" s="2" t="s">
        <v>237</v>
      </c>
      <c r="D295" s="2">
        <f>IF(D294="AI",2250,IF(D294="AII",2800,IF(D294="AIII",3650,"nhóm cốt thép")))</f>
        <v>3650</v>
      </c>
      <c r="E295" s="419" t="s">
        <v>66</v>
      </c>
    </row>
    <row r="296" spans="2:11" ht="19.899999999999999" customHeight="1">
      <c r="C296" s="903" t="s">
        <v>58</v>
      </c>
      <c r="D296" s="993" t="e">
        <f>+E290/(D295*E292*$J$289)</f>
        <v>#REF!</v>
      </c>
      <c r="E296" s="2" t="s">
        <v>20</v>
      </c>
    </row>
    <row r="297" spans="2:11" ht="19.899999999999999" customHeight="1">
      <c r="D297" s="4"/>
      <c r="E297" s="419"/>
    </row>
    <row r="298" spans="2:11" ht="19.899999999999999" customHeight="1">
      <c r="B298" s="978" t="s">
        <v>252</v>
      </c>
      <c r="D298" s="4" t="s">
        <v>67</v>
      </c>
      <c r="E298" s="994" t="e">
        <f>+ABS(E287)</f>
        <v>#REF!</v>
      </c>
      <c r="F298" s="2" t="s">
        <v>17</v>
      </c>
    </row>
    <row r="299" spans="2:11" ht="19.899999999999999" customHeight="1">
      <c r="D299" s="903" t="s">
        <v>544</v>
      </c>
      <c r="E299" s="419" t="e">
        <f>E298/($E$189*$E$288*$J$289^2)</f>
        <v>#REF!</v>
      </c>
      <c r="F299" s="2" t="s">
        <v>19</v>
      </c>
    </row>
    <row r="300" spans="2:11" ht="19.899999999999999" customHeight="1">
      <c r="D300" s="903" t="s">
        <v>545</v>
      </c>
      <c r="E300" s="992" t="e">
        <f>0.5*(1+SQRT(1-2*E299))</f>
        <v>#REF!</v>
      </c>
    </row>
    <row r="301" spans="2:11" ht="19.899999999999999" customHeight="1">
      <c r="D301" s="903"/>
      <c r="E301" s="442"/>
    </row>
    <row r="302" spans="2:11" ht="19.899999999999999" customHeight="1">
      <c r="B302" s="2" t="s">
        <v>253</v>
      </c>
      <c r="D302" s="8" t="str">
        <f>J188</f>
        <v>AIII</v>
      </c>
      <c r="E302" s="442"/>
    </row>
    <row r="303" spans="2:11" ht="19.899999999999999" customHeight="1">
      <c r="B303" s="2" t="s">
        <v>237</v>
      </c>
      <c r="D303" s="2">
        <f>IF(D302="AI",2250,IF(D302="AII",2800,IF(D302="AIII",3650,"nhóm cốt thép")))</f>
        <v>3650</v>
      </c>
      <c r="E303" s="419" t="s">
        <v>66</v>
      </c>
    </row>
    <row r="304" spans="2:11" ht="19.899999999999999" customHeight="1">
      <c r="C304" s="903" t="s">
        <v>58</v>
      </c>
      <c r="D304" s="993" t="e">
        <f>+E298/(D303*E300*$J$289)</f>
        <v>#REF!</v>
      </c>
      <c r="E304" s="2" t="s">
        <v>20</v>
      </c>
    </row>
    <row r="305" spans="1:11" ht="19.899999999999999" customHeight="1">
      <c r="B305" s="2" t="s">
        <v>251</v>
      </c>
      <c r="C305" s="995" t="str">
        <f>"06"&amp;"Ø"&amp;20&amp;D302</f>
        <v>06Ø20AIII</v>
      </c>
      <c r="D305" s="903" t="s">
        <v>58</v>
      </c>
      <c r="E305" s="442" t="str">
        <f>+ROUND(LEFT(C305,2)*VLOOKUP(VALUE(MID(C305,4,2)),$P$21:$S$41,4,0),2)&amp;"  cm²"</f>
        <v>18.84  cm²</v>
      </c>
    </row>
    <row r="306" spans="1:11" ht="19.899999999999999" customHeight="1">
      <c r="B306" s="978" t="s">
        <v>291</v>
      </c>
      <c r="D306" s="903"/>
      <c r="E306" s="996"/>
    </row>
    <row r="307" spans="1:11" ht="19.899999999999999" customHeight="1">
      <c r="B307" s="2" t="s">
        <v>292</v>
      </c>
      <c r="D307" s="903"/>
      <c r="E307" s="996"/>
    </row>
    <row r="308" spans="1:11" ht="19.899999999999999" customHeight="1">
      <c r="C308" s="6" t="s">
        <v>79</v>
      </c>
      <c r="D308" s="997" t="e">
        <f>1/2*N270*G26</f>
        <v>#REF!</v>
      </c>
      <c r="E308" s="996" t="s">
        <v>21</v>
      </c>
    </row>
    <row r="309" spans="1:11" ht="19.899999999999999" customHeight="1">
      <c r="B309" s="2" t="s">
        <v>277</v>
      </c>
      <c r="C309" s="6"/>
      <c r="D309" s="997"/>
      <c r="E309" s="996"/>
    </row>
    <row r="310" spans="1:11" ht="19.899999999999999" customHeight="1">
      <c r="C310" s="6" t="s">
        <v>293</v>
      </c>
      <c r="D310" s="997">
        <f>0.6*E190*E288*J289</f>
        <v>19912.5</v>
      </c>
      <c r="E310" s="2" t="s">
        <v>300</v>
      </c>
      <c r="F310" s="8" t="e">
        <f>+IF(D310&gt;D308, "Bêtông đủ khả năng chịu cắt","Qc &lt; Q ==&gt; Tính cốt đai")</f>
        <v>#REF!</v>
      </c>
      <c r="G310" s="8"/>
      <c r="H310" s="8"/>
    </row>
    <row r="311" spans="1:11" ht="19.899999999999999" customHeight="1">
      <c r="B311" s="2" t="s">
        <v>294</v>
      </c>
      <c r="C311" s="998">
        <v>10</v>
      </c>
      <c r="D311" s="982" t="s">
        <v>295</v>
      </c>
      <c r="E311" s="2">
        <f>+C311*C311*3.14/4/100</f>
        <v>0.78500000000000003</v>
      </c>
      <c r="F311" s="2" t="s">
        <v>20</v>
      </c>
    </row>
    <row r="312" spans="1:11" ht="19.899999999999999" customHeight="1">
      <c r="B312" s="6" t="s">
        <v>296</v>
      </c>
      <c r="C312" s="998">
        <v>2</v>
      </c>
      <c r="D312" s="982" t="s">
        <v>297</v>
      </c>
      <c r="E312" s="8">
        <v>30</v>
      </c>
      <c r="F312" s="2" t="s">
        <v>18</v>
      </c>
    </row>
    <row r="313" spans="1:11" ht="19.899999999999999" customHeight="1">
      <c r="B313" s="6"/>
      <c r="C313" s="998"/>
      <c r="D313"/>
    </row>
    <row r="314" spans="1:11" ht="19.899999999999999" customHeight="1">
      <c r="B314" s="6"/>
      <c r="E314" s="999">
        <f>0.8*2300*C312*E311/E312</f>
        <v>96.293333333333337</v>
      </c>
      <c r="F314" s="442" t="s">
        <v>21</v>
      </c>
    </row>
    <row r="315" spans="1:11" ht="19.899999999999999" customHeight="1">
      <c r="B315" s="6"/>
      <c r="C315" s="998"/>
      <c r="D315" s="982"/>
    </row>
    <row r="316" spans="1:11" ht="19.899999999999999" customHeight="1">
      <c r="B316" s="6"/>
      <c r="C316" s="998"/>
      <c r="D316" s="982"/>
      <c r="E316" s="1000">
        <f>2.8*J289*SQRT(E190*E288*E314)</f>
        <v>47088.520601097669</v>
      </c>
      <c r="F316" s="442" t="s">
        <v>298</v>
      </c>
    </row>
    <row r="317" spans="1:11" ht="19.899999999999999" customHeight="1">
      <c r="C317" s="998"/>
      <c r="D317" s="982"/>
    </row>
    <row r="318" spans="1:11" ht="19.899999999999999" customHeight="1">
      <c r="B318" s="3" t="str">
        <f>+"Bố trí cốt đai Ø = "&amp;C311&amp;" ,n = "&amp;C312&amp;" nhánh, u =  "&amp;E312&amp;" cm"</f>
        <v>Bố trí cốt đai Ø = 10 ,n = 2 nhánh, u =  30 cm</v>
      </c>
      <c r="C318" s="998"/>
      <c r="D318" s="982"/>
    </row>
    <row r="319" spans="1:11" ht="19.899999999999999" customHeight="1">
      <c r="A319" s="971" t="s">
        <v>517</v>
      </c>
    </row>
    <row r="320" spans="1:11" ht="19.899999999999999" customHeight="1">
      <c r="B320" s="5" t="s">
        <v>258</v>
      </c>
      <c r="J320" s="100" t="e">
        <f>+ROUND(C322,2)</f>
        <v>#REF!</v>
      </c>
      <c r="K320" s="2" t="s">
        <v>3</v>
      </c>
    </row>
    <row r="321" spans="2:11" ht="19.899999999999999" customHeight="1">
      <c r="B321" s="2" t="s">
        <v>254</v>
      </c>
      <c r="E321" s="2" t="s">
        <v>255</v>
      </c>
    </row>
    <row r="322" spans="2:11" ht="19.899999999999999" customHeight="1">
      <c r="B322" s="6" t="s">
        <v>78</v>
      </c>
      <c r="C322" s="981" t="e">
        <f>#REF!</f>
        <v>#REF!</v>
      </c>
      <c r="D322" s="2" t="s">
        <v>3</v>
      </c>
      <c r="E322" s="6" t="s">
        <v>74</v>
      </c>
      <c r="F322" s="2">
        <f>K23*100</f>
        <v>70</v>
      </c>
      <c r="G322" s="3" t="s">
        <v>18</v>
      </c>
      <c r="I322" s="982" t="e">
        <f>+ROUND(C323,2)</f>
        <v>#REF!</v>
      </c>
      <c r="J322" s="2" t="s">
        <v>3</v>
      </c>
    </row>
    <row r="323" spans="2:11" ht="19.899999999999999" customHeight="1">
      <c r="B323" s="6" t="s">
        <v>79</v>
      </c>
      <c r="C323" s="981" t="e">
        <f>+#REF!</f>
        <v>#REF!</v>
      </c>
      <c r="D323" s="2" t="s">
        <v>3</v>
      </c>
      <c r="E323" s="6" t="s">
        <v>69</v>
      </c>
      <c r="F323" s="2">
        <f>+F322</f>
        <v>70</v>
      </c>
      <c r="G323" s="3" t="s">
        <v>18</v>
      </c>
      <c r="K323" s="1560">
        <f>F324</f>
        <v>250</v>
      </c>
    </row>
    <row r="324" spans="2:11" ht="19.899999999999999" customHeight="1">
      <c r="B324" s="2" t="s">
        <v>256</v>
      </c>
      <c r="E324" s="6" t="s">
        <v>75</v>
      </c>
      <c r="F324" s="2">
        <f>(K14-K17)*100</f>
        <v>250</v>
      </c>
      <c r="G324" s="3" t="s">
        <v>18</v>
      </c>
      <c r="K324" s="1560"/>
    </row>
    <row r="325" spans="2:11" ht="19.899999999999999" customHeight="1">
      <c r="B325" s="6" t="s">
        <v>67</v>
      </c>
      <c r="C325" s="981" t="e">
        <f>I322*F324/100</f>
        <v>#REF!</v>
      </c>
      <c r="D325" s="2" t="s">
        <v>4</v>
      </c>
      <c r="E325" s="6" t="s">
        <v>190</v>
      </c>
      <c r="F325" s="962">
        <v>7.5</v>
      </c>
      <c r="G325" s="2" t="s">
        <v>18</v>
      </c>
      <c r="I325" s="6"/>
      <c r="J325" s="6"/>
      <c r="K325" s="1560"/>
    </row>
    <row r="326" spans="2:11" ht="19.899999999999999" customHeight="1">
      <c r="B326" s="6" t="s">
        <v>191</v>
      </c>
      <c r="C326" s="981" t="e">
        <f>+C322*0.8</f>
        <v>#REF!</v>
      </c>
      <c r="D326" s="2" t="s">
        <v>3</v>
      </c>
      <c r="E326" s="6" t="s">
        <v>70</v>
      </c>
      <c r="F326" s="2">
        <f>F323-F325</f>
        <v>62.5</v>
      </c>
      <c r="G326" s="2" t="s">
        <v>18</v>
      </c>
      <c r="I326" s="6"/>
      <c r="J326" s="6"/>
      <c r="K326" s="1560"/>
    </row>
    <row r="327" spans="2:11" ht="19.899999999999999" customHeight="1">
      <c r="B327" s="6" t="s">
        <v>192</v>
      </c>
      <c r="C327" s="981" t="e">
        <f>+C325*0.8</f>
        <v>#REF!</v>
      </c>
      <c r="D327" s="2" t="s">
        <v>4</v>
      </c>
      <c r="E327" s="6"/>
      <c r="I327" s="6"/>
      <c r="J327" s="6"/>
      <c r="K327" s="1560"/>
    </row>
    <row r="328" spans="2:11" ht="19.899999999999999" customHeight="1">
      <c r="B328" s="3" t="s">
        <v>257</v>
      </c>
      <c r="F328" s="6"/>
      <c r="J328" s="6"/>
      <c r="K328" s="1560"/>
    </row>
    <row r="329" spans="2:11" ht="19.899999999999999" customHeight="1">
      <c r="B329" s="6" t="s">
        <v>193</v>
      </c>
      <c r="C329" s="2">
        <f>+MAX(F323/25,2)</f>
        <v>2.8</v>
      </c>
      <c r="D329" s="2" t="s">
        <v>18</v>
      </c>
      <c r="F329" s="6"/>
      <c r="J329" s="1561" t="s">
        <v>546</v>
      </c>
      <c r="K329" s="1561"/>
    </row>
    <row r="330" spans="2:11" ht="19.899999999999999" customHeight="1">
      <c r="B330" s="6"/>
      <c r="F330" s="6"/>
      <c r="J330" s="6"/>
    </row>
    <row r="331" spans="2:11" ht="19.899999999999999" customHeight="1">
      <c r="B331" s="6"/>
      <c r="F331" s="6"/>
      <c r="J331" s="6"/>
    </row>
    <row r="332" spans="2:11" ht="19.899999999999999" customHeight="1">
      <c r="B332" s="3" t="s">
        <v>259</v>
      </c>
      <c r="F332" s="4"/>
    </row>
    <row r="333" spans="2:11" ht="19.899999999999999" customHeight="1">
      <c r="B333" s="6" t="s">
        <v>194</v>
      </c>
      <c r="C333" s="981" t="e">
        <f>C325*100000/(C322*1000)</f>
        <v>#REF!</v>
      </c>
      <c r="D333" s="2" t="s">
        <v>18</v>
      </c>
    </row>
    <row r="334" spans="2:11" ht="19.899999999999999" customHeight="1">
      <c r="B334" s="2" t="s">
        <v>260</v>
      </c>
    </row>
    <row r="335" spans="2:11" ht="19.899999999999999" customHeight="1">
      <c r="B335" s="6" t="s">
        <v>195</v>
      </c>
      <c r="C335" s="100" t="e">
        <f>+C333+C329</f>
        <v>#REF!</v>
      </c>
      <c r="D335" s="2" t="s">
        <v>18</v>
      </c>
      <c r="E335" s="4"/>
    </row>
    <row r="336" spans="2:11" ht="19.899999999999999" customHeight="1">
      <c r="B336" s="6" t="s">
        <v>196</v>
      </c>
      <c r="C336" s="981" t="e">
        <f>+C335/F323</f>
        <v>#REF!</v>
      </c>
      <c r="F336" s="4"/>
    </row>
    <row r="337" spans="2:9" ht="19.899999999999999" customHeight="1">
      <c r="B337" s="3" t="s">
        <v>261</v>
      </c>
    </row>
    <row r="338" spans="2:9" ht="19.899999999999999" customHeight="1">
      <c r="B338" s="6" t="s">
        <v>80</v>
      </c>
      <c r="C338" s="10" t="e">
        <f>+IF(C336&lt;=0.05,0.84,IF(C336&gt;=5,0.122,0.11/(0.1+C336)+0.1))</f>
        <v>#REF!</v>
      </c>
    </row>
    <row r="339" spans="2:9" ht="19.899999999999999" customHeight="1">
      <c r="B339" s="3" t="s">
        <v>262</v>
      </c>
      <c r="F339" s="4"/>
    </row>
    <row r="340" spans="2:9" ht="19.899999999999999" customHeight="1">
      <c r="B340" s="6" t="s">
        <v>197</v>
      </c>
      <c r="C340" s="981" t="e">
        <f>1+(C327+C326*F323/(2*100))/(C325+C322*F323/(2*100))</f>
        <v>#REF!</v>
      </c>
      <c r="F340" s="4"/>
    </row>
    <row r="341" spans="2:9" ht="19.899999999999999" customHeight="1">
      <c r="B341" s="3" t="s">
        <v>263</v>
      </c>
      <c r="C341" s="6" t="s">
        <v>81</v>
      </c>
      <c r="D341" s="995">
        <v>2E-3</v>
      </c>
      <c r="I341" s="4"/>
    </row>
    <row r="342" spans="2:9" ht="19.899999999999999" customHeight="1">
      <c r="B342" s="2" t="s">
        <v>82</v>
      </c>
      <c r="C342" s="6" t="s">
        <v>198</v>
      </c>
      <c r="D342" s="991">
        <f>+D341*F322*F326*(0.5*F323-F325)^2</f>
        <v>6617.1875</v>
      </c>
      <c r="E342" s="2" t="s">
        <v>199</v>
      </c>
      <c r="F342" s="3" t="s">
        <v>200</v>
      </c>
      <c r="I342" s="4"/>
    </row>
    <row r="343" spans="2:9" ht="19.899999999999999" customHeight="1">
      <c r="C343" s="6" t="s">
        <v>201</v>
      </c>
      <c r="D343" s="991">
        <f>+(F322*F323^3)/12</f>
        <v>2000833.3333333333</v>
      </c>
      <c r="E343" s="2" t="s">
        <v>199</v>
      </c>
      <c r="F343" s="3" t="s">
        <v>202</v>
      </c>
      <c r="I343" s="4"/>
    </row>
    <row r="344" spans="2:9" ht="19.899999999999999" customHeight="1">
      <c r="C344" s="1001" t="s">
        <v>83</v>
      </c>
      <c r="D344" s="8">
        <f>2.1*1000000</f>
        <v>2100000</v>
      </c>
      <c r="E344" s="2" t="s">
        <v>85</v>
      </c>
      <c r="I344" s="4"/>
    </row>
    <row r="345" spans="2:9" ht="19.899999999999999" customHeight="1">
      <c r="C345" s="1001" t="s">
        <v>84</v>
      </c>
      <c r="D345" s="8">
        <v>240000</v>
      </c>
      <c r="E345" s="2" t="s">
        <v>85</v>
      </c>
      <c r="I345" s="4"/>
    </row>
    <row r="346" spans="2:9" ht="19.899999999999999" customHeight="1">
      <c r="B346" s="2" t="s">
        <v>264</v>
      </c>
      <c r="I346" s="4"/>
    </row>
    <row r="347" spans="2:9" ht="19.899999999999999" customHeight="1">
      <c r="I347" s="4"/>
    </row>
    <row r="348" spans="2:9" ht="19.899999999999999" customHeight="1">
      <c r="D348" s="6" t="s">
        <v>6</v>
      </c>
      <c r="E348" s="981" t="e">
        <f>+(6.4/F324^2)*((C338/C340)*D345*D343+D344*D342)/1000</f>
        <v>#REF!</v>
      </c>
      <c r="F348" s="2" t="s">
        <v>3</v>
      </c>
      <c r="I348" s="4"/>
    </row>
    <row r="349" spans="2:9" ht="19.899999999999999" customHeight="1">
      <c r="I349" s="4"/>
    </row>
    <row r="350" spans="2:9" ht="19.899999999999999" customHeight="1">
      <c r="B350" s="2" t="s">
        <v>265</v>
      </c>
      <c r="D350" s="6" t="s">
        <v>6</v>
      </c>
      <c r="E350" s="1002" t="e">
        <f>1/(1-C322/E348)</f>
        <v>#REF!</v>
      </c>
      <c r="I350" s="4"/>
    </row>
    <row r="351" spans="2:9" ht="19.899999999999999" customHeight="1">
      <c r="I351" s="4"/>
    </row>
    <row r="352" spans="2:9" ht="19.899999999999999" customHeight="1">
      <c r="I352" s="4"/>
    </row>
    <row r="353" spans="2:18" ht="19.899999999999999" customHeight="1">
      <c r="B353" s="2" t="s">
        <v>266</v>
      </c>
      <c r="D353" s="6" t="s">
        <v>76</v>
      </c>
      <c r="E353" s="100" t="e">
        <f>+E350*C335+F323/2-F325</f>
        <v>#REF!</v>
      </c>
      <c r="F353" s="2" t="s">
        <v>18</v>
      </c>
      <c r="G353" s="2" t="s">
        <v>203</v>
      </c>
      <c r="I353" s="4"/>
    </row>
    <row r="354" spans="2:18" ht="19.899999999999999" customHeight="1">
      <c r="D354" s="6" t="s">
        <v>77</v>
      </c>
      <c r="E354" s="100" t="e">
        <f>ABS(E350*C335-F323/2+F325)</f>
        <v>#REF!</v>
      </c>
      <c r="G354" s="2" t="s">
        <v>204</v>
      </c>
    </row>
    <row r="355" spans="2:18" ht="19.899999999999999" customHeight="1">
      <c r="B355" s="2" t="s">
        <v>267</v>
      </c>
      <c r="D355" s="6" t="s">
        <v>86</v>
      </c>
      <c r="E355" s="981" t="e">
        <f>+C322*1000/(E189*F322)</f>
        <v>#REF!</v>
      </c>
      <c r="F355" s="2" t="s">
        <v>18</v>
      </c>
      <c r="H355" s="100"/>
    </row>
    <row r="356" spans="2:18" ht="19.899999999999999" customHeight="1">
      <c r="D356" s="6" t="s">
        <v>205</v>
      </c>
      <c r="E356" s="100">
        <f>0.62*F326</f>
        <v>38.75</v>
      </c>
      <c r="F356" s="2" t="s">
        <v>18</v>
      </c>
      <c r="G356" s="973" t="s">
        <v>65</v>
      </c>
      <c r="H356" s="3" t="e">
        <f>+IF(E355&lt;=E356,"x&lt;αoho ","x&gt;αoho")</f>
        <v>#REF!</v>
      </c>
    </row>
    <row r="357" spans="2:18" ht="19.899999999999999" customHeight="1">
      <c r="C357" s="974" t="s">
        <v>65</v>
      </c>
      <c r="D357" s="3" t="e">
        <f>+IF(E355&lt;=E356,"Xảy ra trường hợp nén lệch tâm lớn","Xảy ra trường hợp nén lệch tâm bé ")</f>
        <v>#REF!</v>
      </c>
      <c r="E357" s="100"/>
      <c r="H357" s="100"/>
    </row>
    <row r="358" spans="2:18" ht="19.899999999999999" customHeight="1">
      <c r="B358" s="429" t="s">
        <v>268</v>
      </c>
      <c r="C358" s="974"/>
      <c r="D358" s="3"/>
      <c r="E358" s="100"/>
      <c r="H358" s="100"/>
      <c r="K358" s="111"/>
      <c r="L358" s="1003"/>
      <c r="N358" s="11"/>
      <c r="Q358" s="11"/>
      <c r="R358" s="11"/>
    </row>
    <row r="359" spans="2:18" ht="19.899999999999999" customHeight="1">
      <c r="B359" s="2" t="s">
        <v>272</v>
      </c>
      <c r="D359" s="2" t="str">
        <f>+D302</f>
        <v>AIII</v>
      </c>
      <c r="E359" s="100"/>
      <c r="H359" s="100"/>
      <c r="N359" s="11"/>
      <c r="Q359" s="11"/>
      <c r="R359" s="11"/>
    </row>
    <row r="360" spans="2:18" ht="19.899999999999999" customHeight="1">
      <c r="B360" s="2" t="s">
        <v>237</v>
      </c>
      <c r="D360" s="2">
        <f>IF(D359="AI",2250,IF(D359="AII",2800,IF(D359="AIII",3650,"nhóm cốt thép")))</f>
        <v>3650</v>
      </c>
      <c r="E360" s="100" t="s">
        <v>66</v>
      </c>
      <c r="H360" s="100"/>
      <c r="N360" s="11"/>
      <c r="Q360" s="11"/>
      <c r="R360" s="11"/>
    </row>
    <row r="361" spans="2:18" ht="19.899999999999999" customHeight="1">
      <c r="C361" s="2" t="e">
        <f>+IF(E355&gt;2*F325,"x&gt;2a' ==&gt;","x&lt;2a' ==&gt;")</f>
        <v>#REF!</v>
      </c>
      <c r="D361" s="3" t="e">
        <f>+IF(E355&gt;2*F325,"Fa = F'a = N(e-ho+0.5x)/(R'a(ho-a'))","Fa = F'a = Ne'/(Ra(ho-a'))")</f>
        <v>#REF!</v>
      </c>
      <c r="E361" s="100"/>
      <c r="H361" s="100"/>
      <c r="N361" s="11"/>
      <c r="Q361" s="11"/>
      <c r="R361" s="11"/>
    </row>
    <row r="362" spans="2:18" ht="19.899999999999999" customHeight="1">
      <c r="D362" s="6" t="s">
        <v>87</v>
      </c>
      <c r="E362" s="1004" t="e">
        <f>+IF(E355&gt;2*F325,C322*1000*(E353-F326+0.5*E355)/(D360*(F326-F325)),C322*1000*E354/(D360*(F326-F325)))</f>
        <v>#REF!</v>
      </c>
      <c r="F362" s="2" t="s">
        <v>20</v>
      </c>
      <c r="H362" s="100"/>
      <c r="N362" s="11"/>
      <c r="Q362" s="11"/>
      <c r="R362" s="11"/>
    </row>
    <row r="363" spans="2:18" ht="19.899999999999999" customHeight="1">
      <c r="B363" s="1005" t="s">
        <v>269</v>
      </c>
      <c r="C363" s="1006" t="s">
        <v>88</v>
      </c>
      <c r="D363" s="1007" t="e">
        <f>+E362*2/(F322*F326)</f>
        <v>#REF!</v>
      </c>
      <c r="E363" s="1008" t="s">
        <v>270</v>
      </c>
      <c r="F363" s="1005"/>
      <c r="G363" s="1009" t="s">
        <v>81</v>
      </c>
      <c r="H363" s="1007" t="e">
        <f>+D363/2+D341/2</f>
        <v>#REF!</v>
      </c>
      <c r="L363" s="1003"/>
      <c r="M363" s="1010"/>
      <c r="N363" s="1011"/>
      <c r="P363" s="11"/>
      <c r="Q363" s="1010"/>
      <c r="R363" s="1010"/>
    </row>
    <row r="364" spans="2:18" ht="19.899999999999999" customHeight="1">
      <c r="B364" s="1012" t="s">
        <v>271</v>
      </c>
      <c r="C364" s="1013"/>
      <c r="D364" s="1014"/>
      <c r="E364" s="1015"/>
      <c r="F364" s="1016"/>
      <c r="G364" s="1016"/>
      <c r="H364" s="1015"/>
      <c r="K364" s="111"/>
      <c r="L364" s="1003"/>
      <c r="N364" s="11"/>
      <c r="Q364" s="11"/>
      <c r="R364" s="11"/>
    </row>
    <row r="365" spans="2:18" ht="19.899999999999999" customHeight="1">
      <c r="B365" s="1016" t="s">
        <v>272</v>
      </c>
      <c r="C365" s="1016"/>
      <c r="D365" s="1016" t="str">
        <f>+D359</f>
        <v>AIII</v>
      </c>
      <c r="E365" s="1015"/>
      <c r="F365" s="1016"/>
      <c r="G365" s="1016"/>
      <c r="H365" s="1015"/>
      <c r="N365" s="11"/>
      <c r="Q365" s="11"/>
      <c r="R365" s="11"/>
    </row>
    <row r="366" spans="2:18" ht="19.899999999999999" customHeight="1">
      <c r="B366" s="1016" t="s">
        <v>237</v>
      </c>
      <c r="C366" s="1016"/>
      <c r="D366" s="2">
        <f>IF(D365="AI",2250,IF(D365="AII",2800,IF(D365="AIII",3650,"Nhóm cốt thép")))</f>
        <v>3650</v>
      </c>
      <c r="E366" s="1015" t="s">
        <v>66</v>
      </c>
      <c r="F366" s="1016"/>
      <c r="G366" s="1016"/>
      <c r="H366" s="1015"/>
      <c r="N366" s="11"/>
      <c r="Q366" s="11"/>
      <c r="R366" s="11"/>
    </row>
    <row r="367" spans="2:18" ht="19.899999999999999" customHeight="1">
      <c r="B367" s="1016"/>
      <c r="C367" s="1017" t="s">
        <v>206</v>
      </c>
      <c r="D367" s="1014">
        <f>0.4*(1.25*F323-0.62*F326)</f>
        <v>19.5</v>
      </c>
      <c r="E367" s="1015" t="s">
        <v>18</v>
      </c>
      <c r="F367" s="1016" t="s">
        <v>207</v>
      </c>
      <c r="G367" s="1016"/>
      <c r="H367" s="1015"/>
      <c r="N367" s="11"/>
      <c r="Q367" s="11"/>
      <c r="R367" s="11"/>
    </row>
    <row r="368" spans="2:18" ht="19.899999999999999" customHeight="1">
      <c r="B368" s="1016"/>
      <c r="C368" s="1017" t="s">
        <v>208</v>
      </c>
      <c r="D368" s="1018" t="e">
        <f>+E350*C335</f>
        <v>#REF!</v>
      </c>
      <c r="E368" s="1015" t="s">
        <v>18</v>
      </c>
      <c r="F368" s="1016"/>
      <c r="G368" s="1016"/>
      <c r="H368" s="1015"/>
      <c r="M368" s="9"/>
      <c r="N368" s="11"/>
      <c r="Q368" s="11"/>
      <c r="R368" s="11"/>
    </row>
    <row r="369" spans="2:18" ht="19.899999999999999" customHeight="1">
      <c r="B369" s="1016"/>
      <c r="C369" s="1017" t="s">
        <v>209</v>
      </c>
      <c r="D369" s="1018">
        <f>0.2*F326</f>
        <v>12.5</v>
      </c>
      <c r="E369" s="1015" t="s">
        <v>18</v>
      </c>
      <c r="F369" s="1016"/>
      <c r="G369" s="1015"/>
      <c r="H369" s="1019"/>
      <c r="M369" s="9"/>
      <c r="N369" s="11"/>
      <c r="P369" s="11"/>
      <c r="Q369" s="1010"/>
      <c r="R369" s="1010"/>
    </row>
    <row r="370" spans="2:18" ht="19.899999999999999" customHeight="1">
      <c r="B370" s="1016" t="s">
        <v>89</v>
      </c>
      <c r="C370" s="1016" t="e">
        <f>+IF(D368&lt;=D369," ηeo &lt;0.2ho ","ηeo &gt; 0.2ho ")</f>
        <v>#REF!</v>
      </c>
      <c r="D370" s="1013" t="s">
        <v>65</v>
      </c>
      <c r="E370" s="1020" t="e">
        <f>+IF(D368&lt;=D369,"x' = h-(1.8+0.5h/ho-1.4αo)ηαo","x' = 1.8(eogh-ηeo)+αoho")</f>
        <v>#REF!</v>
      </c>
      <c r="F370" s="1016"/>
      <c r="G370" s="1015"/>
      <c r="H370" s="1019"/>
      <c r="M370" s="903"/>
      <c r="N370" s="903"/>
      <c r="P370" s="11"/>
      <c r="Q370" s="1010"/>
      <c r="R370" s="1010"/>
    </row>
    <row r="371" spans="2:18" ht="19.899999999999999" customHeight="1">
      <c r="B371" s="1016"/>
      <c r="C371" s="1017" t="s">
        <v>90</v>
      </c>
      <c r="D371" s="1021" t="e">
        <f>+IF(D368&lt;=D369,F323-(1.8+0.5*F323/F326-1.4*0.62)*E350*C335,1.8*(D367-D368)+0.62*F326)</f>
        <v>#REF!</v>
      </c>
      <c r="E371" s="1015" t="s">
        <v>18</v>
      </c>
      <c r="F371" s="1016"/>
      <c r="G371" s="1015"/>
      <c r="H371" s="1019"/>
      <c r="M371" s="997"/>
      <c r="N371" s="11"/>
      <c r="P371" s="11"/>
      <c r="Q371" s="1010"/>
      <c r="R371" s="1010"/>
    </row>
    <row r="372" spans="2:18" ht="19.899999999999999" customHeight="1">
      <c r="B372" s="1016" t="s">
        <v>91</v>
      </c>
      <c r="C372" s="1562" t="s">
        <v>92</v>
      </c>
      <c r="D372" s="1563" t="s">
        <v>93</v>
      </c>
      <c r="E372" s="1563"/>
      <c r="F372" s="1022"/>
      <c r="G372" s="1015"/>
      <c r="H372" s="1019"/>
      <c r="L372" s="1554"/>
      <c r="M372" s="1564"/>
      <c r="N372" s="1564"/>
      <c r="P372" s="11"/>
      <c r="Q372" s="1010"/>
      <c r="R372" s="1010"/>
    </row>
    <row r="373" spans="2:18" ht="19.899999999999999" customHeight="1">
      <c r="B373" s="1016"/>
      <c r="C373" s="1562"/>
      <c r="D373" s="1565" t="s">
        <v>94</v>
      </c>
      <c r="E373" s="1565"/>
      <c r="F373" s="1016"/>
      <c r="G373" s="1015"/>
      <c r="H373" s="1019"/>
      <c r="L373" s="1554"/>
      <c r="M373" s="1564"/>
      <c r="N373" s="1564"/>
      <c r="P373" s="11"/>
      <c r="Q373" s="1010"/>
      <c r="R373" s="1010"/>
    </row>
    <row r="374" spans="2:18" ht="19.899999999999999" customHeight="1">
      <c r="B374" s="1016"/>
      <c r="C374" s="1023" t="s">
        <v>92</v>
      </c>
      <c r="D374" s="1024" t="e">
        <f>+(C322*1000*E353-E189*F322*D371*(F326-0.5*D371))/(D366*(F326-F325))</f>
        <v>#REF!</v>
      </c>
      <c r="E374" s="1022" t="s">
        <v>20</v>
      </c>
      <c r="F374" s="1015"/>
      <c r="G374" s="1015"/>
      <c r="H374" s="1015"/>
      <c r="J374" s="4"/>
      <c r="L374" s="448"/>
      <c r="M374" s="9"/>
      <c r="O374" s="11"/>
      <c r="P374" s="11"/>
      <c r="Q374" s="11"/>
      <c r="R374" s="11"/>
    </row>
    <row r="375" spans="2:18" ht="19.899999999999999" customHeight="1">
      <c r="B375" s="1016"/>
      <c r="C375" s="1013" t="s">
        <v>88</v>
      </c>
      <c r="D375" s="1025" t="e">
        <f>+D374*2/(F322*F326)</f>
        <v>#REF!</v>
      </c>
      <c r="E375" s="1026" t="s">
        <v>270</v>
      </c>
      <c r="F375" s="1016"/>
      <c r="G375" s="1027" t="s">
        <v>81</v>
      </c>
      <c r="H375" s="1028" t="e">
        <f>+D375/2+D341/2</f>
        <v>#REF!</v>
      </c>
      <c r="J375" s="4"/>
      <c r="L375" s="1003"/>
      <c r="M375" s="1010"/>
      <c r="N375" s="1011"/>
      <c r="P375" s="11"/>
      <c r="Q375" s="1010"/>
      <c r="R375" s="1010"/>
    </row>
    <row r="376" spans="2:18" ht="19.899999999999999" customHeight="1">
      <c r="B376" s="1016"/>
      <c r="C376" s="1013"/>
      <c r="D376" s="1025"/>
      <c r="E376" s="1026"/>
      <c r="F376" s="1016"/>
      <c r="G376" s="1027"/>
      <c r="H376" s="1028"/>
      <c r="J376" s="4"/>
      <c r="L376" s="1003"/>
      <c r="M376" s="1010"/>
      <c r="N376" s="1011"/>
      <c r="P376" s="11"/>
      <c r="Q376" s="1010"/>
      <c r="R376" s="1010"/>
    </row>
    <row r="377" spans="2:18" ht="19.899999999999999" customHeight="1">
      <c r="B377" s="1016"/>
      <c r="C377" s="1013"/>
      <c r="D377" s="1025"/>
      <c r="E377" s="1026"/>
      <c r="F377" s="1016"/>
      <c r="G377" s="1027"/>
      <c r="H377" s="1028"/>
      <c r="J377" s="4"/>
      <c r="L377" s="1003"/>
      <c r="M377" s="1010"/>
      <c r="N377" s="1011"/>
      <c r="P377" s="11"/>
      <c r="Q377" s="1010"/>
      <c r="R377" s="1010"/>
    </row>
    <row r="378" spans="2:18" ht="19.899999999999999" customHeight="1">
      <c r="B378" s="1016"/>
      <c r="C378" s="1013"/>
      <c r="D378" s="1025"/>
      <c r="E378" s="1026"/>
      <c r="F378" s="1016"/>
      <c r="G378" s="1027"/>
      <c r="H378" s="1028"/>
      <c r="J378" s="4"/>
      <c r="L378" s="1003"/>
      <c r="M378" s="1010"/>
      <c r="N378" s="1011"/>
      <c r="P378" s="11"/>
      <c r="Q378" s="1010"/>
      <c r="R378" s="1010"/>
    </row>
    <row r="379" spans="2:18" ht="19.899999999999999" customHeight="1">
      <c r="B379" s="1016"/>
      <c r="C379" s="1013"/>
      <c r="D379" s="1025"/>
      <c r="E379" s="1026"/>
      <c r="F379" s="1016"/>
      <c r="G379" s="1027"/>
      <c r="H379" s="1028"/>
      <c r="J379" s="4"/>
      <c r="L379" s="1003"/>
      <c r="M379" s="1010"/>
      <c r="N379" s="1011"/>
      <c r="P379" s="11"/>
      <c r="Q379" s="1010"/>
      <c r="R379" s="1010"/>
    </row>
    <row r="380" spans="2:18" ht="19.899999999999999" customHeight="1">
      <c r="B380" s="5" t="s">
        <v>273</v>
      </c>
      <c r="J380" s="970" t="e">
        <f>+ROUND(C382,2) &amp;" (T)"</f>
        <v>#REF!</v>
      </c>
    </row>
    <row r="381" spans="2:18" ht="19.899999999999999" customHeight="1">
      <c r="B381" s="2" t="s">
        <v>254</v>
      </c>
    </row>
    <row r="382" spans="2:18" ht="19.899999999999999" customHeight="1">
      <c r="B382" s="6" t="s">
        <v>78</v>
      </c>
      <c r="C382" s="100" t="e">
        <f>#REF!</f>
        <v>#REF!</v>
      </c>
      <c r="D382" s="2" t="s">
        <v>3</v>
      </c>
      <c r="E382" s="6"/>
      <c r="I382" s="4" t="e">
        <f>ROUND(I322,2)&amp;" (T)"</f>
        <v>#REF!</v>
      </c>
    </row>
    <row r="383" spans="2:18" ht="19.899999999999999" customHeight="1">
      <c r="B383" s="6" t="s">
        <v>79</v>
      </c>
      <c r="C383" s="2" t="e">
        <f>+#REF!</f>
        <v>#REF!</v>
      </c>
      <c r="D383" s="2" t="s">
        <v>3</v>
      </c>
      <c r="E383" s="6"/>
      <c r="J383" s="1558">
        <f>K323</f>
        <v>250</v>
      </c>
    </row>
    <row r="384" spans="2:18" ht="19.899999999999999" customHeight="1">
      <c r="B384" s="2" t="s">
        <v>256</v>
      </c>
      <c r="E384" s="6"/>
      <c r="J384" s="1558"/>
    </row>
    <row r="385" spans="2:10" ht="19.899999999999999" customHeight="1">
      <c r="B385" s="6" t="s">
        <v>67</v>
      </c>
      <c r="C385" s="994" t="e">
        <f>+C383*F324/100</f>
        <v>#REF!</v>
      </c>
      <c r="D385" s="2" t="s">
        <v>4</v>
      </c>
      <c r="E385" s="6"/>
      <c r="J385" s="1558"/>
    </row>
    <row r="386" spans="2:10" ht="19.899999999999999" customHeight="1">
      <c r="B386" s="2" t="s">
        <v>274</v>
      </c>
      <c r="J386" s="1558"/>
    </row>
    <row r="387" spans="2:10" ht="19.899999999999999" customHeight="1">
      <c r="C387" s="6" t="s">
        <v>95</v>
      </c>
      <c r="D387" s="981" t="e">
        <f>+C385/C382*100</f>
        <v>#REF!</v>
      </c>
      <c r="E387" s="2" t="s">
        <v>18</v>
      </c>
      <c r="F387" s="3" t="s">
        <v>96</v>
      </c>
      <c r="J387" s="1558"/>
    </row>
    <row r="388" spans="2:10" ht="19.899999999999999" customHeight="1">
      <c r="C388" s="6" t="s">
        <v>97</v>
      </c>
      <c r="D388" s="2">
        <f>0.5*F323-F325</f>
        <v>27.5</v>
      </c>
      <c r="E388" s="2" t="s">
        <v>18</v>
      </c>
    </row>
    <row r="389" spans="2:10" ht="19.899999999999999" customHeight="1">
      <c r="C389" s="974" t="s">
        <v>65</v>
      </c>
      <c r="D389" s="2" t="e">
        <f>+IF(D387&lt;=D388,"eo &lt; 0.5h-a  Lệch tâm bé","eo &gt; ho-a  Lệch tâm lớn")</f>
        <v>#REF!</v>
      </c>
      <c r="J389" s="4" t="s">
        <v>546</v>
      </c>
    </row>
    <row r="390" spans="2:10" ht="19.899999999999999" customHeight="1">
      <c r="B390" s="429" t="s">
        <v>275</v>
      </c>
    </row>
    <row r="391" spans="2:10" ht="19.899999999999999" customHeight="1">
      <c r="B391" s="429"/>
      <c r="C391" s="6" t="s">
        <v>98</v>
      </c>
      <c r="D391" s="981" t="e">
        <f>0.5*F323-D387-F325</f>
        <v>#REF!</v>
      </c>
      <c r="E391" s="2" t="s">
        <v>18</v>
      </c>
      <c r="F391" s="2" t="s">
        <v>105</v>
      </c>
    </row>
    <row r="392" spans="2:10" ht="19.899999999999999" customHeight="1">
      <c r="B392" s="429"/>
      <c r="C392" s="6" t="s">
        <v>99</v>
      </c>
      <c r="D392" s="981" t="e">
        <f>0.5*F323+D387-F325</f>
        <v>#REF!</v>
      </c>
      <c r="E392" s="2" t="s">
        <v>18</v>
      </c>
      <c r="F392" s="2" t="s">
        <v>106</v>
      </c>
    </row>
    <row r="393" spans="2:10" ht="19.899999999999999" customHeight="1">
      <c r="B393" s="2" t="s">
        <v>272</v>
      </c>
      <c r="D393" s="2" t="str">
        <f>+D365</f>
        <v>AIII</v>
      </c>
      <c r="E393" s="100"/>
    </row>
    <row r="394" spans="2:10" ht="19.899999999999999" customHeight="1">
      <c r="B394" s="2" t="s">
        <v>237</v>
      </c>
      <c r="D394" s="2">
        <f>IF(D393="AI",2250,IF(D393="AII",2800,IF(D393="AIII",3650,"Nhoùm coát theùp")))</f>
        <v>3650</v>
      </c>
      <c r="E394" s="100" t="s">
        <v>66</v>
      </c>
    </row>
    <row r="395" spans="2:10" ht="19.899999999999999" customHeight="1">
      <c r="B395" s="429"/>
      <c r="C395" s="1551" t="s">
        <v>100</v>
      </c>
      <c r="D395" s="854" t="s">
        <v>101</v>
      </c>
      <c r="E395" s="1552" t="s">
        <v>6</v>
      </c>
      <c r="F395" s="1553" t="e">
        <f>+C382*1000*D391/(D394*(F326-F325))</f>
        <v>#REF!</v>
      </c>
      <c r="G395" s="1554" t="s">
        <v>20</v>
      </c>
      <c r="H395" s="1554"/>
    </row>
    <row r="396" spans="2:10" ht="19.899999999999999" customHeight="1">
      <c r="C396" s="1551"/>
      <c r="D396" s="4" t="s">
        <v>94</v>
      </c>
      <c r="E396" s="1552"/>
      <c r="F396" s="1553"/>
      <c r="G396" s="1554"/>
      <c r="H396" s="1554"/>
    </row>
    <row r="397" spans="2:10" ht="19.899999999999999" customHeight="1">
      <c r="C397" s="1551" t="s">
        <v>102</v>
      </c>
      <c r="D397" s="854" t="s">
        <v>103</v>
      </c>
      <c r="E397" s="1552" t="s">
        <v>6</v>
      </c>
      <c r="F397" s="1553" t="e">
        <f>+C382*1000*D392/(D394*(F326-F325))*1.05</f>
        <v>#REF!</v>
      </c>
      <c r="G397" s="1554" t="s">
        <v>20</v>
      </c>
      <c r="H397" s="448"/>
    </row>
    <row r="398" spans="2:10" ht="19.899999999999999" customHeight="1">
      <c r="C398" s="1551"/>
      <c r="D398" s="4" t="s">
        <v>104</v>
      </c>
      <c r="E398" s="1552"/>
      <c r="F398" s="1553"/>
      <c r="G398" s="1554"/>
      <c r="H398" s="448"/>
    </row>
    <row r="399" spans="2:10" ht="19.899999999999999" customHeight="1">
      <c r="B399" s="1029" t="s">
        <v>278</v>
      </c>
      <c r="C399" s="1030"/>
      <c r="D399" s="1031"/>
      <c r="E399" s="1032"/>
      <c r="F399" s="1032"/>
      <c r="G399" s="1033"/>
      <c r="H399" s="1033"/>
    </row>
    <row r="400" spans="2:10" ht="19.899999999999999" customHeight="1">
      <c r="B400" s="1029"/>
      <c r="C400" s="1030" t="s">
        <v>98</v>
      </c>
      <c r="D400" s="1034" t="e">
        <f>+D387-0.5*F323+F325</f>
        <v>#REF!</v>
      </c>
      <c r="E400" s="1033" t="s">
        <v>18</v>
      </c>
      <c r="F400" s="1035" t="s">
        <v>107</v>
      </c>
      <c r="G400" s="1033"/>
      <c r="H400" s="1033"/>
    </row>
    <row r="401" spans="1:22" ht="19.899999999999999" customHeight="1">
      <c r="B401" s="1035"/>
      <c r="C401" s="1036" t="s">
        <v>99</v>
      </c>
      <c r="D401" s="1037" t="e">
        <f>+D387+0.5*F326-F325</f>
        <v>#REF!</v>
      </c>
      <c r="E401" s="1033" t="s">
        <v>18</v>
      </c>
      <c r="F401" s="1035" t="s">
        <v>109</v>
      </c>
      <c r="G401" s="1035"/>
      <c r="H401" s="1033"/>
    </row>
    <row r="402" spans="1:22" ht="19.899999999999999" customHeight="1">
      <c r="B402" s="1035" t="s">
        <v>272</v>
      </c>
      <c r="C402" s="1035"/>
      <c r="D402" s="1035" t="str">
        <f>+D294</f>
        <v>AIII</v>
      </c>
      <c r="E402" s="1035"/>
      <c r="F402" s="1035"/>
      <c r="G402" s="1035"/>
      <c r="H402" s="1033"/>
    </row>
    <row r="403" spans="1:22" ht="19.899999999999999" customHeight="1">
      <c r="B403" s="1035" t="s">
        <v>237</v>
      </c>
      <c r="C403" s="1035"/>
      <c r="D403" s="2">
        <f>IF(D402="AI",2250,IF(D402="AII",2800,IF(D402="AIII",3650,"Nhoùm coát theùp")))</f>
        <v>3650</v>
      </c>
      <c r="E403" s="1038" t="s">
        <v>66</v>
      </c>
      <c r="F403" s="1035"/>
      <c r="G403" s="1035"/>
      <c r="H403" s="1033"/>
    </row>
    <row r="404" spans="1:22" ht="19.899999999999999" customHeight="1">
      <c r="B404" s="1035"/>
      <c r="C404" s="1555" t="s">
        <v>108</v>
      </c>
      <c r="D404" s="1039" t="s">
        <v>103</v>
      </c>
      <c r="E404" s="1555" t="s">
        <v>6</v>
      </c>
      <c r="F404" s="1556" t="e">
        <f>+C382*1000*D401/(D403*(F326-F325))</f>
        <v>#REF!</v>
      </c>
      <c r="G404" s="1555" t="s">
        <v>20</v>
      </c>
      <c r="H404" s="1033"/>
    </row>
    <row r="405" spans="1:22" ht="19.899999999999999" customHeight="1">
      <c r="B405" s="1035"/>
      <c r="C405" s="1555"/>
      <c r="D405" s="1031" t="s">
        <v>110</v>
      </c>
      <c r="E405" s="1555"/>
      <c r="F405" s="1557"/>
      <c r="G405" s="1555"/>
      <c r="H405" s="1033"/>
    </row>
    <row r="406" spans="1:22" ht="19.899999999999999" customHeight="1">
      <c r="B406" s="2" t="s">
        <v>251</v>
      </c>
      <c r="C406" s="8" t="str">
        <f>"08"&amp;"Ø"&amp;20&amp;D402</f>
        <v>08Ø20AIII</v>
      </c>
      <c r="D406" s="903" t="s">
        <v>547</v>
      </c>
      <c r="E406" s="9" t="str">
        <f>+ROUND(LEFT(C406,2)*VLOOKUP(VALUE(MID(C406,4,2)),$P$21:$S$41,4,0),2)&amp;"  cm²"</f>
        <v>25.12  cm²</v>
      </c>
    </row>
    <row r="407" spans="1:22" ht="19.899999999999999" customHeight="1">
      <c r="A407" s="971" t="s">
        <v>516</v>
      </c>
    </row>
    <row r="408" spans="1:22" ht="19.899999999999999" customHeight="1">
      <c r="B408" s="2" t="s">
        <v>276</v>
      </c>
      <c r="C408" s="100" t="e">
        <f>+C323</f>
        <v>#REF!</v>
      </c>
      <c r="D408" s="2" t="s">
        <v>3</v>
      </c>
    </row>
    <row r="409" spans="1:22" ht="19.899999999999999" customHeight="1">
      <c r="B409" s="2" t="s">
        <v>277</v>
      </c>
    </row>
    <row r="410" spans="1:22" ht="19.899999999999999" customHeight="1">
      <c r="B410" s="6" t="s">
        <v>210</v>
      </c>
      <c r="C410" s="100">
        <f>0.6*E190*F322*F326/1000</f>
        <v>19.6875</v>
      </c>
      <c r="D410" s="2" t="s">
        <v>3</v>
      </c>
    </row>
    <row r="411" spans="1:22" ht="19.899999999999999" customHeight="1">
      <c r="B411" s="974" t="s">
        <v>65</v>
      </c>
      <c r="C411" s="2" t="e">
        <f>+IF(C410&gt;C408, "Qc &gt; Q  ==&gt; Bêtông đủ khả năng chịu cắt","Qc &lt; Q ==&gt; Tính cốt đai")</f>
        <v>#REF!</v>
      </c>
    </row>
    <row r="412" spans="1:22" ht="19.899999999999999" customHeight="1">
      <c r="C412" s="2" t="e">
        <f>+IF(C410&gt;C408," Chỉ đặt cốt đai theo cấu tạo","Tính cột đai")</f>
        <v>#REF!</v>
      </c>
    </row>
    <row r="414" spans="1:22" ht="19.899999999999999" customHeight="1">
      <c r="I414" s="437"/>
    </row>
    <row r="415" spans="1:22" ht="19.899999999999999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7"/>
      <c r="L415" s="25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1:22" ht="19.899999999999999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7"/>
      <c r="L416" s="25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1:22" ht="19.899999999999999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7"/>
      <c r="L417" s="25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1:22" ht="19.899999999999999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7"/>
      <c r="L418" s="25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1:22" ht="19.899999999999999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7"/>
      <c r="L419" s="25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1:22" ht="19.899999999999999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7"/>
      <c r="L420" s="25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1:22" ht="19.899999999999999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7"/>
      <c r="L421" s="25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1:22" ht="19.899999999999999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7"/>
      <c r="L422" s="25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1:22" ht="19.899999999999999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7"/>
      <c r="L423" s="25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1:22" ht="19.899999999999999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7"/>
      <c r="L424" s="25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1:22" ht="19.899999999999999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7"/>
      <c r="L425" s="25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1:22" ht="19.899999999999999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7"/>
      <c r="L426" s="25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1:22" ht="19.899999999999999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7"/>
      <c r="L427" s="25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1:22" ht="19.899999999999999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7"/>
      <c r="L428" s="25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1:22" ht="19.899999999999999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7"/>
      <c r="L429" s="25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1:22" ht="19.899999999999999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7"/>
      <c r="L430" s="25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1:22" ht="19.899999999999999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7"/>
      <c r="L431" s="25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1:22" ht="19.899999999999999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7"/>
      <c r="L432" s="25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1:22" ht="19.899999999999999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7"/>
      <c r="L433" s="25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1:22" ht="19.899999999999999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7"/>
      <c r="L434" s="25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1:22" ht="19.899999999999999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7"/>
      <c r="L435" s="25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1:22" ht="19.899999999999999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7"/>
      <c r="L436" s="25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1:22" ht="19.899999999999999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7"/>
      <c r="L437" s="25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1:22" ht="19.899999999999999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7"/>
      <c r="L438" s="25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1:22" ht="19.899999999999999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7"/>
      <c r="L439" s="25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1:22" ht="19.899999999999999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7"/>
      <c r="L440" s="25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1:22" ht="19.899999999999999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7"/>
      <c r="L441" s="25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1:22" ht="19.899999999999999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7"/>
      <c r="L442" s="25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1:22" ht="19.899999999999999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7"/>
      <c r="L443" s="25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1:22" ht="19.899999999999999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7"/>
      <c r="L444" s="25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1:22" ht="19.899999999999999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7"/>
      <c r="L445" s="25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1:22" ht="19.899999999999999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7"/>
      <c r="L446" s="25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1:22" ht="19.899999999999999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7"/>
      <c r="L447" s="25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1:22" ht="19.899999999999999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7"/>
      <c r="L448" s="25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1:41" ht="19.899999999999999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7"/>
      <c r="L449" s="25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1:41" ht="19.899999999999999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7"/>
      <c r="L450" s="25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1:41" ht="19.899999999999999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7"/>
      <c r="L451" s="25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1:41" ht="19.899999999999999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7"/>
      <c r="L452" s="25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1:41" ht="19.899999999999999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7"/>
      <c r="L453" s="25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1:41" ht="19.899999999999999" customHeight="1" thickBo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7"/>
      <c r="L454" s="25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1:41" ht="19.899999999999999" customHeight="1" thickBo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7"/>
      <c r="M455" s="62"/>
      <c r="N455" s="1040"/>
      <c r="O455" s="41"/>
      <c r="P455" s="41"/>
      <c r="Q455" s="41"/>
      <c r="R455" s="41"/>
      <c r="S455" s="41"/>
      <c r="T455" s="41"/>
      <c r="U455" s="41"/>
      <c r="V455" s="41"/>
      <c r="W455" s="1041" t="s">
        <v>422</v>
      </c>
      <c r="X455" s="1041" t="s">
        <v>423</v>
      </c>
      <c r="Y455" s="1042" t="s">
        <v>303</v>
      </c>
      <c r="Z455" s="1042" t="s">
        <v>424</v>
      </c>
      <c r="AA455" s="1534" t="s">
        <v>425</v>
      </c>
      <c r="AB455" s="1535"/>
      <c r="AC455" s="1536"/>
      <c r="AD455" s="63"/>
      <c r="AE455" s="41"/>
      <c r="AF455" s="41"/>
      <c r="AG455" s="64"/>
      <c r="AH455" s="17"/>
      <c r="AI455" s="13"/>
      <c r="AJ455" s="13"/>
      <c r="AK455" s="13"/>
      <c r="AL455" s="13"/>
      <c r="AM455" s="13"/>
      <c r="AN455" s="13"/>
      <c r="AO455" s="13"/>
    </row>
    <row r="456" spans="1:41" ht="19.899999999999999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7"/>
      <c r="M456" s="65"/>
      <c r="N456" s="1043"/>
      <c r="O456" s="17"/>
      <c r="P456" s="1044"/>
      <c r="Q456" s="17"/>
      <c r="R456" s="17"/>
      <c r="S456" s="1045" t="s">
        <v>436</v>
      </c>
      <c r="T456" s="1046"/>
      <c r="U456" s="17"/>
      <c r="V456" s="17"/>
      <c r="W456" s="1047"/>
      <c r="X456" s="1047"/>
      <c r="Y456" s="1048"/>
      <c r="Z456" s="1049"/>
      <c r="AA456" s="1049" t="s">
        <v>426</v>
      </c>
      <c r="AB456" s="1049" t="s">
        <v>427</v>
      </c>
      <c r="AC456" s="1049" t="s">
        <v>428</v>
      </c>
      <c r="AE456" s="17"/>
      <c r="AF456" s="17"/>
      <c r="AG456" s="31"/>
      <c r="AH456" s="17"/>
      <c r="AI456" s="13"/>
      <c r="AJ456" s="13"/>
      <c r="AK456" s="13"/>
      <c r="AL456" s="13"/>
      <c r="AM456" s="13"/>
      <c r="AN456" s="13"/>
      <c r="AO456" s="13"/>
    </row>
    <row r="457" spans="1:41" ht="19.899999999999999" customHeight="1" thickBo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7"/>
      <c r="M457" s="65"/>
      <c r="N457" s="1043" t="s">
        <v>301</v>
      </c>
      <c r="O457" s="17"/>
      <c r="P457" s="1050" t="str">
        <f>+O459&amp;" - "&amp;O460&amp;" x "&amp;Q460</f>
        <v>4 - 10 x 12</v>
      </c>
      <c r="Q457" s="17"/>
      <c r="R457" s="1051"/>
      <c r="S457" s="1052">
        <f>+D236</f>
        <v>200</v>
      </c>
      <c r="T457" s="1053">
        <f>+D264</f>
        <v>200</v>
      </c>
      <c r="U457" s="17"/>
      <c r="V457" s="17"/>
      <c r="W457" s="1047">
        <v>160</v>
      </c>
      <c r="X457" s="1047">
        <v>140</v>
      </c>
      <c r="Y457" s="1054" t="s">
        <v>429</v>
      </c>
      <c r="Z457" s="1055">
        <v>21.43</v>
      </c>
      <c r="AA457" s="1055">
        <f t="shared" ref="AA457:AA463" si="23">Z457*8</f>
        <v>171.44</v>
      </c>
      <c r="AB457" s="1055">
        <f>+AA457*2</f>
        <v>342.88</v>
      </c>
      <c r="AC457" s="1055">
        <f>AA457*3</f>
        <v>514.31999999999994</v>
      </c>
      <c r="AE457" s="17"/>
      <c r="AF457" s="17"/>
      <c r="AG457" s="31"/>
      <c r="AH457" s="17"/>
      <c r="AI457" s="13"/>
      <c r="AJ457" s="13"/>
      <c r="AK457" s="13"/>
      <c r="AL457" s="13"/>
      <c r="AM457" s="13"/>
      <c r="AN457" s="13"/>
      <c r="AO457" s="13"/>
    </row>
    <row r="458" spans="1:41" ht="19.899999999999999" customHeight="1" thickBo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7"/>
      <c r="M458" s="65"/>
      <c r="N458" s="17"/>
      <c r="O458" s="17"/>
      <c r="P458" s="17"/>
      <c r="Q458" s="17"/>
      <c r="R458" s="17"/>
      <c r="S458" s="17"/>
      <c r="T458" s="17"/>
      <c r="U458" s="17"/>
      <c r="V458" s="17"/>
      <c r="W458" s="1047"/>
      <c r="X458" s="1047"/>
      <c r="Y458" s="1054" t="s">
        <v>430</v>
      </c>
      <c r="Z458" s="1055">
        <v>21.65</v>
      </c>
      <c r="AA458" s="1055">
        <f>Z458*4</f>
        <v>86.6</v>
      </c>
      <c r="AB458" s="1055">
        <f t="shared" ref="AB458:AB467" si="24">+AA458*2</f>
        <v>173.2</v>
      </c>
      <c r="AC458" s="1055">
        <f t="shared" ref="AC458:AC467" si="25">AA458*3</f>
        <v>259.79999999999995</v>
      </c>
      <c r="AE458" s="17"/>
      <c r="AF458" s="17"/>
      <c r="AG458" s="31"/>
      <c r="AH458" s="17"/>
      <c r="AI458" s="13"/>
      <c r="AJ458" s="13"/>
      <c r="AK458" s="13"/>
      <c r="AL458" s="13"/>
      <c r="AM458" s="13"/>
      <c r="AN458" s="13"/>
      <c r="AO458" s="13"/>
    </row>
    <row r="459" spans="1:41" ht="19.899999999999999" customHeight="1" thickBo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7"/>
      <c r="M459" s="65"/>
      <c r="N459" s="1537" t="s">
        <v>302</v>
      </c>
      <c r="O459" s="1056">
        <f>+K7</f>
        <v>4</v>
      </c>
      <c r="P459" s="1057" t="s">
        <v>35</v>
      </c>
      <c r="Q459" s="1058">
        <f>+O459</f>
        <v>4</v>
      </c>
      <c r="R459" s="64" t="s">
        <v>0</v>
      </c>
      <c r="S459" s="17"/>
      <c r="T459" s="30" t="s">
        <v>303</v>
      </c>
      <c r="U459" s="30" t="s">
        <v>304</v>
      </c>
      <c r="V459" s="17"/>
      <c r="W459" s="1047">
        <v>180</v>
      </c>
      <c r="X459" s="1047">
        <v>160</v>
      </c>
      <c r="Y459" s="1054" t="s">
        <v>431</v>
      </c>
      <c r="Z459" s="1055">
        <v>30.44</v>
      </c>
      <c r="AA459" s="1055">
        <f t="shared" si="23"/>
        <v>243.52</v>
      </c>
      <c r="AB459" s="1055">
        <f t="shared" si="24"/>
        <v>487.04</v>
      </c>
      <c r="AC459" s="1055">
        <f t="shared" si="25"/>
        <v>730.56000000000006</v>
      </c>
      <c r="AE459" s="17"/>
      <c r="AF459" s="17"/>
      <c r="AG459" s="66"/>
      <c r="AH459" s="17"/>
      <c r="AI459" s="13"/>
      <c r="AJ459" s="13"/>
      <c r="AK459" s="13"/>
      <c r="AL459" s="13"/>
      <c r="AM459" s="13"/>
      <c r="AN459" s="13"/>
      <c r="AO459" s="13"/>
    </row>
    <row r="460" spans="1:41" ht="19.899999999999999" customHeight="1" thickBo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7"/>
      <c r="M460" s="65"/>
      <c r="N460" s="1538"/>
      <c r="O460" s="1056">
        <f>+K10</f>
        <v>10</v>
      </c>
      <c r="P460" s="1057" t="s">
        <v>35</v>
      </c>
      <c r="Q460" s="1059">
        <f>+K11</f>
        <v>12</v>
      </c>
      <c r="R460" s="31" t="s">
        <v>0</v>
      </c>
      <c r="S460" s="17"/>
      <c r="T460" s="1051" t="s">
        <v>420</v>
      </c>
      <c r="U460" s="1060">
        <f>+SUMIF(Y457:Y467,T460,AA457:AA467)</f>
        <v>356.16</v>
      </c>
      <c r="V460" s="17"/>
      <c r="W460" s="1047"/>
      <c r="X460" s="1047"/>
      <c r="Y460" s="1054" t="s">
        <v>432</v>
      </c>
      <c r="Z460" s="1055">
        <v>30.55</v>
      </c>
      <c r="AA460" s="1055">
        <f>Z460*4</f>
        <v>122.2</v>
      </c>
      <c r="AB460" s="1055">
        <f t="shared" si="24"/>
        <v>244.4</v>
      </c>
      <c r="AC460" s="1055">
        <f t="shared" si="25"/>
        <v>366.6</v>
      </c>
      <c r="AD460" s="17"/>
      <c r="AE460" s="17"/>
      <c r="AF460" s="17"/>
      <c r="AG460" s="67"/>
      <c r="AH460" s="17"/>
      <c r="AI460" s="13"/>
      <c r="AJ460" s="13"/>
      <c r="AK460" s="13"/>
      <c r="AL460" s="13"/>
      <c r="AM460" s="13"/>
      <c r="AN460" s="13"/>
      <c r="AO460" s="13"/>
    </row>
    <row r="461" spans="1:41" ht="19.899999999999999" customHeight="1" thickBo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7"/>
      <c r="M461" s="65"/>
      <c r="N461" s="1539"/>
      <c r="O461" s="1056">
        <f>+K20</f>
        <v>1</v>
      </c>
      <c r="P461" s="1057" t="s">
        <v>35</v>
      </c>
      <c r="Q461" s="1061">
        <f>+O461</f>
        <v>1</v>
      </c>
      <c r="R461" s="1062" t="s">
        <v>0</v>
      </c>
      <c r="S461" s="1063" t="s">
        <v>305</v>
      </c>
      <c r="T461" s="1063" t="s">
        <v>306</v>
      </c>
      <c r="U461" s="17"/>
      <c r="V461" s="17"/>
      <c r="W461" s="1047">
        <v>200</v>
      </c>
      <c r="X461" s="1047">
        <v>180</v>
      </c>
      <c r="Y461" s="1054" t="s">
        <v>420</v>
      </c>
      <c r="Z461" s="1055">
        <v>44.52</v>
      </c>
      <c r="AA461" s="1055">
        <f t="shared" si="23"/>
        <v>356.16</v>
      </c>
      <c r="AB461" s="1055">
        <f t="shared" si="24"/>
        <v>712.32</v>
      </c>
      <c r="AC461" s="1055">
        <f t="shared" si="25"/>
        <v>1068.48</v>
      </c>
      <c r="AD461" s="17"/>
      <c r="AE461" s="17"/>
      <c r="AF461" s="17"/>
      <c r="AG461" s="68"/>
      <c r="AH461" s="17"/>
      <c r="AI461" s="23"/>
      <c r="AJ461" s="24"/>
      <c r="AK461" s="24"/>
      <c r="AL461" s="24"/>
      <c r="AM461" s="24"/>
      <c r="AN461" s="13"/>
      <c r="AO461" s="13"/>
    </row>
    <row r="462" spans="1:41" ht="19.899999999999999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7"/>
      <c r="M462" s="65"/>
      <c r="N462" s="1064" t="s">
        <v>307</v>
      </c>
      <c r="O462" s="1065">
        <f>+K19</f>
        <v>0.35</v>
      </c>
      <c r="P462" s="1066" t="s">
        <v>0</v>
      </c>
      <c r="Q462" s="1067" t="s">
        <v>308</v>
      </c>
      <c r="R462" s="1068"/>
      <c r="S462" s="1069" t="s">
        <v>309</v>
      </c>
      <c r="T462" s="1070" t="s">
        <v>310</v>
      </c>
      <c r="U462" s="17"/>
      <c r="V462" s="17"/>
      <c r="W462" s="1047"/>
      <c r="X462" s="1047"/>
      <c r="Y462" s="1054" t="s">
        <v>433</v>
      </c>
      <c r="Z462" s="1055">
        <v>44.63</v>
      </c>
      <c r="AA462" s="1055">
        <f>Z462*4</f>
        <v>178.52</v>
      </c>
      <c r="AB462" s="1055">
        <f t="shared" si="24"/>
        <v>357.04</v>
      </c>
      <c r="AC462" s="1055">
        <f>AA462*3</f>
        <v>535.56000000000006</v>
      </c>
      <c r="AD462" s="17"/>
      <c r="AE462" s="17"/>
      <c r="AF462" s="17"/>
      <c r="AG462" s="31"/>
      <c r="AH462" s="17"/>
      <c r="AI462" s="13"/>
      <c r="AJ462" s="13"/>
      <c r="AK462" s="13"/>
      <c r="AL462" s="13"/>
      <c r="AM462" s="13"/>
      <c r="AN462" s="13"/>
      <c r="AO462" s="13"/>
    </row>
    <row r="463" spans="1:41" ht="19.899999999999999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7"/>
      <c r="M463" s="65"/>
      <c r="N463" s="1071" t="s">
        <v>311</v>
      </c>
      <c r="O463" s="1072">
        <f>+K17</f>
        <v>1</v>
      </c>
      <c r="P463" s="1073" t="s">
        <v>0</v>
      </c>
      <c r="Q463" s="16" t="s">
        <v>312</v>
      </c>
      <c r="R463" s="1074" t="s">
        <v>313</v>
      </c>
      <c r="S463" s="1074">
        <f>+IF(S457&lt;=85,S457*3/1000,IF(S457&lt;=125,S457*2/1000,S457/1000))</f>
        <v>0.2</v>
      </c>
      <c r="T463" s="1074">
        <f>+IF(T457&lt;=85,T457*3/1000,IF(T457&lt;=125,T457*2/1000,T457/1000))</f>
        <v>0.2</v>
      </c>
      <c r="U463" s="25" t="s">
        <v>0</v>
      </c>
      <c r="V463" s="17"/>
      <c r="W463" s="1047"/>
      <c r="X463" s="1047"/>
      <c r="Y463" s="1054" t="s">
        <v>434</v>
      </c>
      <c r="Z463" s="1055">
        <v>63.15</v>
      </c>
      <c r="AA463" s="1055">
        <f t="shared" si="23"/>
        <v>505.2</v>
      </c>
      <c r="AB463" s="1055">
        <f t="shared" si="24"/>
        <v>1010.4</v>
      </c>
      <c r="AC463" s="1055">
        <f t="shared" si="25"/>
        <v>1515.6</v>
      </c>
      <c r="AD463" s="17"/>
      <c r="AE463" s="17"/>
      <c r="AF463" s="17"/>
      <c r="AG463" s="31"/>
      <c r="AH463" s="17"/>
      <c r="AI463" s="13"/>
      <c r="AJ463" s="13"/>
      <c r="AK463" s="13"/>
      <c r="AL463" s="13"/>
      <c r="AM463" s="13"/>
      <c r="AN463" s="13"/>
      <c r="AO463" s="13"/>
    </row>
    <row r="464" spans="1:41" ht="19.899999999999999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7"/>
      <c r="M464" s="65"/>
      <c r="N464" s="1071" t="s">
        <v>314</v>
      </c>
      <c r="O464" s="1072">
        <f>+K14</f>
        <v>3.5</v>
      </c>
      <c r="P464" s="1073" t="s">
        <v>0</v>
      </c>
      <c r="Q464" s="16"/>
      <c r="R464" s="1074" t="s">
        <v>315</v>
      </c>
      <c r="S464" s="1074">
        <f>+S463</f>
        <v>0.2</v>
      </c>
      <c r="T464" s="32">
        <f>+T463</f>
        <v>0.2</v>
      </c>
      <c r="U464" s="25" t="s">
        <v>0</v>
      </c>
      <c r="V464" s="17"/>
      <c r="W464" s="1047">
        <v>200</v>
      </c>
      <c r="X464" s="1047">
        <v>180</v>
      </c>
      <c r="Y464" s="1054">
        <v>56</v>
      </c>
      <c r="Z464" s="1055">
        <v>31.12</v>
      </c>
      <c r="AA464" s="1055">
        <f>Z464*16</f>
        <v>497.92</v>
      </c>
      <c r="AB464" s="1055">
        <f t="shared" si="24"/>
        <v>995.84</v>
      </c>
      <c r="AC464" s="1055">
        <f t="shared" si="25"/>
        <v>1493.76</v>
      </c>
      <c r="AD464" s="17"/>
      <c r="AE464" s="17"/>
      <c r="AF464" s="17"/>
      <c r="AG464" s="31"/>
      <c r="AH464" s="17"/>
      <c r="AI464" s="13"/>
      <c r="AJ464" s="13"/>
      <c r="AK464" s="13"/>
      <c r="AL464" s="13"/>
      <c r="AM464" s="13"/>
      <c r="AN464" s="13"/>
      <c r="AO464" s="13"/>
    </row>
    <row r="465" spans="1:41" ht="19.899999999999999" customHeight="1" thickBo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7"/>
      <c r="M465" s="65"/>
      <c r="N465" s="1071" t="s">
        <v>316</v>
      </c>
      <c r="O465" s="1072">
        <f>+K23</f>
        <v>0.7</v>
      </c>
      <c r="P465" s="1073" t="s">
        <v>0</v>
      </c>
      <c r="Q465" s="1075" t="s">
        <v>317</v>
      </c>
      <c r="R465" s="1076"/>
      <c r="S465" s="1077">
        <v>0</v>
      </c>
      <c r="T465" s="1078">
        <v>0</v>
      </c>
      <c r="U465" s="17"/>
      <c r="V465" s="17"/>
      <c r="W465" s="1047">
        <v>220</v>
      </c>
      <c r="X465" s="1047">
        <v>200</v>
      </c>
      <c r="Y465" s="1054">
        <v>64</v>
      </c>
      <c r="Z465" s="1055">
        <v>44.03</v>
      </c>
      <c r="AA465" s="1055">
        <f>Z465*16</f>
        <v>704.48</v>
      </c>
      <c r="AB465" s="1055">
        <f t="shared" si="24"/>
        <v>1408.96</v>
      </c>
      <c r="AC465" s="1055">
        <f t="shared" si="25"/>
        <v>2113.44</v>
      </c>
      <c r="AD465" s="17"/>
      <c r="AE465" s="17"/>
      <c r="AF465" s="17"/>
      <c r="AG465" s="31"/>
      <c r="AH465" s="17"/>
      <c r="AI465" s="13"/>
      <c r="AJ465" s="13"/>
      <c r="AK465" s="13"/>
      <c r="AL465" s="13"/>
      <c r="AM465" s="13"/>
      <c r="AN465" s="13"/>
      <c r="AO465" s="13"/>
    </row>
    <row r="466" spans="1:41" ht="19.899999999999999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7"/>
      <c r="M466" s="65"/>
      <c r="N466" s="1071" t="s">
        <v>318</v>
      </c>
      <c r="O466" s="1072">
        <f>+K16</f>
        <v>0.5</v>
      </c>
      <c r="P466" s="1073" t="s">
        <v>0</v>
      </c>
      <c r="Q466" s="1079" t="s">
        <v>319</v>
      </c>
      <c r="R466" s="19"/>
      <c r="S466" s="1080">
        <f>+IF(O466&lt;=1,IF(O466&lt;=0.8,IF(O466&lt;=0.6,IF(O466&lt;=0.5,IF(O466&lt;=0.4,IF(O466&lt;=0.35,0.115,0.14),0.19),0.25),0.335),0.435),"NO")</f>
        <v>0.19</v>
      </c>
      <c r="T466" s="17"/>
      <c r="U466" s="17"/>
      <c r="V466" s="17"/>
      <c r="W466" s="1047">
        <v>250</v>
      </c>
      <c r="X466" s="1047">
        <v>250</v>
      </c>
      <c r="Y466" s="1054">
        <v>72</v>
      </c>
      <c r="Z466" s="1055">
        <v>58.01</v>
      </c>
      <c r="AA466" s="1055">
        <f>Z466*16</f>
        <v>928.16</v>
      </c>
      <c r="AB466" s="1055">
        <f t="shared" si="24"/>
        <v>1856.32</v>
      </c>
      <c r="AC466" s="1055">
        <f t="shared" si="25"/>
        <v>2784.48</v>
      </c>
      <c r="AD466" s="17"/>
      <c r="AE466" s="17"/>
      <c r="AF466" s="17"/>
      <c r="AG466" s="31"/>
      <c r="AH466" s="17"/>
      <c r="AI466" s="13"/>
      <c r="AJ466" s="13"/>
      <c r="AK466" s="13"/>
      <c r="AL466" s="13"/>
      <c r="AM466" s="13"/>
      <c r="AN466" s="13"/>
      <c r="AO466" s="13"/>
    </row>
    <row r="467" spans="1:41" ht="19.899999999999999" customHeight="1" thickBo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7"/>
      <c r="M467" s="65"/>
      <c r="N467" s="1071" t="s">
        <v>320</v>
      </c>
      <c r="O467" s="1072">
        <f>+K21</f>
        <v>0.35</v>
      </c>
      <c r="P467" s="1073" t="s">
        <v>0</v>
      </c>
      <c r="Q467" s="1081" t="s">
        <v>321</v>
      </c>
      <c r="R467" s="1082"/>
      <c r="S467" s="1083">
        <f>+T467</f>
        <v>0</v>
      </c>
      <c r="T467" s="17">
        <f>+IF(OR(O463-O462=1,O463-O462=1.1,O463-O462=1.2),8,IF(OR(O463-O462=0.9,O463-O462=0.8,O463-O462=0.7,O463-O462=0.6),4,0))</f>
        <v>0</v>
      </c>
      <c r="U467" s="17" t="s">
        <v>322</v>
      </c>
      <c r="V467" s="17"/>
      <c r="W467" s="1084">
        <v>250</v>
      </c>
      <c r="X467" s="1084">
        <v>250</v>
      </c>
      <c r="Y467" s="1085">
        <v>80</v>
      </c>
      <c r="Z467" s="1086">
        <v>77.37</v>
      </c>
      <c r="AA467" s="1086">
        <f>Z467*16</f>
        <v>1237.92</v>
      </c>
      <c r="AB467" s="1086">
        <f t="shared" si="24"/>
        <v>2475.84</v>
      </c>
      <c r="AC467" s="1086">
        <f t="shared" si="25"/>
        <v>3713.76</v>
      </c>
      <c r="AD467" s="17"/>
      <c r="AE467" s="17"/>
      <c r="AF467" s="17"/>
      <c r="AG467" s="31"/>
      <c r="AH467" s="17"/>
      <c r="AI467" s="13"/>
      <c r="AJ467" s="14"/>
      <c r="AK467" s="14"/>
      <c r="AL467" s="13"/>
      <c r="AM467" s="13"/>
      <c r="AN467" s="13"/>
      <c r="AO467" s="13"/>
    </row>
    <row r="468" spans="1:41" ht="19.899999999999999" customHeight="1" thickBo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7"/>
      <c r="M468" s="65"/>
      <c r="N468" s="1087" t="s">
        <v>53</v>
      </c>
      <c r="O468" s="1088">
        <v>7.4999999999999997E-2</v>
      </c>
      <c r="P468" s="1089" t="s">
        <v>0</v>
      </c>
      <c r="Q468" s="1090" t="s">
        <v>323</v>
      </c>
      <c r="R468" s="1091">
        <v>0</v>
      </c>
      <c r="S468" s="1092">
        <f>+((ROUND(((Y478-W478)/2-2*O468-O466/2)/0.3-0.3,0)+1)*2+(ROUND((W478-O466-2*O468)/0.3-0.3,0)+1)+(ROUND(((X478-V478)/2-2*O468-O466/2)/0.3-0.3,0)+1)*2+(ROUND((V478-O466-2*O468)/0.3-0.3,0)+1))*2</f>
        <v>136</v>
      </c>
      <c r="T468" s="1093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31"/>
      <c r="AH468" s="17"/>
      <c r="AI468" s="13"/>
      <c r="AJ468" s="14"/>
      <c r="AK468" s="14"/>
      <c r="AL468" s="13"/>
      <c r="AM468" s="13"/>
      <c r="AN468" s="13"/>
      <c r="AO468" s="13"/>
    </row>
    <row r="469" spans="1:41" ht="19.899999999999999" customHeight="1" thickBo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7"/>
      <c r="M469" s="65"/>
      <c r="N469" s="17"/>
      <c r="O469" s="17"/>
      <c r="P469" s="17"/>
      <c r="Q469" s="1090" t="s">
        <v>324</v>
      </c>
      <c r="R469" s="1091" t="str">
        <f>+IF(O465=0.6,20,IF(O465=0.8,28,IF(O465=1,36,IF(O465=1.2,44,"kiem tra"))))</f>
        <v>kiem tra</v>
      </c>
      <c r="S469" s="1540" t="s">
        <v>325</v>
      </c>
      <c r="T469" s="1532"/>
      <c r="U469" s="1532"/>
      <c r="V469" s="1532"/>
      <c r="W469" s="1532"/>
      <c r="X469" s="1533"/>
      <c r="Y469" s="1540" t="s">
        <v>326</v>
      </c>
      <c r="Z469" s="1532"/>
      <c r="AA469" s="1532"/>
      <c r="AB469" s="1533"/>
      <c r="AC469" s="1540" t="s">
        <v>327</v>
      </c>
      <c r="AD469" s="1532"/>
      <c r="AE469" s="1532"/>
      <c r="AF469" s="1533"/>
      <c r="AG469" s="66"/>
      <c r="AH469" s="17"/>
      <c r="AI469" s="13"/>
      <c r="AJ469" s="14"/>
      <c r="AK469" s="14"/>
      <c r="AL469" s="13"/>
      <c r="AM469" s="13"/>
      <c r="AN469" s="13"/>
      <c r="AO469" s="13"/>
    </row>
    <row r="470" spans="1:41" ht="19.899999999999999" customHeight="1" thickBo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7"/>
      <c r="M470" s="65"/>
      <c r="N470" s="17"/>
      <c r="O470" s="17"/>
      <c r="P470" s="17"/>
      <c r="Q470" s="17"/>
      <c r="R470" s="17"/>
      <c r="S470" s="1541" t="s">
        <v>313</v>
      </c>
      <c r="T470" s="1542"/>
      <c r="U470" s="1543"/>
      <c r="V470" s="1544" t="s">
        <v>315</v>
      </c>
      <c r="W470" s="1542"/>
      <c r="X470" s="1543"/>
      <c r="Y470" s="1545" t="s">
        <v>313</v>
      </c>
      <c r="Z470" s="1546"/>
      <c r="AA470" s="1547" t="s">
        <v>435</v>
      </c>
      <c r="AB470" s="1548"/>
      <c r="AC470" s="1549" t="s">
        <v>313</v>
      </c>
      <c r="AD470" s="1550"/>
      <c r="AE470" s="1526" t="s">
        <v>435</v>
      </c>
      <c r="AF470" s="1527"/>
      <c r="AG470" s="31"/>
      <c r="AH470" s="17"/>
      <c r="AI470" s="13"/>
      <c r="AJ470" s="14"/>
      <c r="AK470" s="14"/>
      <c r="AL470" s="13"/>
      <c r="AM470" s="13"/>
      <c r="AN470" s="13"/>
      <c r="AO470" s="13"/>
    </row>
    <row r="471" spans="1:41" ht="19.899999999999999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7"/>
      <c r="M471" s="44" t="s">
        <v>328</v>
      </c>
      <c r="N471" s="1094" t="s">
        <v>329</v>
      </c>
      <c r="O471" s="1094" t="s">
        <v>330</v>
      </c>
      <c r="P471" s="1094" t="s">
        <v>331</v>
      </c>
      <c r="Q471" s="1094" t="s">
        <v>332</v>
      </c>
      <c r="R471" s="1095" t="s">
        <v>333</v>
      </c>
      <c r="S471" s="1096">
        <v>1</v>
      </c>
      <c r="T471" s="1097">
        <v>2</v>
      </c>
      <c r="U471" s="1098">
        <v>3</v>
      </c>
      <c r="V471" s="1096">
        <v>1</v>
      </c>
      <c r="W471" s="1097">
        <v>2</v>
      </c>
      <c r="X471" s="1098">
        <v>3</v>
      </c>
      <c r="Y471" s="1096" t="s">
        <v>334</v>
      </c>
      <c r="Z471" s="1098" t="s">
        <v>335</v>
      </c>
      <c r="AA471" s="1079" t="s">
        <v>336</v>
      </c>
      <c r="AB471" s="1098" t="s">
        <v>337</v>
      </c>
      <c r="AC471" s="1079" t="s">
        <v>338</v>
      </c>
      <c r="AD471" s="18" t="s">
        <v>339</v>
      </c>
      <c r="AE471" s="19" t="s">
        <v>338</v>
      </c>
      <c r="AF471" s="18" t="s">
        <v>339</v>
      </c>
      <c r="AG471" s="31"/>
      <c r="AH471" s="17"/>
      <c r="AI471" s="13"/>
      <c r="AJ471" s="14"/>
      <c r="AK471" s="14"/>
      <c r="AL471" s="13"/>
      <c r="AM471" s="13"/>
      <c r="AN471" s="13"/>
      <c r="AO471" s="13"/>
    </row>
    <row r="472" spans="1:41" ht="19.899999999999999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7"/>
      <c r="M472" s="45" t="s">
        <v>57</v>
      </c>
      <c r="N472" s="1099">
        <f>+VALUE(MID(C406,4,2))</f>
        <v>20</v>
      </c>
      <c r="O472" s="1099">
        <f>+VALUE(MID(C305,4,2))</f>
        <v>20</v>
      </c>
      <c r="P472" s="1099">
        <f>+O472</f>
        <v>20</v>
      </c>
      <c r="Q472" s="1099">
        <f>+O472</f>
        <v>20</v>
      </c>
      <c r="R472" s="1100">
        <f>+O472</f>
        <v>20</v>
      </c>
      <c r="S472" s="33">
        <f>+VALUE(LEFT(C236,2))</f>
        <v>12</v>
      </c>
      <c r="T472" s="1074">
        <f>+VALUE(LEFT(C264,2))</f>
        <v>12</v>
      </c>
      <c r="U472" s="32">
        <f>+T472</f>
        <v>12</v>
      </c>
      <c r="V472" s="33">
        <f>+S472</f>
        <v>12</v>
      </c>
      <c r="W472" s="1074">
        <f>+T472</f>
        <v>12</v>
      </c>
      <c r="X472" s="32">
        <f>+W472</f>
        <v>12</v>
      </c>
      <c r="Y472" s="33">
        <f>+S472</f>
        <v>12</v>
      </c>
      <c r="Z472" s="32">
        <f>+T472</f>
        <v>12</v>
      </c>
      <c r="AA472" s="1101">
        <f>+V472</f>
        <v>12</v>
      </c>
      <c r="AB472" s="32">
        <f>+W472</f>
        <v>12</v>
      </c>
      <c r="AC472" s="1101">
        <f>+Y472</f>
        <v>12</v>
      </c>
      <c r="AD472" s="1102">
        <f>+Z472</f>
        <v>12</v>
      </c>
      <c r="AE472" s="58">
        <f>+AA472</f>
        <v>12</v>
      </c>
      <c r="AF472" s="32">
        <f>+AB472</f>
        <v>12</v>
      </c>
      <c r="AG472" s="31"/>
      <c r="AH472" s="17"/>
      <c r="AI472" s="13"/>
      <c r="AJ472" s="14"/>
      <c r="AK472" s="14"/>
      <c r="AL472" s="13"/>
      <c r="AM472" s="13"/>
      <c r="AN472" s="13"/>
      <c r="AO472" s="13"/>
    </row>
    <row r="473" spans="1:41" ht="19.899999999999999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7"/>
      <c r="M473" s="46" t="s">
        <v>340</v>
      </c>
      <c r="N473" s="1103" t="str">
        <f>+LEFT(C406,2)</f>
        <v>08</v>
      </c>
      <c r="O473" s="1103" t="e">
        <f>+MAX(LEFT(#REF!,2),LEFT(C305,2))-P473</f>
        <v>#REF!</v>
      </c>
      <c r="P473" s="1104">
        <v>3</v>
      </c>
      <c r="Q473" s="1103" t="e">
        <f>+O473</f>
        <v>#REF!</v>
      </c>
      <c r="R473" s="1105">
        <f>+P473</f>
        <v>3</v>
      </c>
      <c r="S473" s="33">
        <f>+S463</f>
        <v>0.2</v>
      </c>
      <c r="T473" s="1074">
        <f>+T463</f>
        <v>0.2</v>
      </c>
      <c r="U473" s="32">
        <f>+T473</f>
        <v>0.2</v>
      </c>
      <c r="V473" s="33">
        <f>+S464</f>
        <v>0.2</v>
      </c>
      <c r="W473" s="1074">
        <f>+T464</f>
        <v>0.2</v>
      </c>
      <c r="X473" s="32">
        <f>+W473</f>
        <v>0.2</v>
      </c>
      <c r="Y473" s="1106"/>
      <c r="Z473" s="32"/>
      <c r="AA473" s="1107"/>
      <c r="AB473" s="32"/>
      <c r="AC473" s="1107"/>
      <c r="AD473" s="1102"/>
      <c r="AE473" s="34"/>
      <c r="AF473" s="32"/>
      <c r="AG473" s="31"/>
      <c r="AH473" s="17"/>
      <c r="AI473" s="13"/>
      <c r="AJ473" s="14"/>
      <c r="AK473" s="14"/>
      <c r="AL473" s="13"/>
      <c r="AM473" s="13"/>
      <c r="AN473" s="13"/>
      <c r="AO473" s="13"/>
    </row>
    <row r="474" spans="1:41" ht="19.899999999999999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7"/>
      <c r="M474" s="1528" t="s">
        <v>341</v>
      </c>
      <c r="N474" s="1108">
        <f>+N473*4-4</f>
        <v>28</v>
      </c>
      <c r="O474" s="1108" t="e">
        <f>+O473*2</f>
        <v>#REF!</v>
      </c>
      <c r="P474" s="1108">
        <f>+P473*2</f>
        <v>6</v>
      </c>
      <c r="Q474" s="1108" t="e">
        <f>+Q473*2</f>
        <v>#REF!</v>
      </c>
      <c r="R474" s="1109">
        <f>+R473*2</f>
        <v>6</v>
      </c>
      <c r="S474" s="33">
        <f>+ROUND(((O460-O459)/2-S466-O468)/S473,0)+1</f>
        <v>15</v>
      </c>
      <c r="T474" s="1074">
        <f>+ROUND(((O459-O461)/2-S466-O468)/T473,0)+1</f>
        <v>7</v>
      </c>
      <c r="U474" s="32">
        <f>+ROUND((O461+2*O468)/U473,0)-1</f>
        <v>5</v>
      </c>
      <c r="V474" s="33">
        <f>+ROUND(((Q460-Q459)/2-S466-O468)/V473,0)+1</f>
        <v>20</v>
      </c>
      <c r="W474" s="1074">
        <f>+ROUND(((Q459-Q461)/2-S466-O468)/W473,0)+1</f>
        <v>7</v>
      </c>
      <c r="X474" s="32">
        <f>+ROUND((Q461+2*O468)/X473,0)-1</f>
        <v>5</v>
      </c>
      <c r="Y474" s="1106">
        <f>+(S474-1)*2*S465</f>
        <v>0</v>
      </c>
      <c r="Z474" s="32">
        <f>+((U474+1)+(T474-1)*2)*T465</f>
        <v>0</v>
      </c>
      <c r="AA474" s="1107">
        <f>+(V474-1)*2*S465</f>
        <v>0</v>
      </c>
      <c r="AB474" s="35">
        <f>+((X474+1)+(W474-1)*2)*T465</f>
        <v>0</v>
      </c>
      <c r="AC474" s="1110">
        <f>+Y474</f>
        <v>0</v>
      </c>
      <c r="AD474" s="1111">
        <f>+((U474+1)+(T474-1)*2)*T465</f>
        <v>0</v>
      </c>
      <c r="AE474" s="36">
        <f>+AA474</f>
        <v>0</v>
      </c>
      <c r="AF474" s="35">
        <f>+((X474+1)+(W474-1)*2)*T465</f>
        <v>0</v>
      </c>
      <c r="AG474" s="31"/>
      <c r="AH474" s="17"/>
      <c r="AI474" s="25"/>
      <c r="AJ474" s="13"/>
      <c r="AK474" s="14"/>
      <c r="AL474" s="13"/>
      <c r="AM474" s="13"/>
      <c r="AN474" s="13"/>
      <c r="AO474" s="13"/>
    </row>
    <row r="475" spans="1:41" ht="19.899999999999999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7"/>
      <c r="M475" s="1529"/>
      <c r="N475" s="1112"/>
      <c r="O475" s="1113" t="s">
        <v>342</v>
      </c>
      <c r="P475" s="1114">
        <f>+ROUND(K28/2,1)+0.1</f>
        <v>2</v>
      </c>
      <c r="Q475" s="1112"/>
      <c r="R475" s="1115">
        <f>+ROUND(K26/2,1)+0.1</f>
        <v>1.5</v>
      </c>
      <c r="S475" s="1116">
        <f>+S474-1</f>
        <v>14</v>
      </c>
      <c r="T475" s="1112">
        <f>+T474-1</f>
        <v>6</v>
      </c>
      <c r="U475" s="1117"/>
      <c r="V475" s="1116">
        <f>+V474-1</f>
        <v>19</v>
      </c>
      <c r="W475" s="1112">
        <f>+W474-1</f>
        <v>6</v>
      </c>
      <c r="X475" s="1117"/>
      <c r="Y475" s="1118">
        <f t="shared" ref="Y475:AF475" si="26">+Y474</f>
        <v>0</v>
      </c>
      <c r="Z475" s="37">
        <f t="shared" si="26"/>
        <v>0</v>
      </c>
      <c r="AA475" s="1119">
        <f t="shared" si="26"/>
        <v>0</v>
      </c>
      <c r="AB475" s="37">
        <f t="shared" si="26"/>
        <v>0</v>
      </c>
      <c r="AC475" s="1119">
        <f t="shared" si="26"/>
        <v>0</v>
      </c>
      <c r="AD475" s="1120">
        <f t="shared" si="26"/>
        <v>0</v>
      </c>
      <c r="AE475" s="38">
        <f t="shared" si="26"/>
        <v>0</v>
      </c>
      <c r="AF475" s="37">
        <f t="shared" si="26"/>
        <v>0</v>
      </c>
      <c r="AG475" s="31"/>
      <c r="AH475" s="17"/>
      <c r="AI475" s="25"/>
      <c r="AJ475" s="13"/>
      <c r="AK475" s="14"/>
      <c r="AL475" s="13"/>
      <c r="AM475" s="13"/>
      <c r="AN475" s="13"/>
      <c r="AO475" s="13"/>
    </row>
    <row r="476" spans="1:41" ht="19.899999999999999" customHeight="1" thickBo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7"/>
      <c r="M476" s="47" t="s">
        <v>343</v>
      </c>
      <c r="N476" s="1121">
        <f>+O464-2*O468+0.25</f>
        <v>3.6</v>
      </c>
      <c r="O476" s="1121">
        <f>+Q460-2*O468</f>
        <v>11.85</v>
      </c>
      <c r="P476" s="1121">
        <f>+P475*2+O459</f>
        <v>8</v>
      </c>
      <c r="Q476" s="1121">
        <f>+O460-2*O468</f>
        <v>9.85</v>
      </c>
      <c r="R476" s="1122">
        <f>+R475*2+O459</f>
        <v>7</v>
      </c>
      <c r="S476" s="1123">
        <f>+O476</f>
        <v>11.85</v>
      </c>
      <c r="T476" s="1124">
        <f>+S476</f>
        <v>11.85</v>
      </c>
      <c r="U476" s="1125">
        <f>+(Q460/2-Q461/2-2*O468)</f>
        <v>5.35</v>
      </c>
      <c r="V476" s="1123">
        <f>+Q476</f>
        <v>9.85</v>
      </c>
      <c r="W476" s="1124">
        <f>+V476</f>
        <v>9.85</v>
      </c>
      <c r="X476" s="1125">
        <f>+(O460/2-O461/2-2*O468)</f>
        <v>4.3499999999999996</v>
      </c>
      <c r="Y476" s="1126"/>
      <c r="Z476" s="39"/>
      <c r="AA476" s="1126"/>
      <c r="AB476" s="39"/>
      <c r="AC476" s="1127"/>
      <c r="AD476" s="1128"/>
      <c r="AE476" s="40"/>
      <c r="AF476" s="39"/>
      <c r="AG476" s="31"/>
      <c r="AH476" s="17"/>
      <c r="AI476" s="13"/>
      <c r="AJ476" s="13"/>
      <c r="AK476" s="13"/>
      <c r="AL476" s="13"/>
      <c r="AM476" s="13"/>
      <c r="AN476" s="13"/>
      <c r="AO476" s="13"/>
    </row>
    <row r="477" spans="1:41" ht="19.899999999999999" customHeight="1" thickBo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7"/>
      <c r="M477" s="62"/>
      <c r="N477" s="41"/>
      <c r="O477" s="41"/>
      <c r="P477" s="41"/>
      <c r="Q477" s="41"/>
      <c r="R477" s="41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31"/>
      <c r="AH477" s="17"/>
      <c r="AI477" s="13"/>
      <c r="AJ477" s="13"/>
      <c r="AK477" s="13"/>
      <c r="AL477" s="13"/>
      <c r="AM477" s="13"/>
      <c r="AN477" s="13"/>
      <c r="AO477" s="13"/>
    </row>
    <row r="478" spans="1:41" ht="19.899999999999999" customHeight="1" thickBo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7"/>
      <c r="M478" s="48" t="s">
        <v>344</v>
      </c>
      <c r="N478" s="1129"/>
      <c r="O478" s="1129"/>
      <c r="P478" s="1129"/>
      <c r="Q478" s="1129"/>
      <c r="R478" s="1129"/>
      <c r="S478" s="1130"/>
      <c r="T478" s="17"/>
      <c r="U478" s="1131" t="s">
        <v>302</v>
      </c>
      <c r="V478" s="1132">
        <f>+O459</f>
        <v>4</v>
      </c>
      <c r="W478" s="1132">
        <f>+Q459</f>
        <v>4</v>
      </c>
      <c r="X478" s="1133">
        <f>+O460</f>
        <v>10</v>
      </c>
      <c r="Y478" s="1134">
        <f>+Q460</f>
        <v>12</v>
      </c>
      <c r="Z478" s="1135"/>
      <c r="AA478" s="1135"/>
      <c r="AB478" s="30"/>
      <c r="AC478" s="30"/>
      <c r="AD478" s="17"/>
      <c r="AE478" s="17"/>
      <c r="AF478" s="17"/>
      <c r="AG478" s="31"/>
      <c r="AH478" s="17"/>
      <c r="AI478" s="13"/>
      <c r="AJ478" s="14"/>
      <c r="AK478" s="14"/>
      <c r="AL478" s="13"/>
      <c r="AM478" s="13"/>
      <c r="AN478" s="13"/>
      <c r="AO478" s="13"/>
    </row>
    <row r="479" spans="1:41" ht="19.899999999999999" customHeight="1" thickBo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7"/>
      <c r="M479" s="49"/>
      <c r="N479" s="1136" t="s">
        <v>345</v>
      </c>
      <c r="O479" s="1136" t="s">
        <v>346</v>
      </c>
      <c r="P479" s="1136" t="s">
        <v>347</v>
      </c>
      <c r="Q479" s="1136" t="s">
        <v>348</v>
      </c>
      <c r="R479" s="1137" t="s">
        <v>349</v>
      </c>
      <c r="S479" s="1138" t="s">
        <v>350</v>
      </c>
      <c r="T479" s="1139" t="s">
        <v>140</v>
      </c>
      <c r="U479" s="1140" t="s">
        <v>351</v>
      </c>
      <c r="V479" s="1136" t="s">
        <v>57</v>
      </c>
      <c r="W479" s="1136" t="s">
        <v>352</v>
      </c>
      <c r="X479" s="1136" t="s">
        <v>353</v>
      </c>
      <c r="Y479" s="1138" t="s">
        <v>354</v>
      </c>
      <c r="Z479" s="1141"/>
      <c r="AA479" s="1141"/>
      <c r="AB479" s="30"/>
      <c r="AC479" s="30"/>
      <c r="AD479" s="17"/>
      <c r="AE479" s="17"/>
      <c r="AF479" s="17"/>
      <c r="AG479" s="31"/>
      <c r="AH479" s="17"/>
      <c r="AI479"/>
      <c r="AJ479" s="14"/>
      <c r="AK479" s="14"/>
      <c r="AL479" s="13"/>
      <c r="AM479" s="13"/>
      <c r="AN479" s="13"/>
      <c r="AO479" s="13"/>
    </row>
    <row r="480" spans="1:41" ht="19.899999999999999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7"/>
      <c r="M480" s="50" t="s">
        <v>355</v>
      </c>
      <c r="N480" s="1142">
        <f>X478</f>
        <v>10</v>
      </c>
      <c r="O480" s="1142">
        <f>Y478</f>
        <v>12</v>
      </c>
      <c r="P480" s="1142">
        <f>+O461</f>
        <v>1</v>
      </c>
      <c r="Q480" s="1142">
        <f>+Q461</f>
        <v>1</v>
      </c>
      <c r="R480" s="1142">
        <f>+O462</f>
        <v>0.35</v>
      </c>
      <c r="S480" s="1143">
        <f>(N480*O480-P480*Q480)*R480</f>
        <v>41.65</v>
      </c>
      <c r="T480" s="42"/>
      <c r="U480" s="1144">
        <v>1</v>
      </c>
      <c r="V480" s="1145">
        <f>+N472</f>
        <v>20</v>
      </c>
      <c r="W480" s="1146">
        <f>+N476</f>
        <v>3.6</v>
      </c>
      <c r="X480" s="1145">
        <f>+N474*4</f>
        <v>112</v>
      </c>
      <c r="Y480" s="1147">
        <f t="shared" ref="Y480:Y505" si="27">W480*X480</f>
        <v>403.2</v>
      </c>
      <c r="Z480" s="1148"/>
      <c r="AA480" s="1148"/>
      <c r="AB480" s="1149" t="s">
        <v>356</v>
      </c>
      <c r="AC480" s="30"/>
      <c r="AD480" s="30"/>
      <c r="AE480" s="30"/>
      <c r="AF480" s="17"/>
      <c r="AG480" s="31"/>
      <c r="AH480" s="17"/>
      <c r="AI480"/>
      <c r="AJ480" s="13"/>
      <c r="AK480" s="14"/>
      <c r="AL480" s="13"/>
      <c r="AM480" s="13"/>
      <c r="AN480" s="13"/>
      <c r="AO480" s="13"/>
    </row>
    <row r="481" spans="1:41" ht="19.899999999999999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7"/>
      <c r="M481" s="51" t="s">
        <v>357</v>
      </c>
      <c r="N481" s="1150">
        <f>+O466</f>
        <v>0.5</v>
      </c>
      <c r="O481" s="1151">
        <f>R481-R480</f>
        <v>0.65</v>
      </c>
      <c r="P481" s="1151">
        <f>N480</f>
        <v>10</v>
      </c>
      <c r="Q481" s="1151">
        <f>O480</f>
        <v>12</v>
      </c>
      <c r="R481" s="1150">
        <f>+O463</f>
        <v>1</v>
      </c>
      <c r="S481" s="1152">
        <f>(N481*O481*P481*2)+(N481*O481*(Q481-N481*2))*2</f>
        <v>13.65</v>
      </c>
      <c r="T481" s="1153"/>
      <c r="U481" s="1154" t="e">
        <f>+IF(OR(W481=0,X481=0),0,IF(U480=0,U479+1,U480+1))</f>
        <v>#REF!</v>
      </c>
      <c r="V481" s="1150">
        <f>O472</f>
        <v>20</v>
      </c>
      <c r="W481" s="1155">
        <f>+O476</f>
        <v>11.85</v>
      </c>
      <c r="X481" s="1150" t="e">
        <f>+O474*2</f>
        <v>#REF!</v>
      </c>
      <c r="Y481" s="1156" t="e">
        <f t="shared" si="27"/>
        <v>#REF!</v>
      </c>
      <c r="Z481" s="1148"/>
      <c r="AA481" s="1148"/>
      <c r="AB481" s="1149" t="s">
        <v>358</v>
      </c>
      <c r="AC481" s="30"/>
      <c r="AD481" s="30"/>
      <c r="AE481" s="30"/>
      <c r="AF481" s="17"/>
      <c r="AG481" s="31"/>
      <c r="AH481" s="17"/>
      <c r="AI481"/>
      <c r="AJ481" s="13"/>
      <c r="AK481" s="13"/>
      <c r="AL481" s="13"/>
      <c r="AM481" s="13"/>
      <c r="AN481" s="13"/>
      <c r="AO481" s="13"/>
    </row>
    <row r="482" spans="1:41" ht="19.899999999999999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7"/>
      <c r="M482" s="51" t="s">
        <v>359</v>
      </c>
      <c r="N482" s="1150">
        <f>+O467</f>
        <v>0.35</v>
      </c>
      <c r="O482" s="1150">
        <f>N482</f>
        <v>0.35</v>
      </c>
      <c r="P482" s="1150">
        <f>O481</f>
        <v>0.65</v>
      </c>
      <c r="Q482" s="1150"/>
      <c r="R482" s="1150"/>
      <c r="S482" s="1152">
        <f>((N482*O482)/2)*P482*16</f>
        <v>0.6369999999999999</v>
      </c>
      <c r="T482" s="1153"/>
      <c r="U482" s="1154" t="s">
        <v>360</v>
      </c>
      <c r="V482" s="1157">
        <f>+P472</f>
        <v>20</v>
      </c>
      <c r="W482" s="1158">
        <f>+P476</f>
        <v>8</v>
      </c>
      <c r="X482" s="1159">
        <f>+P474*2</f>
        <v>12</v>
      </c>
      <c r="Y482" s="1160">
        <f>W482*X482</f>
        <v>96</v>
      </c>
      <c r="Z482" s="20">
        <f>+Y482+Y483</f>
        <v>180</v>
      </c>
      <c r="AA482" s="21">
        <f>+X482+X483</f>
        <v>24</v>
      </c>
      <c r="AB482" s="1149" t="s">
        <v>361</v>
      </c>
      <c r="AC482" s="30"/>
      <c r="AD482" s="30"/>
      <c r="AE482" s="30"/>
      <c r="AF482" s="17"/>
      <c r="AG482" s="31"/>
      <c r="AH482" s="17"/>
      <c r="AI482"/>
      <c r="AJ482" s="13"/>
      <c r="AK482" s="13"/>
      <c r="AL482" s="13"/>
      <c r="AM482" s="13"/>
      <c r="AN482" s="13"/>
      <c r="AO482" s="13"/>
    </row>
    <row r="483" spans="1:41" ht="19.899999999999999" customHeight="1" thickBo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7"/>
      <c r="M483" s="52" t="s">
        <v>362</v>
      </c>
      <c r="N483" s="1161">
        <f>+O465</f>
        <v>0.7</v>
      </c>
      <c r="O483" s="1161">
        <f>N483</f>
        <v>0.7</v>
      </c>
      <c r="P483" s="1161"/>
      <c r="Q483" s="1161"/>
      <c r="R483" s="1162">
        <f>O464-(O481+R480)</f>
        <v>2.5</v>
      </c>
      <c r="S483" s="1163">
        <f>N483*O483*R483*4</f>
        <v>4.8999999999999995</v>
      </c>
      <c r="T483" s="1153"/>
      <c r="U483" s="1154" t="s">
        <v>363</v>
      </c>
      <c r="V483" s="1164">
        <f>+R472</f>
        <v>20</v>
      </c>
      <c r="W483" s="1165">
        <f>+R476</f>
        <v>7</v>
      </c>
      <c r="X483" s="1166">
        <f>+R474*2</f>
        <v>12</v>
      </c>
      <c r="Y483" s="1167">
        <f t="shared" si="27"/>
        <v>84</v>
      </c>
      <c r="Z483" s="20"/>
      <c r="AA483" s="21"/>
      <c r="AB483" s="1149"/>
      <c r="AC483" s="30"/>
      <c r="AD483" s="30"/>
      <c r="AE483" s="30"/>
      <c r="AF483" s="17"/>
      <c r="AG483" s="31"/>
      <c r="AH483" s="17"/>
      <c r="AI483"/>
      <c r="AJ483" s="13"/>
      <c r="AK483" s="13"/>
      <c r="AL483" s="13"/>
      <c r="AM483" s="13"/>
      <c r="AN483" s="13"/>
      <c r="AO483" s="13"/>
    </row>
    <row r="484" spans="1:41" ht="19.899999999999999" customHeight="1" thickBo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7"/>
      <c r="M484" s="53" t="s">
        <v>364</v>
      </c>
      <c r="N484" s="1168"/>
      <c r="O484" s="1168"/>
      <c r="P484" s="1168"/>
      <c r="Q484" s="1168"/>
      <c r="R484" s="1168"/>
      <c r="S484" s="1169">
        <f>SUM(S480:S483)</f>
        <v>60.836999999999996</v>
      </c>
      <c r="T484" s="1153"/>
      <c r="U484" s="1154" t="e">
        <f>+IF(OR(W484=0,X484=0),0,IF(U481=0,U480+1,U481+1))</f>
        <v>#REF!</v>
      </c>
      <c r="V484" s="1150">
        <f>Q472</f>
        <v>20</v>
      </c>
      <c r="W484" s="1155">
        <f>+Q476</f>
        <v>9.85</v>
      </c>
      <c r="X484" s="1150" t="e">
        <f>+Q474*2</f>
        <v>#REF!</v>
      </c>
      <c r="Y484" s="1156" t="e">
        <f t="shared" si="27"/>
        <v>#REF!</v>
      </c>
      <c r="Z484" s="1148"/>
      <c r="AA484" s="1148"/>
      <c r="AB484" s="1149"/>
      <c r="AC484" s="30"/>
      <c r="AD484" s="30"/>
      <c r="AE484" s="30"/>
      <c r="AF484" s="17"/>
      <c r="AG484" s="31"/>
      <c r="AH484" s="17"/>
      <c r="AI484"/>
      <c r="AJ484" s="13"/>
      <c r="AK484" s="13"/>
      <c r="AL484" s="13"/>
      <c r="AM484" s="13"/>
      <c r="AN484" s="13"/>
      <c r="AO484" s="13"/>
    </row>
    <row r="485" spans="1:41" ht="19.899999999999999" customHeight="1" thickBo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7"/>
      <c r="M485" s="54" t="s">
        <v>365</v>
      </c>
      <c r="N485" s="1170">
        <f>N480+0.1*2</f>
        <v>10.199999999999999</v>
      </c>
      <c r="O485" s="1136">
        <f>O480+0.1*2</f>
        <v>12.2</v>
      </c>
      <c r="P485" s="1136">
        <f>P480-0.1*2</f>
        <v>0.8</v>
      </c>
      <c r="Q485" s="1136">
        <f>Q480-0.1*2</f>
        <v>0.8</v>
      </c>
      <c r="R485" s="1138">
        <v>0.1</v>
      </c>
      <c r="S485" s="1171">
        <f>(N485*O485-P485*Q485)*R485</f>
        <v>12.379999999999999</v>
      </c>
      <c r="T485" s="1153"/>
      <c r="U485" s="1154">
        <v>4</v>
      </c>
      <c r="V485" s="1172">
        <f>+S472</f>
        <v>12</v>
      </c>
      <c r="W485" s="1173">
        <f>+S476</f>
        <v>11.85</v>
      </c>
      <c r="X485" s="1174">
        <f>+(S475+S474)*2+S467</f>
        <v>58</v>
      </c>
      <c r="Y485" s="1175">
        <f t="shared" si="27"/>
        <v>687.3</v>
      </c>
      <c r="Z485" s="20">
        <f>+Y485+Y486</f>
        <v>995.39999999999986</v>
      </c>
      <c r="AA485" s="21">
        <f>+X485+X486</f>
        <v>84</v>
      </c>
      <c r="AB485" s="1176" t="s">
        <v>366</v>
      </c>
      <c r="AC485" s="1177"/>
      <c r="AD485" s="17"/>
      <c r="AE485" s="17"/>
      <c r="AF485" s="17"/>
      <c r="AG485" s="31"/>
      <c r="AH485" s="17"/>
      <c r="AI485"/>
      <c r="AJ485" s="14"/>
      <c r="AK485" s="14"/>
      <c r="AL485" s="13"/>
      <c r="AM485" s="13"/>
      <c r="AN485" s="13"/>
      <c r="AO485" s="13"/>
    </row>
    <row r="486" spans="1:41" ht="19.899999999999999" customHeight="1" thickBo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7"/>
      <c r="M486" s="55" t="s">
        <v>367</v>
      </c>
      <c r="N486" s="1178">
        <f>N480+R486*2</f>
        <v>10</v>
      </c>
      <c r="O486" s="1178">
        <f>O480+R486*2</f>
        <v>12</v>
      </c>
      <c r="P486" s="1178">
        <f>N486+R486*2</f>
        <v>10</v>
      </c>
      <c r="Q486" s="1178">
        <f>O486+R486*2</f>
        <v>12</v>
      </c>
      <c r="R486" s="1179">
        <v>0</v>
      </c>
      <c r="S486" s="1180">
        <f>R486/6*((N486*O486)+(N486+P486)*(O486+Q486)+(P486*Q486))</f>
        <v>0</v>
      </c>
      <c r="T486" s="1153"/>
      <c r="U486" s="1154" t="s">
        <v>368</v>
      </c>
      <c r="V486" s="1181">
        <f>+T472</f>
        <v>12</v>
      </c>
      <c r="W486" s="1182">
        <f>+T476</f>
        <v>11.85</v>
      </c>
      <c r="X486" s="1181">
        <f>+(T475+T474)*2</f>
        <v>26</v>
      </c>
      <c r="Y486" s="1183">
        <f t="shared" si="27"/>
        <v>308.09999999999997</v>
      </c>
      <c r="Z486" s="20"/>
      <c r="AA486" s="21"/>
      <c r="AB486" s="1176" t="s">
        <v>369</v>
      </c>
      <c r="AC486" s="1177"/>
      <c r="AD486" s="17"/>
      <c r="AE486" s="17"/>
      <c r="AF486" s="17"/>
      <c r="AG486" s="31"/>
      <c r="AH486" s="17"/>
      <c r="AI486"/>
      <c r="AJ486" s="14"/>
      <c r="AK486" s="13"/>
      <c r="AL486" s="13"/>
      <c r="AM486" s="14"/>
      <c r="AN486" s="13"/>
      <c r="AO486" s="13"/>
    </row>
    <row r="487" spans="1:41" ht="19.899999999999999" customHeight="1" thickBo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7"/>
      <c r="M487" s="56" t="s">
        <v>370</v>
      </c>
      <c r="N487" s="1136">
        <f>N486</f>
        <v>10</v>
      </c>
      <c r="O487" s="1136">
        <f>O486</f>
        <v>12</v>
      </c>
      <c r="P487" s="1136">
        <f>N487+R487*2</f>
        <v>17.2</v>
      </c>
      <c r="Q487" s="1136">
        <f>O487+R487*2</f>
        <v>19.2</v>
      </c>
      <c r="R487" s="1138">
        <f>+O464+R486+R485</f>
        <v>3.6</v>
      </c>
      <c r="S487" s="1184">
        <f>R487/6*((N487*O487)+(N487+P487)*(O487+Q487)+(P487*Q487))</f>
        <v>779.32799999999986</v>
      </c>
      <c r="T487" s="1153"/>
      <c r="U487" s="1154" t="s">
        <v>371</v>
      </c>
      <c r="V487" s="17">
        <f>+Y472</f>
        <v>12</v>
      </c>
      <c r="W487" s="1155">
        <f>+Y476</f>
        <v>0</v>
      </c>
      <c r="X487" s="17">
        <f>+(Y474+Y475)*2</f>
        <v>0</v>
      </c>
      <c r="Y487" s="1156">
        <f t="shared" si="27"/>
        <v>0</v>
      </c>
      <c r="Z487" s="20">
        <f>+Y487+Y488</f>
        <v>0</v>
      </c>
      <c r="AA487" s="21">
        <f>+X487+X488</f>
        <v>0</v>
      </c>
      <c r="AB487" s="1185" t="s">
        <v>372</v>
      </c>
      <c r="AC487" s="1186"/>
      <c r="AD487" s="17"/>
      <c r="AE487" s="17"/>
      <c r="AF487" s="17"/>
      <c r="AG487" s="31"/>
      <c r="AH487" s="17"/>
      <c r="AI487"/>
      <c r="AJ487" s="14"/>
      <c r="AK487" s="13"/>
      <c r="AL487" s="13"/>
      <c r="AM487" s="14"/>
      <c r="AN487" s="13"/>
      <c r="AO487" s="13"/>
    </row>
    <row r="488" spans="1:41" ht="19.899999999999999" customHeight="1" thickBo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7"/>
      <c r="M488" s="57" t="s">
        <v>373</v>
      </c>
      <c r="N488" s="1187">
        <f>N480</f>
        <v>10</v>
      </c>
      <c r="O488" s="1187">
        <f>O480</f>
        <v>12</v>
      </c>
      <c r="P488" s="1188">
        <f>N488+R488*2</f>
        <v>11</v>
      </c>
      <c r="Q488" s="1188">
        <f>O488+R488*2</f>
        <v>13</v>
      </c>
      <c r="R488" s="1188">
        <v>0.5</v>
      </c>
      <c r="S488" s="1184">
        <f>(R488/6*((N488*O488)+(N488+P488)*(O488+Q488)+(P488*Q488)))-(N483*O483*R488*4)</f>
        <v>64.686666666666653</v>
      </c>
      <c r="T488" s="1153"/>
      <c r="U488" s="1154" t="s">
        <v>374</v>
      </c>
      <c r="V488" s="1074">
        <f>+Z472</f>
        <v>12</v>
      </c>
      <c r="W488" s="1155">
        <f>+Z476</f>
        <v>0</v>
      </c>
      <c r="X488" s="1150">
        <f>+(Z474+Z475)*2</f>
        <v>0</v>
      </c>
      <c r="Y488" s="1156">
        <f t="shared" si="27"/>
        <v>0</v>
      </c>
      <c r="Z488" s="22"/>
      <c r="AA488" s="21"/>
      <c r="AB488" s="1185" t="s">
        <v>375</v>
      </c>
      <c r="AC488" s="17"/>
      <c r="AD488" s="17"/>
      <c r="AE488" s="17"/>
      <c r="AF488" s="17"/>
      <c r="AG488" s="31"/>
      <c r="AH488" s="17"/>
      <c r="AI488" s="13"/>
      <c r="AJ488" s="14"/>
      <c r="AK488" s="13"/>
      <c r="AL488" s="23"/>
      <c r="AM488" s="13"/>
      <c r="AN488" s="13"/>
      <c r="AO488" s="14"/>
    </row>
    <row r="489" spans="1:41" ht="19.899999999999999" customHeight="1" thickBo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7"/>
      <c r="M489" s="57" t="s">
        <v>376</v>
      </c>
      <c r="N489" s="1188"/>
      <c r="O489" s="1188"/>
      <c r="P489" s="1188"/>
      <c r="Q489" s="1188"/>
      <c r="R489" s="1188"/>
      <c r="S489" s="1189">
        <f>S487-S486-S485-S484+S488+(N483*O483*(1-R488)*4)</f>
        <v>771.77766666666651</v>
      </c>
      <c r="T489" s="1153"/>
      <c r="U489" s="1154" t="s">
        <v>377</v>
      </c>
      <c r="V489" s="1074">
        <f>+AC472</f>
        <v>12</v>
      </c>
      <c r="W489" s="1190">
        <f>+AC476</f>
        <v>0</v>
      </c>
      <c r="X489" s="1150">
        <f>+(AC474+AC475)*2</f>
        <v>0</v>
      </c>
      <c r="Y489" s="1156">
        <f t="shared" si="27"/>
        <v>0</v>
      </c>
      <c r="Z489" s="20"/>
      <c r="AA489" s="21"/>
      <c r="AB489" s="1185" t="s">
        <v>378</v>
      </c>
      <c r="AC489" s="24"/>
      <c r="AD489" s="17"/>
      <c r="AE489" s="17"/>
      <c r="AF489" s="17"/>
      <c r="AG489" s="31"/>
      <c r="AH489" s="17"/>
      <c r="AI489" s="13"/>
      <c r="AJ489" s="14"/>
      <c r="AK489" s="13"/>
      <c r="AL489" s="15"/>
      <c r="AM489" s="13"/>
      <c r="AN489" s="13"/>
      <c r="AO489" s="13"/>
    </row>
    <row r="490" spans="1:41" ht="19.899999999999999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7"/>
      <c r="M490" s="69"/>
      <c r="N490" s="1141"/>
      <c r="O490" s="1141"/>
      <c r="P490" s="1141"/>
      <c r="Q490" s="1141"/>
      <c r="R490" s="1141"/>
      <c r="S490" s="1191"/>
      <c r="T490" s="1153"/>
      <c r="U490" s="1154" t="s">
        <v>379</v>
      </c>
      <c r="V490" s="1074">
        <f>+AD472</f>
        <v>12</v>
      </c>
      <c r="W490" s="1190">
        <f>+AD476</f>
        <v>0</v>
      </c>
      <c r="X490" s="1150">
        <f>+(AD474+AD475)*2</f>
        <v>0</v>
      </c>
      <c r="Y490" s="1156">
        <f t="shared" si="27"/>
        <v>0</v>
      </c>
      <c r="Z490" s="43"/>
      <c r="AA490" s="21"/>
      <c r="AB490" s="1185" t="s">
        <v>380</v>
      </c>
      <c r="AC490" s="24"/>
      <c r="AD490" s="17"/>
      <c r="AE490" s="17"/>
      <c r="AF490" s="17"/>
      <c r="AG490" s="31"/>
      <c r="AH490" s="17"/>
      <c r="AI490" s="13"/>
      <c r="AJ490" s="14"/>
      <c r="AK490" s="13"/>
      <c r="AL490" s="15"/>
      <c r="AM490" s="13"/>
      <c r="AN490" s="13"/>
      <c r="AO490" s="13"/>
    </row>
    <row r="491" spans="1:41" ht="19.899999999999999" customHeight="1" thickBo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7"/>
      <c r="M491" s="70" t="s">
        <v>381</v>
      </c>
      <c r="N491" s="30"/>
      <c r="O491" s="30"/>
      <c r="P491" s="30"/>
      <c r="Q491" s="30"/>
      <c r="R491" s="30"/>
      <c r="S491" s="1186"/>
      <c r="T491" s="1153"/>
      <c r="U491" s="1154">
        <v>5</v>
      </c>
      <c r="V491" s="1150">
        <f>+U472</f>
        <v>12</v>
      </c>
      <c r="W491" s="1155">
        <f>+U476</f>
        <v>5.35</v>
      </c>
      <c r="X491" s="1150">
        <f>+U474*4</f>
        <v>20</v>
      </c>
      <c r="Y491" s="1156">
        <f t="shared" si="27"/>
        <v>107</v>
      </c>
      <c r="Z491" s="30"/>
      <c r="AA491" s="17"/>
      <c r="AB491" s="1176" t="s">
        <v>382</v>
      </c>
      <c r="AC491" s="1177"/>
      <c r="AD491" s="17"/>
      <c r="AE491" s="17"/>
      <c r="AF491" s="17"/>
      <c r="AG491" s="31"/>
      <c r="AH491" s="17"/>
      <c r="AI491" s="13"/>
      <c r="AJ491" s="13"/>
      <c r="AK491" s="13"/>
      <c r="AL491" s="13"/>
      <c r="AM491" s="13"/>
      <c r="AN491" s="13"/>
      <c r="AO491" s="13"/>
    </row>
    <row r="492" spans="1:41" ht="19.899999999999999" customHeight="1" thickBo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7"/>
      <c r="M492" s="59" t="s">
        <v>57</v>
      </c>
      <c r="N492" s="1192" t="s">
        <v>352</v>
      </c>
      <c r="O492" s="1192" t="s">
        <v>383</v>
      </c>
      <c r="P492" s="1192" t="s">
        <v>384</v>
      </c>
      <c r="Q492" s="1193" t="s">
        <v>354</v>
      </c>
      <c r="R492" s="1194" t="s">
        <v>385</v>
      </c>
      <c r="S492" s="1186"/>
      <c r="T492" s="1153"/>
      <c r="U492" s="1154">
        <v>6</v>
      </c>
      <c r="V492" s="1172">
        <f>+V472</f>
        <v>12</v>
      </c>
      <c r="W492" s="1173">
        <f>+V476</f>
        <v>9.85</v>
      </c>
      <c r="X492" s="1174">
        <f>+(V475+V474)*2+S467</f>
        <v>78</v>
      </c>
      <c r="Y492" s="1175">
        <f t="shared" si="27"/>
        <v>768.3</v>
      </c>
      <c r="Z492" s="20">
        <f>+Y492+Y493</f>
        <v>1024.3999999999999</v>
      </c>
      <c r="AA492" s="21">
        <f>+X492+X493</f>
        <v>104</v>
      </c>
      <c r="AB492" s="1176" t="s">
        <v>386</v>
      </c>
      <c r="AC492" s="1177"/>
      <c r="AD492" s="17"/>
      <c r="AE492" s="17"/>
      <c r="AF492" s="17"/>
      <c r="AG492" s="31"/>
      <c r="AH492" s="17"/>
      <c r="AI492" s="13"/>
      <c r="AJ492" s="13"/>
      <c r="AK492" s="13"/>
      <c r="AL492" s="13"/>
      <c r="AM492" s="13"/>
      <c r="AN492" s="13"/>
      <c r="AO492" s="13"/>
    </row>
    <row r="493" spans="1:41" ht="19.899999999999999" customHeight="1" thickBo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7"/>
      <c r="M493" s="42">
        <v>25</v>
      </c>
      <c r="N493" s="1195">
        <f t="shared" ref="N493:N501" si="28">+SUMIF($V$480:$V$505,M493,$Y$480:$Y$505)</f>
        <v>0</v>
      </c>
      <c r="O493" s="1196">
        <f>+M493^2*3.14/1000000*7850/4</f>
        <v>3.8514062499999997</v>
      </c>
      <c r="P493" s="1197">
        <f t="shared" ref="P493:P501" si="29">+ROUND(N493*O493,2)</f>
        <v>0</v>
      </c>
      <c r="Q493" s="1198" t="e">
        <f>+SUM(P493:P501)</f>
        <v>#REF!</v>
      </c>
      <c r="R493" s="1059" t="e">
        <f>+Q493/S484</f>
        <v>#REF!</v>
      </c>
      <c r="S493" s="30"/>
      <c r="T493" s="1153"/>
      <c r="U493" s="1154">
        <v>6</v>
      </c>
      <c r="V493" s="1181">
        <f>+W472</f>
        <v>12</v>
      </c>
      <c r="W493" s="1182">
        <f>+W476</f>
        <v>9.85</v>
      </c>
      <c r="X493" s="1181">
        <f>+(W475+W474)*2</f>
        <v>26</v>
      </c>
      <c r="Y493" s="1183">
        <f t="shared" si="27"/>
        <v>256.09999999999997</v>
      </c>
      <c r="Z493" s="20"/>
      <c r="AA493" s="21"/>
      <c r="AB493" s="1176" t="s">
        <v>387</v>
      </c>
      <c r="AC493" s="1177"/>
      <c r="AD493" s="17"/>
      <c r="AE493" s="17"/>
      <c r="AF493" s="17"/>
      <c r="AG493" s="31"/>
      <c r="AH493" s="17"/>
      <c r="AI493" s="13"/>
      <c r="AJ493" s="13"/>
      <c r="AK493" s="13"/>
      <c r="AL493" s="13"/>
      <c r="AM493" s="13"/>
      <c r="AN493" s="13"/>
      <c r="AO493" s="13"/>
    </row>
    <row r="494" spans="1:41" ht="19.899999999999999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7"/>
      <c r="M494" s="33">
        <v>22</v>
      </c>
      <c r="N494" s="1199">
        <f t="shared" si="28"/>
        <v>0</v>
      </c>
      <c r="O494" s="1200">
        <f>+M494^2*3.14/1000000*7850/4</f>
        <v>2.982529</v>
      </c>
      <c r="P494" s="1201">
        <f t="shared" si="29"/>
        <v>0</v>
      </c>
      <c r="Q494" s="32"/>
      <c r="R494" s="30"/>
      <c r="S494" s="30"/>
      <c r="T494" s="1153"/>
      <c r="U494" s="1154" t="s">
        <v>388</v>
      </c>
      <c r="V494" s="17">
        <f>+AA472</f>
        <v>12</v>
      </c>
      <c r="W494" s="1202">
        <f>+AA476</f>
        <v>0</v>
      </c>
      <c r="X494" s="17">
        <f>+(AA474+AA475)*2</f>
        <v>0</v>
      </c>
      <c r="Y494" s="1156">
        <f t="shared" si="27"/>
        <v>0</v>
      </c>
      <c r="Z494" s="20">
        <f>+Y494+Y495</f>
        <v>0</v>
      </c>
      <c r="AA494" s="21">
        <f>+X494+X495</f>
        <v>0</v>
      </c>
      <c r="AB494" s="1185" t="s">
        <v>372</v>
      </c>
      <c r="AC494" s="1177"/>
      <c r="AD494" s="17"/>
      <c r="AE494" s="17"/>
      <c r="AF494" s="17"/>
      <c r="AG494" s="31"/>
      <c r="AH494" s="17"/>
      <c r="AI494" s="13"/>
      <c r="AJ494" s="13"/>
      <c r="AK494" s="13"/>
      <c r="AL494" s="13"/>
      <c r="AM494" s="13"/>
      <c r="AN494" s="13"/>
      <c r="AO494" s="13"/>
    </row>
    <row r="495" spans="1:41" ht="19.899999999999999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7"/>
      <c r="M495" s="33">
        <v>20</v>
      </c>
      <c r="N495" s="1199" t="e">
        <f t="shared" si="28"/>
        <v>#REF!</v>
      </c>
      <c r="O495" s="1200">
        <f t="shared" ref="O495:O501" si="30">+M495^2*3.14/1000000*7850/4</f>
        <v>2.4649000000000001</v>
      </c>
      <c r="P495" s="1201" t="e">
        <f t="shared" si="29"/>
        <v>#REF!</v>
      </c>
      <c r="Q495" s="32"/>
      <c r="R495" s="1203"/>
      <c r="S495" s="30"/>
      <c r="T495" s="1153"/>
      <c r="U495" s="1154" t="s">
        <v>389</v>
      </c>
      <c r="V495" s="1074">
        <f>+AB472</f>
        <v>12</v>
      </c>
      <c r="W495" s="1190">
        <f>+AB476</f>
        <v>0</v>
      </c>
      <c r="X495" s="1150">
        <f>+(AB474+AB475)*2</f>
        <v>0</v>
      </c>
      <c r="Y495" s="1156">
        <f t="shared" si="27"/>
        <v>0</v>
      </c>
      <c r="Z495" s="22"/>
      <c r="AA495" s="21"/>
      <c r="AB495" s="1185" t="s">
        <v>375</v>
      </c>
      <c r="AC495" s="17"/>
      <c r="AD495" s="17"/>
      <c r="AE495" s="17"/>
      <c r="AF495" s="17"/>
      <c r="AG495" s="31"/>
      <c r="AH495" s="17"/>
      <c r="AI495" s="13"/>
      <c r="AJ495" s="13"/>
      <c r="AK495" s="13"/>
      <c r="AL495" s="13"/>
      <c r="AM495" s="13"/>
      <c r="AN495" s="13"/>
      <c r="AO495" s="13"/>
    </row>
    <row r="496" spans="1:41" ht="19.899999999999999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7"/>
      <c r="M496" s="60">
        <v>18</v>
      </c>
      <c r="N496" s="1199">
        <f t="shared" si="28"/>
        <v>0</v>
      </c>
      <c r="O496" s="1200">
        <f t="shared" si="30"/>
        <v>1.9965689999999998</v>
      </c>
      <c r="P496" s="1201">
        <f t="shared" si="29"/>
        <v>0</v>
      </c>
      <c r="Q496" s="35"/>
      <c r="R496" s="30"/>
      <c r="S496" s="30"/>
      <c r="T496" s="1153"/>
      <c r="U496" s="1154" t="s">
        <v>390</v>
      </c>
      <c r="V496" s="1074">
        <f>+AE472</f>
        <v>12</v>
      </c>
      <c r="W496" s="1190">
        <f>+AE476</f>
        <v>0</v>
      </c>
      <c r="X496" s="1150">
        <f>+(AE474+AE475)*2</f>
        <v>0</v>
      </c>
      <c r="Y496" s="1156">
        <f t="shared" si="27"/>
        <v>0</v>
      </c>
      <c r="Z496" s="17"/>
      <c r="AA496" s="17"/>
      <c r="AB496" s="1185" t="s">
        <v>378</v>
      </c>
      <c r="AC496" s="1177"/>
      <c r="AD496" s="17"/>
      <c r="AE496" s="17"/>
      <c r="AF496" s="17"/>
      <c r="AG496" s="31"/>
      <c r="AH496" s="17"/>
      <c r="AI496" s="13"/>
      <c r="AJ496" s="13"/>
      <c r="AK496" s="13"/>
      <c r="AL496" s="13"/>
      <c r="AM496" s="13"/>
      <c r="AN496" s="13"/>
      <c r="AO496" s="13"/>
    </row>
    <row r="497" spans="1:41" ht="19.899999999999999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7"/>
      <c r="M497" s="33">
        <v>16</v>
      </c>
      <c r="N497" s="1199">
        <f t="shared" si="28"/>
        <v>0</v>
      </c>
      <c r="O497" s="1200">
        <f t="shared" si="30"/>
        <v>1.577536</v>
      </c>
      <c r="P497" s="1201">
        <f t="shared" si="29"/>
        <v>0</v>
      </c>
      <c r="Q497" s="32"/>
      <c r="R497" s="1203"/>
      <c r="S497" s="30"/>
      <c r="T497" s="1153"/>
      <c r="U497" s="1154" t="s">
        <v>421</v>
      </c>
      <c r="V497" s="1074">
        <f>+AF472</f>
        <v>12</v>
      </c>
      <c r="W497" s="1190">
        <f>+AF476</f>
        <v>0</v>
      </c>
      <c r="X497" s="1150">
        <f>+(AF474+AF475)*2</f>
        <v>0</v>
      </c>
      <c r="Y497" s="1156">
        <f t="shared" si="27"/>
        <v>0</v>
      </c>
      <c r="Z497" s="17"/>
      <c r="AA497" s="17"/>
      <c r="AB497" s="1185" t="s">
        <v>380</v>
      </c>
      <c r="AC497" s="1177"/>
      <c r="AD497" s="17"/>
      <c r="AE497" s="17"/>
      <c r="AF497" s="17"/>
      <c r="AG497" s="31"/>
      <c r="AH497" s="17"/>
      <c r="AI497" s="13"/>
      <c r="AJ497" s="13"/>
      <c r="AK497" s="13"/>
      <c r="AL497" s="13"/>
      <c r="AM497" s="13"/>
      <c r="AN497" s="13"/>
      <c r="AO497" s="13"/>
    </row>
    <row r="498" spans="1:41" ht="19.899999999999999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7"/>
      <c r="M498" s="60">
        <v>14</v>
      </c>
      <c r="N498" s="1199">
        <f t="shared" si="28"/>
        <v>0</v>
      </c>
      <c r="O498" s="1200">
        <f t="shared" si="30"/>
        <v>1.2078010000000001</v>
      </c>
      <c r="P498" s="1201">
        <f t="shared" si="29"/>
        <v>0</v>
      </c>
      <c r="Q498" s="35"/>
      <c r="R498" s="1203"/>
      <c r="S498" s="30"/>
      <c r="T498" s="1153"/>
      <c r="U498" s="1154">
        <v>7</v>
      </c>
      <c r="V498" s="1074">
        <f>+X472</f>
        <v>12</v>
      </c>
      <c r="W498" s="1155">
        <f>+X476</f>
        <v>4.3499999999999996</v>
      </c>
      <c r="X498" s="1150">
        <f>+X474*4</f>
        <v>20</v>
      </c>
      <c r="Y498" s="1156">
        <f t="shared" si="27"/>
        <v>87</v>
      </c>
      <c r="Z498" s="30"/>
      <c r="AA498" s="30"/>
      <c r="AB498" s="1176" t="s">
        <v>391</v>
      </c>
      <c r="AC498" s="1177"/>
      <c r="AD498" s="17"/>
      <c r="AE498" s="17"/>
      <c r="AF498" s="17"/>
      <c r="AG498" s="31"/>
      <c r="AH498" s="17"/>
      <c r="AI498" s="13"/>
      <c r="AJ498" s="13"/>
      <c r="AK498" s="13"/>
      <c r="AL498" s="13"/>
      <c r="AM498" s="13"/>
      <c r="AN498" s="13"/>
      <c r="AO498" s="13"/>
    </row>
    <row r="499" spans="1:41" ht="19.899999999999999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7"/>
      <c r="M499" s="60">
        <v>12</v>
      </c>
      <c r="N499" s="1199">
        <f t="shared" si="28"/>
        <v>2213.7999999999997</v>
      </c>
      <c r="O499" s="1200">
        <f t="shared" si="30"/>
        <v>0.88736400000000004</v>
      </c>
      <c r="P499" s="1201">
        <f t="shared" si="29"/>
        <v>1964.45</v>
      </c>
      <c r="Q499" s="35"/>
      <c r="R499" s="17"/>
      <c r="S499" s="30"/>
      <c r="T499" s="1153"/>
      <c r="U499" s="1154">
        <v>8</v>
      </c>
      <c r="V499" s="1074">
        <v>10</v>
      </c>
      <c r="W499" s="1155">
        <f>+O462-2*O468-2*S472/1000+0.1</f>
        <v>0.27600000000000002</v>
      </c>
      <c r="X499" s="1150">
        <f>+ROUND(S474/2-0.5,0)*ROUND(V474/2-0.5,0)*4+ROUND(S474/2-0.5,0)*ROUND(W474/2-0.5,0)*4+ROUND(T474/2-0.5,0)*ROUND(V474/2-0.5,0)*4+ROUND(T474/2-0.5,0)*ROUND(W474/2-0.5,0)*4+ROUND(U474/2-0.5,0)*(ROUND(V474/2-0.5,0)+ROUND(W474/2-0.5,0))*2+ROUND(X474/2-0.5,0)*(ROUND(S474/2-0.5,0)+ROUND(T474/2-0.5,0))*2</f>
        <v>612</v>
      </c>
      <c r="Y499" s="1156">
        <f t="shared" si="27"/>
        <v>168.91200000000001</v>
      </c>
      <c r="Z499" s="30">
        <f>+O462-2*O468-2*S472/1000</f>
        <v>0.17599999999999999</v>
      </c>
      <c r="AA499" s="30"/>
      <c r="AB499" s="1176" t="s">
        <v>392</v>
      </c>
      <c r="AC499" s="1177"/>
      <c r="AD499" s="17"/>
      <c r="AE499" s="17"/>
      <c r="AF499" s="17"/>
      <c r="AG499" s="31"/>
      <c r="AH499" s="17"/>
      <c r="AI499" s="13"/>
      <c r="AJ499" s="13"/>
      <c r="AK499" s="13"/>
      <c r="AL499" s="13"/>
      <c r="AM499" s="13"/>
      <c r="AN499" s="13"/>
      <c r="AO499" s="13"/>
    </row>
    <row r="500" spans="1:41" ht="19.899999999999999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7"/>
      <c r="M500" s="60">
        <v>10</v>
      </c>
      <c r="N500" s="1199" t="e">
        <f t="shared" si="28"/>
        <v>#VALUE!</v>
      </c>
      <c r="O500" s="1200">
        <f t="shared" si="30"/>
        <v>0.61622500000000002</v>
      </c>
      <c r="P500" s="1201" t="e">
        <f t="shared" si="29"/>
        <v>#VALUE!</v>
      </c>
      <c r="Q500" s="35"/>
      <c r="R500" s="1204"/>
      <c r="S500" s="30"/>
      <c r="T500" s="1153"/>
      <c r="U500" s="1154">
        <v>9</v>
      </c>
      <c r="V500" s="1205">
        <v>8</v>
      </c>
      <c r="W500" s="1155">
        <f>+(O466-2*O468+0.02)*2+(O463-2*O468+0.02)*2+0.06*2</f>
        <v>2.6</v>
      </c>
      <c r="X500" s="1206">
        <f>+S468+4</f>
        <v>140</v>
      </c>
      <c r="Y500" s="1156">
        <f t="shared" si="27"/>
        <v>364</v>
      </c>
      <c r="Z500" s="30">
        <f>+(O466-2*O468+0.02)</f>
        <v>0.37</v>
      </c>
      <c r="AA500" s="30">
        <f>+(O463-2*O468+0.02)</f>
        <v>0.87</v>
      </c>
      <c r="AB500" s="1176" t="s">
        <v>393</v>
      </c>
      <c r="AC500" s="1177"/>
      <c r="AD500" s="17"/>
      <c r="AE500" s="17"/>
      <c r="AF500" s="17"/>
      <c r="AG500" s="31"/>
      <c r="AH500" s="17"/>
      <c r="AI500" s="13"/>
      <c r="AJ500" s="13"/>
      <c r="AK500" s="13"/>
      <c r="AL500" s="13"/>
      <c r="AM500" s="13"/>
      <c r="AN500" s="13"/>
      <c r="AO500" s="13"/>
    </row>
    <row r="501" spans="1:41" ht="19.899999999999999" customHeight="1" thickBo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7"/>
      <c r="M501" s="61">
        <v>8</v>
      </c>
      <c r="N501" s="1207">
        <f t="shared" si="28"/>
        <v>659.84</v>
      </c>
      <c r="O501" s="1208">
        <f t="shared" si="30"/>
        <v>0.39438400000000001</v>
      </c>
      <c r="P501" s="1209">
        <f t="shared" si="29"/>
        <v>260.23</v>
      </c>
      <c r="Q501" s="1210"/>
      <c r="R501" s="17"/>
      <c r="S501" s="30"/>
      <c r="T501" s="1153"/>
      <c r="U501" s="1154" t="s">
        <v>394</v>
      </c>
      <c r="V501" s="1205">
        <v>8</v>
      </c>
      <c r="W501" s="1155">
        <f>+AA501*2+Z501*2+0.12</f>
        <v>1.8599999999999999</v>
      </c>
      <c r="X501" s="1206">
        <v>0</v>
      </c>
      <c r="Y501" s="1156">
        <f t="shared" si="27"/>
        <v>0</v>
      </c>
      <c r="Z501" s="1211">
        <v>0</v>
      </c>
      <c r="AA501" s="30">
        <f>+(O463-2*O468+0.02)</f>
        <v>0.87</v>
      </c>
      <c r="AB501" s="1176" t="s">
        <v>395</v>
      </c>
      <c r="AC501" s="1177"/>
      <c r="AD501" s="17"/>
      <c r="AE501" s="17"/>
      <c r="AF501" s="17"/>
      <c r="AG501" s="31"/>
      <c r="AH501" s="17"/>
      <c r="AI501" s="13"/>
      <c r="AJ501" s="13"/>
      <c r="AK501" s="13"/>
      <c r="AL501" s="13"/>
      <c r="AM501" s="13"/>
      <c r="AN501" s="13"/>
      <c r="AO501" s="13"/>
    </row>
    <row r="502" spans="1:41" ht="19.899999999999999" customHeight="1" thickBo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7"/>
      <c r="M502" s="71"/>
      <c r="N502" s="1212"/>
      <c r="O502" s="1212"/>
      <c r="P502" s="1060"/>
      <c r="Q502" s="1213"/>
      <c r="R502" s="17"/>
      <c r="S502" s="30"/>
      <c r="T502" s="1153"/>
      <c r="U502" s="1154" t="s">
        <v>396</v>
      </c>
      <c r="V502" s="1205">
        <v>8</v>
      </c>
      <c r="W502" s="1155">
        <f>+Z502+0.12</f>
        <v>0.12</v>
      </c>
      <c r="X502" s="1206">
        <f>+X501*2</f>
        <v>0</v>
      </c>
      <c r="Y502" s="1156">
        <f t="shared" si="27"/>
        <v>0</v>
      </c>
      <c r="Z502" s="1211">
        <v>0</v>
      </c>
      <c r="AA502" s="30"/>
      <c r="AB502" s="1176" t="s">
        <v>397</v>
      </c>
      <c r="AC502" s="1177"/>
      <c r="AD502" s="17"/>
      <c r="AE502" s="17"/>
      <c r="AF502" s="17"/>
      <c r="AG502" s="31"/>
      <c r="AH502" s="17"/>
      <c r="AI502" s="13"/>
      <c r="AJ502" s="13"/>
      <c r="AK502" s="13"/>
      <c r="AL502" s="13"/>
      <c r="AM502" s="13"/>
      <c r="AN502" s="13"/>
      <c r="AO502" s="13"/>
    </row>
    <row r="503" spans="1:41" ht="19.899999999999999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7"/>
      <c r="M503" s="65"/>
      <c r="N503" s="17"/>
      <c r="O503" s="17"/>
      <c r="P503" s="1214"/>
      <c r="Q503" s="17"/>
      <c r="R503" s="17"/>
      <c r="S503" s="30"/>
      <c r="T503" s="1153"/>
      <c r="U503" s="1154">
        <v>10</v>
      </c>
      <c r="V503" s="1215">
        <v>8</v>
      </c>
      <c r="W503" s="1155">
        <f>+(O465-2*O468+0.02)*4+0.06*2</f>
        <v>2.4</v>
      </c>
      <c r="X503" s="1216">
        <f>+(ROUND((O464-0.175)/0.25-0.5,0)+2)*4</f>
        <v>60</v>
      </c>
      <c r="Y503" s="1156">
        <f t="shared" si="27"/>
        <v>144</v>
      </c>
      <c r="Z503" s="30">
        <f>+O465-2*O468+0.02</f>
        <v>0.56999999999999995</v>
      </c>
      <c r="AA503" s="30"/>
      <c r="AB503" s="17"/>
      <c r="AC503" s="17"/>
      <c r="AD503" s="17"/>
      <c r="AE503" s="17"/>
      <c r="AF503" s="17"/>
      <c r="AG503" s="31"/>
      <c r="AH503" s="17"/>
      <c r="AI503" s="13"/>
      <c r="AJ503" s="13"/>
      <c r="AK503" s="13"/>
      <c r="AL503" s="13"/>
      <c r="AM503" s="13"/>
      <c r="AN503" s="13"/>
      <c r="AO503" s="13"/>
    </row>
    <row r="504" spans="1:41" ht="19.899999999999999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7"/>
      <c r="M504" s="65"/>
      <c r="N504" s="17"/>
      <c r="O504" s="17"/>
      <c r="P504" s="1214"/>
      <c r="Q504" s="17"/>
      <c r="R504" s="17"/>
      <c r="S504" s="17"/>
      <c r="T504" s="1153"/>
      <c r="U504" s="1154">
        <v>11</v>
      </c>
      <c r="V504" s="1215">
        <v>8</v>
      </c>
      <c r="W504" s="1155">
        <f>Z504*4+AA504*4+0.06*2</f>
        <v>2.92</v>
      </c>
      <c r="X504" s="1150">
        <f>+X503-4*2</f>
        <v>52</v>
      </c>
      <c r="Y504" s="1156">
        <f t="shared" si="27"/>
        <v>151.84</v>
      </c>
      <c r="Z504" s="1217">
        <v>0.7</v>
      </c>
      <c r="AA504" s="1217">
        <v>0</v>
      </c>
      <c r="AB504" s="17"/>
      <c r="AC504" s="17"/>
      <c r="AD504" s="17"/>
      <c r="AE504" s="17"/>
      <c r="AF504" s="17"/>
      <c r="AG504" s="31"/>
      <c r="AH504" s="17"/>
      <c r="AI504" s="13"/>
      <c r="AJ504" s="13"/>
      <c r="AK504" s="13"/>
      <c r="AL504" s="13"/>
      <c r="AM504" s="13"/>
      <c r="AN504" s="13"/>
      <c r="AO504" s="13"/>
    </row>
    <row r="505" spans="1:41" ht="19.899999999999999" customHeight="1" thickBo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7"/>
      <c r="M505" s="65"/>
      <c r="N505" s="17"/>
      <c r="O505" s="17"/>
      <c r="P505" s="17"/>
      <c r="Q505" s="17"/>
      <c r="R505" s="17"/>
      <c r="S505" s="17"/>
      <c r="T505" s="1218"/>
      <c r="U505" s="1219">
        <v>12</v>
      </c>
      <c r="V505" s="1220">
        <v>10</v>
      </c>
      <c r="W505" s="1221">
        <f>+O465+0.04</f>
        <v>0.74</v>
      </c>
      <c r="X505" s="1222" t="e">
        <f>+R469*4</f>
        <v>#VALUE!</v>
      </c>
      <c r="Y505" s="1223" t="e">
        <f t="shared" si="27"/>
        <v>#VALUE!</v>
      </c>
      <c r="Z505" s="1148"/>
      <c r="AA505" s="1148"/>
      <c r="AB505" s="30"/>
      <c r="AC505" s="30"/>
      <c r="AD505" s="17"/>
      <c r="AE505" s="17"/>
      <c r="AF505" s="17"/>
      <c r="AG505" s="31"/>
      <c r="AH505" s="17"/>
      <c r="AI505" s="13"/>
      <c r="AJ505" s="13"/>
      <c r="AK505" s="13"/>
      <c r="AL505" s="13"/>
      <c r="AM505" s="13"/>
      <c r="AN505" s="13"/>
      <c r="AO505" s="13"/>
    </row>
    <row r="506" spans="1:41" ht="19.899999999999999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7"/>
      <c r="M506" s="65"/>
      <c r="N506" s="17"/>
      <c r="O506" s="17"/>
      <c r="P506" s="17"/>
      <c r="Q506" s="17"/>
      <c r="R506" s="17"/>
      <c r="S506" s="17"/>
      <c r="T506" s="1141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31"/>
      <c r="AH506" s="17"/>
      <c r="AI506" s="13"/>
      <c r="AJ506" s="13"/>
      <c r="AK506" s="13"/>
      <c r="AL506" s="13"/>
      <c r="AM506" s="13"/>
      <c r="AN506" s="13"/>
      <c r="AO506" s="13"/>
    </row>
    <row r="507" spans="1:41" ht="19.899999999999999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7"/>
      <c r="M507" s="71"/>
      <c r="N507" s="1148"/>
      <c r="O507" s="1212"/>
      <c r="P507" s="1060"/>
      <c r="Q507" s="30"/>
      <c r="R507" s="17"/>
      <c r="S507" s="30"/>
      <c r="T507" s="1141"/>
      <c r="U507" s="17"/>
      <c r="V507" s="17"/>
      <c r="W507" s="17"/>
      <c r="X507" s="17"/>
      <c r="Y507" s="17"/>
      <c r="Z507" s="17"/>
      <c r="AA507" s="17"/>
      <c r="AB507" s="17"/>
      <c r="AC507" s="17"/>
      <c r="AD507" s="30"/>
      <c r="AE507" s="30"/>
      <c r="AF507" s="17"/>
      <c r="AG507" s="31"/>
      <c r="AH507" s="17"/>
      <c r="AI507" s="13"/>
      <c r="AJ507" s="13"/>
      <c r="AK507" s="13"/>
      <c r="AL507" s="13"/>
      <c r="AM507" s="13"/>
      <c r="AN507" s="13"/>
      <c r="AO507" s="13"/>
    </row>
    <row r="508" spans="1:41" ht="19.899999999999999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7"/>
      <c r="M508" s="65"/>
      <c r="N508" s="17"/>
      <c r="O508" s="17"/>
      <c r="P508" s="17"/>
      <c r="Q508" s="17"/>
      <c r="R508" s="17"/>
      <c r="S508" s="30"/>
      <c r="T508" s="1141"/>
      <c r="U508" s="17"/>
      <c r="V508" s="17"/>
      <c r="W508" s="17"/>
      <c r="X508" s="17"/>
      <c r="Y508" s="17"/>
      <c r="Z508" s="17"/>
      <c r="AA508" s="17"/>
      <c r="AB508" s="17"/>
      <c r="AC508" s="17"/>
      <c r="AD508" s="30"/>
      <c r="AE508" s="30"/>
      <c r="AF508" s="17"/>
      <c r="AG508" s="31"/>
      <c r="AH508" s="17"/>
      <c r="AI508" s="13"/>
      <c r="AJ508" s="13"/>
      <c r="AK508" s="13"/>
      <c r="AL508" s="13"/>
      <c r="AM508" s="13"/>
      <c r="AN508" s="13"/>
      <c r="AO508" s="13"/>
    </row>
    <row r="509" spans="1:41" ht="19.899999999999999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7"/>
      <c r="M509" s="65"/>
      <c r="N509" s="17"/>
      <c r="O509" s="17"/>
      <c r="P509" s="17"/>
      <c r="Q509" s="17"/>
      <c r="R509" s="17"/>
      <c r="S509" s="30"/>
      <c r="T509" s="17"/>
      <c r="U509" s="17"/>
      <c r="V509" s="17"/>
      <c r="W509" s="17"/>
      <c r="X509" s="17"/>
      <c r="Y509" s="17"/>
      <c r="Z509" s="17"/>
      <c r="AA509" s="17"/>
      <c r="AB509" s="30"/>
      <c r="AC509" s="30"/>
      <c r="AD509" s="30"/>
      <c r="AE509" s="30"/>
      <c r="AF509" s="17"/>
      <c r="AG509" s="31"/>
      <c r="AH509" s="17"/>
      <c r="AI509" s="13"/>
      <c r="AJ509" s="13"/>
      <c r="AK509" s="13"/>
      <c r="AL509" s="13"/>
      <c r="AM509" s="13"/>
      <c r="AN509" s="13"/>
      <c r="AO509" s="13"/>
    </row>
    <row r="510" spans="1:41" ht="19.899999999999999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7"/>
      <c r="M510" s="72" t="s">
        <v>398</v>
      </c>
      <c r="N510" s="1224">
        <v>1</v>
      </c>
      <c r="O510" s="1224">
        <v>2.5</v>
      </c>
      <c r="P510" s="1225">
        <f>+O464-O462</f>
        <v>3.15</v>
      </c>
      <c r="Q510" s="1108"/>
      <c r="R510" s="1108"/>
      <c r="S510" s="1108">
        <f>+(N510*N510+O510*O510+(N510+O510)*(N510+O510))*P510/6*4</f>
        <v>40.949999999999996</v>
      </c>
      <c r="T510" s="1141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17"/>
      <c r="AG510" s="31"/>
      <c r="AH510" s="17"/>
      <c r="AI510" s="13"/>
      <c r="AJ510" s="13"/>
      <c r="AK510" s="13"/>
      <c r="AL510" s="13"/>
      <c r="AM510" s="13"/>
      <c r="AN510" s="13"/>
      <c r="AO510" s="13"/>
    </row>
    <row r="511" spans="1:41" ht="19.899999999999999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7"/>
      <c r="M511" s="51" t="s">
        <v>399</v>
      </c>
      <c r="N511" s="1151"/>
      <c r="O511" s="1151"/>
      <c r="P511" s="1151"/>
      <c r="Q511" s="1151"/>
      <c r="R511" s="1151"/>
      <c r="S511" s="1226">
        <f>+S480</f>
        <v>41.65</v>
      </c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17"/>
      <c r="AG511" s="31"/>
      <c r="AH511" s="17"/>
      <c r="AI511" s="13"/>
      <c r="AJ511" s="13"/>
      <c r="AK511" s="13"/>
      <c r="AL511" s="13"/>
      <c r="AM511" s="13"/>
      <c r="AN511" s="13"/>
      <c r="AO511" s="13"/>
    </row>
    <row r="512" spans="1:41" ht="19.899999999999999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7"/>
      <c r="M512" s="73" t="s">
        <v>400</v>
      </c>
      <c r="N512" s="1227">
        <f>+N481</f>
        <v>0.5</v>
      </c>
      <c r="O512" s="1228">
        <f>+O481</f>
        <v>0.65</v>
      </c>
      <c r="P512" s="1228">
        <f>+P481</f>
        <v>10</v>
      </c>
      <c r="Q512" s="1228">
        <f>+Q481</f>
        <v>12</v>
      </c>
      <c r="R512" s="1229">
        <v>0.35699999999999998</v>
      </c>
      <c r="S512" s="1230">
        <f>+(N512*O512*(P512-2*O510)+N512*O512*(Q512-2*O510))*2</f>
        <v>7.8</v>
      </c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17"/>
      <c r="AG512" s="31"/>
      <c r="AH512" s="17"/>
      <c r="AI512" s="13"/>
      <c r="AJ512" s="13"/>
      <c r="AK512" s="13"/>
      <c r="AL512" s="13"/>
      <c r="AM512" s="13"/>
      <c r="AN512" s="13"/>
      <c r="AO512" s="13"/>
    </row>
    <row r="513" spans="1:41" ht="19.899999999999999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7"/>
      <c r="M513" s="74"/>
      <c r="N513" s="1112"/>
      <c r="O513" s="1112"/>
      <c r="P513" s="1112"/>
      <c r="Q513" s="1112"/>
      <c r="R513" s="1112"/>
      <c r="S513" s="1112">
        <f>+R512*O512/2*0.6*8</f>
        <v>0.55691999999999997</v>
      </c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31"/>
      <c r="AH513" s="17"/>
      <c r="AI513" s="13"/>
      <c r="AJ513" s="13"/>
      <c r="AK513" s="13"/>
      <c r="AL513" s="13"/>
      <c r="AM513" s="13"/>
      <c r="AN513" s="13"/>
      <c r="AO513" s="13"/>
    </row>
    <row r="514" spans="1:41" ht="19.899999999999999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7"/>
      <c r="M514" s="65"/>
      <c r="N514" s="17"/>
      <c r="O514" s="17"/>
      <c r="P514" s="17"/>
      <c r="Q514" s="17"/>
      <c r="R514" s="17" t="s">
        <v>401</v>
      </c>
      <c r="S514" s="1177">
        <f>+SUM(S510:S513)</f>
        <v>90.956919999999997</v>
      </c>
      <c r="T514" s="17"/>
      <c r="U514" s="17">
        <f>72*S514</f>
        <v>6548.8982399999995</v>
      </c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31"/>
      <c r="AH514" s="17"/>
      <c r="AI514" s="13"/>
      <c r="AJ514" s="13"/>
      <c r="AK514" s="13"/>
      <c r="AL514" s="13"/>
      <c r="AM514" s="13"/>
      <c r="AN514" s="13"/>
      <c r="AO514" s="13"/>
    </row>
    <row r="515" spans="1:41" ht="19.899999999999999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7"/>
      <c r="M515" s="65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31"/>
      <c r="AH515" s="17"/>
      <c r="AI515" s="13"/>
      <c r="AJ515" s="13"/>
      <c r="AK515" s="13"/>
      <c r="AL515" s="13"/>
      <c r="AM515" s="13"/>
      <c r="AN515" s="13"/>
      <c r="AO515" s="13"/>
    </row>
    <row r="516" spans="1:41" ht="19.899999999999999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7"/>
      <c r="M516" s="75" t="s">
        <v>402</v>
      </c>
      <c r="N516" s="30"/>
      <c r="O516" s="30"/>
      <c r="P516" s="30"/>
      <c r="Q516" s="30"/>
      <c r="R516" s="30"/>
      <c r="S516" s="30"/>
      <c r="T516" s="30"/>
      <c r="U516" s="30"/>
      <c r="V516" s="30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31"/>
      <c r="AH516" s="17"/>
      <c r="AI516" s="13"/>
      <c r="AJ516" s="13"/>
      <c r="AK516" s="13"/>
      <c r="AL516" s="13"/>
      <c r="AM516" s="13"/>
      <c r="AN516" s="13"/>
      <c r="AO516" s="13"/>
    </row>
    <row r="517" spans="1:41" ht="19.899999999999999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7"/>
      <c r="M517" s="76"/>
      <c r="N517" s="1231" t="s">
        <v>346</v>
      </c>
      <c r="O517" s="1231" t="s">
        <v>40</v>
      </c>
      <c r="P517" s="1231" t="s">
        <v>345</v>
      </c>
      <c r="Q517" s="1231" t="s">
        <v>346</v>
      </c>
      <c r="R517" s="1231" t="s">
        <v>347</v>
      </c>
      <c r="S517" s="1231" t="s">
        <v>348</v>
      </c>
      <c r="T517" s="1231" t="s">
        <v>349</v>
      </c>
      <c r="U517" s="1231" t="s">
        <v>403</v>
      </c>
      <c r="V517" s="1231" t="s">
        <v>404</v>
      </c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31"/>
      <c r="AH517" s="17"/>
      <c r="AI517" s="13"/>
      <c r="AJ517" s="13"/>
      <c r="AK517" s="13"/>
      <c r="AL517" s="13"/>
      <c r="AM517" s="13"/>
      <c r="AN517" s="13"/>
      <c r="AO517" s="13"/>
    </row>
    <row r="518" spans="1:41" ht="19.899999999999999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7"/>
      <c r="M518" s="76" t="s">
        <v>405</v>
      </c>
      <c r="N518" s="1232">
        <v>6.4</v>
      </c>
      <c r="O518" s="1232">
        <v>6.8</v>
      </c>
      <c r="P518" s="1233">
        <f>+N518+U518*2</f>
        <v>7</v>
      </c>
      <c r="Q518" s="1233">
        <f>+O518+U518*2</f>
        <v>7.3999999999999995</v>
      </c>
      <c r="R518" s="1233">
        <f>+P518+T518*2</f>
        <v>9.1999999999999993</v>
      </c>
      <c r="S518" s="1233">
        <f>+Q518+T518*2</f>
        <v>9.6</v>
      </c>
      <c r="T518" s="1232">
        <v>1.1000000000000001</v>
      </c>
      <c r="U518" s="1232">
        <v>0.3</v>
      </c>
      <c r="V518" s="1234">
        <f>+(P518*Q518+(P518+N518)*(Q518+O518)+N518*O518)*T518/6</f>
        <v>52.359999999999992</v>
      </c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31"/>
      <c r="AH518" s="17"/>
      <c r="AI518" s="13"/>
      <c r="AJ518" s="13"/>
      <c r="AK518" s="13"/>
      <c r="AL518" s="13"/>
      <c r="AM518" s="13"/>
      <c r="AN518" s="13"/>
      <c r="AO518" s="13"/>
    </row>
    <row r="519" spans="1:41" ht="19.899999999999999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7"/>
      <c r="M519" s="76" t="s">
        <v>406</v>
      </c>
      <c r="N519" s="1232">
        <v>6.4</v>
      </c>
      <c r="O519" s="1232">
        <v>7</v>
      </c>
      <c r="P519" s="1233">
        <f>+N519+U519*2</f>
        <v>7.4</v>
      </c>
      <c r="Q519" s="1233">
        <f>+O519+U519*2</f>
        <v>8</v>
      </c>
      <c r="R519" s="1233">
        <f>+P519+T519*2</f>
        <v>10.600000000000001</v>
      </c>
      <c r="S519" s="1233">
        <f>+Q519+T519*2</f>
        <v>11.2</v>
      </c>
      <c r="T519" s="1232">
        <f>1.1+U519</f>
        <v>1.6</v>
      </c>
      <c r="U519" s="1232">
        <v>0.5</v>
      </c>
      <c r="V519" s="1234">
        <f>+(P519*Q519+(P519+N519)*(Q519+O519)+N519*O519)*T519/6</f>
        <v>82.933333333333337</v>
      </c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31"/>
      <c r="AH519" s="17"/>
      <c r="AI519" s="13"/>
      <c r="AJ519" s="13"/>
      <c r="AK519" s="13"/>
      <c r="AL519" s="13"/>
      <c r="AM519" s="13"/>
      <c r="AN519" s="13"/>
      <c r="AO519" s="13"/>
    </row>
    <row r="520" spans="1:41" ht="19.899999999999999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7"/>
      <c r="M520" s="75" t="s">
        <v>407</v>
      </c>
      <c r="N520" s="30"/>
      <c r="O520" s="30"/>
      <c r="P520" s="30"/>
      <c r="Q520" s="30"/>
      <c r="R520" s="30"/>
      <c r="S520" s="30"/>
      <c r="T520" s="30"/>
      <c r="U520" s="30"/>
      <c r="V520" s="30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31"/>
      <c r="AH520" s="17"/>
      <c r="AI520" s="13"/>
      <c r="AJ520" s="13"/>
      <c r="AK520" s="13"/>
      <c r="AL520" s="13"/>
      <c r="AM520" s="13"/>
      <c r="AN520" s="13"/>
      <c r="AO520" s="13"/>
    </row>
    <row r="521" spans="1:41" ht="19.899999999999999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7"/>
      <c r="M521" s="76"/>
      <c r="N521" s="1231" t="s">
        <v>408</v>
      </c>
      <c r="O521" s="1231" t="s">
        <v>346</v>
      </c>
      <c r="P521" s="1231" t="s">
        <v>40</v>
      </c>
      <c r="Q521" s="1231" t="s">
        <v>403</v>
      </c>
      <c r="R521" s="1099" t="s">
        <v>409</v>
      </c>
      <c r="S521" s="1231" t="s">
        <v>410</v>
      </c>
      <c r="T521" s="1231"/>
      <c r="U521" s="1231"/>
      <c r="V521" s="1231" t="s">
        <v>411</v>
      </c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31"/>
      <c r="AH521" s="17"/>
      <c r="AI521" s="13"/>
      <c r="AJ521" s="13"/>
      <c r="AK521" s="13"/>
      <c r="AL521" s="13"/>
      <c r="AM521" s="13"/>
      <c r="AN521" s="13"/>
      <c r="AO521" s="13"/>
    </row>
    <row r="522" spans="1:41" ht="19.899999999999999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7"/>
      <c r="M522" s="76"/>
      <c r="N522" s="1232">
        <v>0.9</v>
      </c>
      <c r="O522" s="1232">
        <v>6.4</v>
      </c>
      <c r="P522" s="1232">
        <v>6.8</v>
      </c>
      <c r="Q522" s="1232">
        <f>1+0.5/2</f>
        <v>1.25</v>
      </c>
      <c r="R522" s="1233">
        <f>+O522+Q522*2</f>
        <v>8.9</v>
      </c>
      <c r="S522" s="1233">
        <f>+Q522*2+P522</f>
        <v>9.3000000000000007</v>
      </c>
      <c r="T522" s="1233"/>
      <c r="U522" s="1233"/>
      <c r="V522" s="1234">
        <f>+(S522*2+R522*2)*N522</f>
        <v>32.760000000000005</v>
      </c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31"/>
      <c r="AH522" s="17"/>
      <c r="AI522" s="13"/>
      <c r="AJ522" s="13"/>
      <c r="AK522" s="13"/>
      <c r="AL522" s="13"/>
      <c r="AM522" s="13"/>
      <c r="AN522" s="13"/>
      <c r="AO522" s="13"/>
    </row>
    <row r="523" spans="1:41" ht="19.899999999999999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7"/>
      <c r="M523" s="75" t="s">
        <v>412</v>
      </c>
      <c r="N523" s="30"/>
      <c r="O523" s="30"/>
      <c r="P523" s="30"/>
      <c r="Q523" s="30"/>
      <c r="R523" s="30"/>
      <c r="S523" s="30"/>
      <c r="T523" s="30"/>
      <c r="U523" s="30"/>
      <c r="V523" s="30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31"/>
      <c r="AH523" s="17"/>
      <c r="AI523" s="13"/>
      <c r="AJ523" s="13"/>
      <c r="AK523" s="13"/>
      <c r="AL523" s="13"/>
      <c r="AM523" s="13"/>
      <c r="AN523" s="13"/>
      <c r="AO523" s="13"/>
    </row>
    <row r="524" spans="1:41" ht="19.899999999999999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7"/>
      <c r="M524" s="76"/>
      <c r="N524" s="1231" t="s">
        <v>404</v>
      </c>
      <c r="O524" s="1231" t="s">
        <v>413</v>
      </c>
      <c r="P524" s="1231" t="s">
        <v>346</v>
      </c>
      <c r="Q524" s="1231" t="s">
        <v>40</v>
      </c>
      <c r="R524" s="1231" t="s">
        <v>409</v>
      </c>
      <c r="S524" s="1231" t="s">
        <v>410</v>
      </c>
      <c r="T524" s="1231" t="s">
        <v>349</v>
      </c>
      <c r="U524" s="1231"/>
      <c r="V524" s="1231" t="s">
        <v>414</v>
      </c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31"/>
      <c r="AH524" s="17"/>
      <c r="AI524" s="13"/>
      <c r="AJ524" s="13"/>
      <c r="AK524" s="13"/>
      <c r="AL524" s="13"/>
      <c r="AM524" s="13"/>
      <c r="AN524" s="13"/>
      <c r="AO524" s="13"/>
    </row>
    <row r="525" spans="1:41" ht="19.899999999999999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7"/>
      <c r="M525" s="76"/>
      <c r="N525" s="1232">
        <f>+V518</f>
        <v>52.359999999999992</v>
      </c>
      <c r="O525" s="1232">
        <v>18.25</v>
      </c>
      <c r="P525" s="1232">
        <v>6.4</v>
      </c>
      <c r="Q525" s="1232">
        <v>7</v>
      </c>
      <c r="R525" s="1233">
        <f>+P525+T525*2</f>
        <v>8.4</v>
      </c>
      <c r="S525" s="1233">
        <f>+Q525+T525*2</f>
        <v>9</v>
      </c>
      <c r="T525" s="1232">
        <v>1</v>
      </c>
      <c r="U525" s="1231"/>
      <c r="V525" s="1234">
        <f>+(P525*Q525+R525*S525+(P525+R525)*(Q525+S525))*T525/6+N525-O525+S483</f>
        <v>98.543333333333337</v>
      </c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31"/>
      <c r="AH525" s="17"/>
      <c r="AI525" s="13"/>
      <c r="AJ525" s="13"/>
      <c r="AK525" s="13"/>
      <c r="AL525" s="13"/>
      <c r="AM525" s="13"/>
      <c r="AN525" s="13"/>
      <c r="AO525" s="13"/>
    </row>
    <row r="526" spans="1:41" ht="19.899999999999999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7"/>
      <c r="M526" s="65"/>
      <c r="N526" s="17" t="s">
        <v>346</v>
      </c>
      <c r="O526" s="17" t="s">
        <v>40</v>
      </c>
      <c r="P526" s="17"/>
      <c r="Q526" s="17" t="s">
        <v>415</v>
      </c>
      <c r="R526" s="17" t="s">
        <v>416</v>
      </c>
      <c r="S526" s="17" t="s">
        <v>346</v>
      </c>
      <c r="T526" s="17" t="s">
        <v>40</v>
      </c>
      <c r="U526" s="17" t="s">
        <v>348</v>
      </c>
      <c r="V526" s="17" t="s">
        <v>417</v>
      </c>
      <c r="W526" s="17" t="s">
        <v>418</v>
      </c>
      <c r="X526" s="17"/>
      <c r="Y526" s="17"/>
      <c r="Z526" s="17"/>
      <c r="AA526" s="17"/>
      <c r="AB526" s="17"/>
      <c r="AC526" s="17"/>
      <c r="AD526" s="17"/>
      <c r="AE526" s="17"/>
      <c r="AF526" s="17"/>
      <c r="AG526" s="31"/>
      <c r="AH526" s="17"/>
      <c r="AI526" s="13"/>
      <c r="AJ526" s="13"/>
      <c r="AK526" s="13"/>
      <c r="AL526" s="13"/>
      <c r="AM526" s="13"/>
      <c r="AN526" s="13"/>
      <c r="AO526" s="13"/>
    </row>
    <row r="527" spans="1:41" ht="19.899999999999999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7"/>
      <c r="M527" s="65"/>
      <c r="N527" s="1235">
        <v>5.3</v>
      </c>
      <c r="O527" s="1235">
        <v>5</v>
      </c>
      <c r="P527" s="1235">
        <v>0.3</v>
      </c>
      <c r="Q527" s="1235">
        <v>0.25</v>
      </c>
      <c r="R527" s="1235">
        <v>3.6</v>
      </c>
      <c r="S527" s="17">
        <f>+N527+P527*2</f>
        <v>5.8999999999999995</v>
      </c>
      <c r="T527" s="17">
        <f>+O527+P527*2</f>
        <v>5.6</v>
      </c>
      <c r="U527" s="17">
        <f>+Q527*R527*2+S527</f>
        <v>7.6999999999999993</v>
      </c>
      <c r="V527" s="17">
        <f>+Q527*R527*2+T527</f>
        <v>7.3999999999999995</v>
      </c>
      <c r="W527" s="17">
        <f>+(U527*V527+S527*T527+(S527+U527)*(T527+V527))*R527/6</f>
        <v>160.09199999999996</v>
      </c>
      <c r="X527" s="17"/>
      <c r="Y527" s="17"/>
      <c r="Z527" s="17"/>
      <c r="AA527" s="17"/>
      <c r="AB527" s="17"/>
      <c r="AC527" s="17"/>
      <c r="AD527" s="17"/>
      <c r="AE527" s="17"/>
      <c r="AF527" s="17"/>
      <c r="AG527" s="31"/>
      <c r="AH527" s="17"/>
      <c r="AI527" s="13"/>
      <c r="AJ527" s="13"/>
      <c r="AK527" s="13"/>
      <c r="AL527" s="13"/>
      <c r="AM527" s="13"/>
      <c r="AN527" s="13"/>
      <c r="AO527" s="13"/>
    </row>
    <row r="528" spans="1:41" ht="19.899999999999999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7"/>
      <c r="M528" s="65"/>
      <c r="N528" s="17"/>
      <c r="O528" s="17"/>
      <c r="P528" s="17"/>
      <c r="Q528" s="17"/>
      <c r="R528" s="17"/>
      <c r="S528" s="17"/>
      <c r="T528" s="17"/>
      <c r="U528" s="17"/>
      <c r="V528" s="17"/>
      <c r="W528" s="17">
        <f>+W527*4</f>
        <v>640.36799999999982</v>
      </c>
      <c r="X528" s="17" t="s">
        <v>419</v>
      </c>
      <c r="Y528" s="17"/>
      <c r="Z528" s="17"/>
      <c r="AA528" s="17"/>
      <c r="AB528" s="17"/>
      <c r="AC528" s="17"/>
      <c r="AD528" s="17"/>
      <c r="AE528" s="17"/>
      <c r="AF528" s="17"/>
      <c r="AG528" s="31"/>
      <c r="AH528" s="17"/>
      <c r="AI528" s="13"/>
      <c r="AJ528" s="13"/>
      <c r="AK528" s="13"/>
      <c r="AL528" s="13"/>
      <c r="AM528" s="13"/>
      <c r="AN528" s="13"/>
      <c r="AO528" s="13"/>
    </row>
    <row r="529" spans="1:41" ht="19.899999999999999" customHeight="1" thickBo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7"/>
      <c r="M529" s="77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9"/>
      <c r="AH529" s="17"/>
      <c r="AI529" s="13"/>
      <c r="AJ529" s="13"/>
      <c r="AK529" s="13"/>
      <c r="AL529" s="13"/>
      <c r="AM529" s="13"/>
      <c r="AN529" s="13"/>
      <c r="AO529" s="13"/>
    </row>
    <row r="530" spans="1:41" ht="19.899999999999999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7"/>
      <c r="M530" s="25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3"/>
      <c r="AJ530" s="13"/>
      <c r="AK530" s="13"/>
      <c r="AL530" s="13"/>
      <c r="AM530" s="13"/>
      <c r="AN530" s="13"/>
      <c r="AO530" s="13"/>
    </row>
    <row r="531" spans="1:41" ht="19.899999999999999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7"/>
      <c r="M531" s="25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3"/>
      <c r="AJ531" s="13"/>
      <c r="AK531" s="13"/>
      <c r="AL531" s="13"/>
      <c r="AM531" s="13"/>
      <c r="AN531" s="13"/>
      <c r="AO531" s="13"/>
    </row>
    <row r="532" spans="1:41" ht="19.899999999999999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7"/>
      <c r="L532" s="25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3"/>
      <c r="AI532" s="13"/>
      <c r="AJ532" s="13"/>
      <c r="AK532" s="13"/>
      <c r="AL532" s="13"/>
      <c r="AM532" s="13"/>
      <c r="AN532" s="13"/>
      <c r="AO532" s="13"/>
    </row>
    <row r="533" spans="1:41" ht="19.899999999999999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7"/>
      <c r="L533" s="25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3"/>
      <c r="AI533" s="13"/>
      <c r="AJ533" s="13"/>
      <c r="AK533" s="13"/>
      <c r="AL533" s="13"/>
      <c r="AM533" s="13"/>
      <c r="AN533" s="13"/>
      <c r="AO533" s="13"/>
    </row>
    <row r="534" spans="1:41" ht="19.899999999999999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7"/>
      <c r="L534" s="25"/>
      <c r="M534" s="17"/>
      <c r="N534" s="17"/>
      <c r="O534" s="17"/>
      <c r="P534" s="17"/>
      <c r="Q534" s="17"/>
      <c r="R534" s="17"/>
      <c r="S534" s="17"/>
      <c r="T534" s="17"/>
      <c r="U534" s="17"/>
      <c r="V534" s="17"/>
    </row>
    <row r="535" spans="1:41" ht="19.899999999999999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7"/>
      <c r="L535" s="25"/>
      <c r="M535" s="17"/>
      <c r="N535" s="17"/>
      <c r="O535" s="17"/>
      <c r="P535" s="17"/>
      <c r="Q535" s="17"/>
      <c r="R535" s="17"/>
      <c r="S535" s="17"/>
      <c r="T535" s="17"/>
      <c r="U535" s="17"/>
      <c r="V535" s="17"/>
    </row>
    <row r="536" spans="1:41" ht="19.899999999999999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7"/>
      <c r="L536" s="25"/>
      <c r="M536" s="17"/>
      <c r="N536" s="17"/>
      <c r="O536" s="17"/>
      <c r="P536" s="17"/>
      <c r="Q536" s="17"/>
      <c r="R536" s="17"/>
      <c r="S536" s="17"/>
      <c r="T536" s="17"/>
      <c r="U536" s="17"/>
      <c r="V536" s="17"/>
    </row>
    <row r="537" spans="1:41" ht="19.899999999999999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7"/>
      <c r="L537" s="25"/>
      <c r="M537" s="17"/>
      <c r="N537" s="17"/>
      <c r="O537" s="17"/>
      <c r="P537" s="17"/>
      <c r="Q537" s="17"/>
      <c r="R537" s="17"/>
      <c r="S537" s="17"/>
      <c r="T537" s="17"/>
      <c r="U537" s="17"/>
      <c r="V537" s="17"/>
    </row>
    <row r="538" spans="1:41" ht="19.899999999999999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7"/>
      <c r="L538" s="25"/>
      <c r="M538" s="17"/>
      <c r="N538" s="17"/>
      <c r="O538" s="17"/>
      <c r="P538" s="17"/>
      <c r="Q538" s="17"/>
      <c r="R538" s="17"/>
      <c r="S538" s="17"/>
      <c r="T538" s="17"/>
      <c r="U538" s="17"/>
      <c r="V538" s="17"/>
    </row>
    <row r="539" spans="1:41" ht="19.899999999999999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7"/>
      <c r="L539" s="25"/>
      <c r="M539" s="17"/>
      <c r="N539" s="17"/>
      <c r="O539" s="17"/>
      <c r="P539" s="17"/>
      <c r="Q539" s="17"/>
      <c r="R539" s="17"/>
      <c r="S539" s="17"/>
      <c r="T539" s="17"/>
      <c r="U539" s="17"/>
      <c r="V539" s="17"/>
    </row>
    <row r="540" spans="1:41" ht="19.899999999999999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7"/>
      <c r="L540" s="25"/>
      <c r="M540" s="17"/>
      <c r="N540" s="17"/>
      <c r="O540" s="17"/>
      <c r="P540" s="17"/>
      <c r="Q540" s="17"/>
      <c r="R540" s="17"/>
      <c r="S540" s="17"/>
      <c r="T540" s="17"/>
      <c r="U540" s="17"/>
      <c r="V540" s="17"/>
    </row>
    <row r="541" spans="1:41" ht="19.899999999999999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7"/>
      <c r="L541" s="25"/>
      <c r="M541" s="17"/>
      <c r="N541" s="17"/>
      <c r="O541" s="17"/>
      <c r="P541" s="17"/>
      <c r="Q541" s="17"/>
      <c r="R541" s="17"/>
      <c r="S541" s="17"/>
      <c r="T541" s="17"/>
      <c r="U541" s="17"/>
      <c r="V541" s="17"/>
    </row>
    <row r="542" spans="1:41" ht="19.899999999999999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7"/>
      <c r="L542" s="25"/>
      <c r="M542" s="17"/>
      <c r="N542" s="17"/>
      <c r="O542" s="17"/>
      <c r="P542" s="17"/>
      <c r="Q542" s="17"/>
      <c r="R542" s="17"/>
      <c r="S542" s="17"/>
      <c r="T542" s="17"/>
      <c r="U542" s="17"/>
      <c r="V542" s="17"/>
    </row>
    <row r="543" spans="1:41" ht="19.899999999999999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7"/>
      <c r="L543" s="25"/>
      <c r="M543" s="17"/>
      <c r="N543" s="17"/>
      <c r="O543" s="17"/>
      <c r="P543" s="17"/>
      <c r="Q543" s="17"/>
      <c r="R543" s="17"/>
      <c r="S543" s="17"/>
      <c r="T543" s="17"/>
      <c r="U543" s="17"/>
      <c r="V543" s="17"/>
    </row>
    <row r="544" spans="1:41" ht="19.899999999999999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7"/>
      <c r="L544" s="25"/>
      <c r="M544" s="17"/>
      <c r="N544" s="17"/>
      <c r="O544" s="17"/>
      <c r="P544" s="17"/>
      <c r="Q544" s="17"/>
      <c r="R544" s="17"/>
      <c r="S544" s="17"/>
      <c r="T544" s="17"/>
      <c r="U544" s="17"/>
      <c r="V544" s="17"/>
    </row>
    <row r="545" spans="1:22" ht="19.899999999999999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7"/>
      <c r="L545" s="25"/>
      <c r="M545" s="17"/>
      <c r="N545" s="17"/>
      <c r="O545" s="17"/>
      <c r="P545" s="17"/>
      <c r="Q545" s="17"/>
      <c r="R545" s="17"/>
      <c r="S545" s="17"/>
      <c r="T545" s="17"/>
      <c r="U545" s="17"/>
      <c r="V545" s="17"/>
    </row>
    <row r="546" spans="1:22" ht="19.899999999999999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7"/>
      <c r="L546" s="25"/>
      <c r="M546" s="17"/>
      <c r="N546" s="17"/>
      <c r="O546" s="17"/>
      <c r="P546" s="17"/>
      <c r="Q546" s="17"/>
      <c r="R546" s="17"/>
      <c r="S546" s="17"/>
      <c r="T546" s="17"/>
      <c r="U546" s="17"/>
      <c r="V546" s="17"/>
    </row>
    <row r="547" spans="1:22" ht="19.899999999999999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7"/>
      <c r="L547" s="25"/>
      <c r="M547" s="17"/>
      <c r="N547" s="17"/>
      <c r="O547" s="17"/>
      <c r="P547" s="17"/>
      <c r="Q547" s="17"/>
      <c r="R547" s="17"/>
      <c r="S547" s="17"/>
      <c r="T547" s="17"/>
      <c r="U547" s="17"/>
      <c r="V547" s="17"/>
    </row>
    <row r="548" spans="1:22" ht="19.899999999999999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7"/>
      <c r="L548" s="25"/>
      <c r="M548" s="17"/>
      <c r="N548" s="17"/>
      <c r="O548" s="17"/>
      <c r="P548" s="17"/>
      <c r="Q548" s="17"/>
      <c r="R548" s="17"/>
      <c r="S548" s="17"/>
      <c r="T548" s="17"/>
      <c r="U548" s="17"/>
      <c r="V548" s="17"/>
    </row>
    <row r="549" spans="1:22" ht="19.899999999999999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7"/>
      <c r="L549" s="25"/>
      <c r="M549" s="17"/>
      <c r="N549" s="17"/>
      <c r="O549" s="17"/>
      <c r="P549" s="17"/>
      <c r="Q549" s="17"/>
      <c r="R549" s="17"/>
      <c r="S549" s="17"/>
      <c r="T549" s="17"/>
      <c r="U549" s="17"/>
      <c r="V549" s="17"/>
    </row>
    <row r="550" spans="1:22" ht="19.899999999999999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7"/>
      <c r="L550" s="25"/>
      <c r="M550" s="17"/>
      <c r="N550" s="17"/>
      <c r="O550" s="17"/>
      <c r="P550" s="17"/>
      <c r="Q550" s="17"/>
      <c r="R550" s="17"/>
      <c r="S550" s="17"/>
      <c r="T550" s="17"/>
      <c r="U550" s="17"/>
      <c r="V550" s="17"/>
    </row>
    <row r="551" spans="1:22" ht="19.899999999999999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7"/>
      <c r="L551" s="25"/>
      <c r="M551" s="17"/>
      <c r="N551" s="17"/>
      <c r="O551" s="17"/>
      <c r="P551" s="17"/>
      <c r="Q551" s="17"/>
      <c r="R551" s="17"/>
      <c r="S551" s="17"/>
      <c r="T551" s="17"/>
      <c r="U551" s="17"/>
      <c r="V551" s="17"/>
    </row>
    <row r="552" spans="1:22" ht="19.899999999999999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7"/>
      <c r="L552" s="25"/>
      <c r="M552" s="17"/>
      <c r="N552" s="17"/>
      <c r="O552" s="17"/>
      <c r="P552" s="17"/>
      <c r="Q552" s="17"/>
      <c r="R552" s="17"/>
      <c r="S552" s="17"/>
      <c r="T552" s="17"/>
      <c r="U552" s="17"/>
      <c r="V552" s="17"/>
    </row>
    <row r="553" spans="1:22" ht="19.899999999999999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7"/>
      <c r="L553" s="25"/>
      <c r="M553" s="17"/>
      <c r="N553" s="17"/>
      <c r="O553" s="17"/>
      <c r="P553" s="17"/>
      <c r="Q553" s="17"/>
      <c r="R553" s="17"/>
      <c r="S553" s="17"/>
      <c r="T553" s="17"/>
      <c r="U553" s="17"/>
      <c r="V553" s="17"/>
    </row>
  </sheetData>
  <dataConsolidate/>
  <mergeCells count="86">
    <mergeCell ref="AE470:AF470"/>
    <mergeCell ref="M474:M475"/>
    <mergeCell ref="AA455:AC455"/>
    <mergeCell ref="N459:N461"/>
    <mergeCell ref="S469:X469"/>
    <mergeCell ref="Y469:AB469"/>
    <mergeCell ref="AC469:AF469"/>
    <mergeCell ref="S470:U470"/>
    <mergeCell ref="V470:X470"/>
    <mergeCell ref="Y470:Z470"/>
    <mergeCell ref="AA470:AB470"/>
    <mergeCell ref="AC470:AD470"/>
    <mergeCell ref="C397:C398"/>
    <mergeCell ref="E397:E398"/>
    <mergeCell ref="F397:F398"/>
    <mergeCell ref="G397:G398"/>
    <mergeCell ref="C404:C405"/>
    <mergeCell ref="E404:E405"/>
    <mergeCell ref="F404:F405"/>
    <mergeCell ref="G404:G405"/>
    <mergeCell ref="J383:J387"/>
    <mergeCell ref="C395:C396"/>
    <mergeCell ref="E395:E396"/>
    <mergeCell ref="F395:F396"/>
    <mergeCell ref="G395:G396"/>
    <mergeCell ref="H395:H396"/>
    <mergeCell ref="I139:I140"/>
    <mergeCell ref="W141:Z141"/>
    <mergeCell ref="K323:K328"/>
    <mergeCell ref="J329:K329"/>
    <mergeCell ref="C372:C373"/>
    <mergeCell ref="D372:E372"/>
    <mergeCell ref="L372:L373"/>
    <mergeCell ref="M372:N372"/>
    <mergeCell ref="D373:E373"/>
    <mergeCell ref="M373:N373"/>
    <mergeCell ref="B139:C140"/>
    <mergeCell ref="D139:D140"/>
    <mergeCell ref="F139:F140"/>
    <mergeCell ref="G139:G140"/>
    <mergeCell ref="H139:H140"/>
    <mergeCell ref="O59:P59"/>
    <mergeCell ref="B137:D138"/>
    <mergeCell ref="E137:E138"/>
    <mergeCell ref="G137:G138"/>
    <mergeCell ref="H137:H138"/>
    <mergeCell ref="I137:I138"/>
    <mergeCell ref="G126:H126"/>
    <mergeCell ref="B57:C57"/>
    <mergeCell ref="V45:Y45"/>
    <mergeCell ref="A48:A50"/>
    <mergeCell ref="I48:J48"/>
    <mergeCell ref="I49:J49"/>
    <mergeCell ref="A52:A53"/>
    <mergeCell ref="B52:C53"/>
    <mergeCell ref="F52:F53"/>
    <mergeCell ref="B54:C54"/>
    <mergeCell ref="B56:C56"/>
    <mergeCell ref="A45:A47"/>
    <mergeCell ref="B55:C55"/>
    <mergeCell ref="A42:A44"/>
    <mergeCell ref="AA8:AA9"/>
    <mergeCell ref="G10:G11"/>
    <mergeCell ref="G14:G16"/>
    <mergeCell ref="H16:H17"/>
    <mergeCell ref="W8:W9"/>
    <mergeCell ref="Z8:Z9"/>
    <mergeCell ref="A34:B34"/>
    <mergeCell ref="A35:B35"/>
    <mergeCell ref="A36:B36"/>
    <mergeCell ref="A39:A41"/>
    <mergeCell ref="A31:B31"/>
    <mergeCell ref="A32:B32"/>
    <mergeCell ref="A33:B33"/>
    <mergeCell ref="V8:V9"/>
    <mergeCell ref="A4:B4"/>
    <mergeCell ref="C4:G4"/>
    <mergeCell ref="G7:G9"/>
    <mergeCell ref="G23:G24"/>
    <mergeCell ref="C15:C16"/>
    <mergeCell ref="A10:A11"/>
    <mergeCell ref="H3:I3"/>
    <mergeCell ref="A1:B1"/>
    <mergeCell ref="A2:B2"/>
    <mergeCell ref="A3:B3"/>
    <mergeCell ref="C3:G3"/>
  </mergeCells>
  <conditionalFormatting sqref="E66:J66">
    <cfRule type="expression" dxfId="101" priority="17">
      <formula>$V$66="Chưa đạt"</formula>
    </cfRule>
  </conditionalFormatting>
  <conditionalFormatting sqref="E67:J67">
    <cfRule type="expression" dxfId="100" priority="16">
      <formula>$V$67="Chưa đạt"</formula>
    </cfRule>
  </conditionalFormatting>
  <conditionalFormatting sqref="E68:J68">
    <cfRule type="expression" dxfId="99" priority="15">
      <formula>$V$68="Chưa đạt"</formula>
    </cfRule>
  </conditionalFormatting>
  <conditionalFormatting sqref="E70:J70">
    <cfRule type="expression" dxfId="98" priority="14">
      <formula>$V$70="Chưa đạt"</formula>
    </cfRule>
  </conditionalFormatting>
  <conditionalFormatting sqref="E71:J71">
    <cfRule type="expression" dxfId="97" priority="13">
      <formula>$V$71="Chưa đạt"</formula>
    </cfRule>
  </conditionalFormatting>
  <conditionalFormatting sqref="E72:J72">
    <cfRule type="expression" dxfId="96" priority="12">
      <formula>$V$72="Chưa đạt"</formula>
    </cfRule>
  </conditionalFormatting>
  <conditionalFormatting sqref="E82:J82">
    <cfRule type="expression" dxfId="95" priority="11">
      <formula>$V$82="Chưa đạt"</formula>
    </cfRule>
  </conditionalFormatting>
  <conditionalFormatting sqref="E83:J83">
    <cfRule type="expression" dxfId="94" priority="10">
      <formula>$V$83="Chưa đạt"</formula>
    </cfRule>
  </conditionalFormatting>
  <conditionalFormatting sqref="E84:G84 I84:J84">
    <cfRule type="expression" dxfId="93" priority="9">
      <formula>$V$84="Chưa đạt"</formula>
    </cfRule>
  </conditionalFormatting>
  <conditionalFormatting sqref="E88:J88">
    <cfRule type="expression" dxfId="92" priority="8">
      <formula>$V$88="Chưa đạt"</formula>
    </cfRule>
  </conditionalFormatting>
  <conditionalFormatting sqref="E89:J89">
    <cfRule type="expression" dxfId="91" priority="7">
      <formula>$V$89="Chưa đạt"</formula>
    </cfRule>
  </conditionalFormatting>
  <conditionalFormatting sqref="E90:J90">
    <cfRule type="expression" dxfId="90" priority="6">
      <formula>$V$90="Chưa đạt"</formula>
    </cfRule>
  </conditionalFormatting>
  <conditionalFormatting sqref="B131:F131 H131:K131">
    <cfRule type="expression" dxfId="89" priority="5">
      <formula>$V$131="NOT"</formula>
    </cfRule>
  </conditionalFormatting>
  <conditionalFormatting sqref="B139:I140">
    <cfRule type="expression" dxfId="88" priority="4">
      <formula>$V$139="NOT"</formula>
    </cfRule>
  </conditionalFormatting>
  <conditionalFormatting sqref="A154:L154">
    <cfRule type="expression" dxfId="87" priority="3">
      <formula>$V$154="NO"</formula>
    </cfRule>
  </conditionalFormatting>
  <conditionalFormatting sqref="V148">
    <cfRule type="expression" dxfId="86" priority="2">
      <formula>$V$148="NO"</formula>
    </cfRule>
  </conditionalFormatting>
  <conditionalFormatting sqref="H84">
    <cfRule type="expression" dxfId="85" priority="1">
      <formula>$V$68="Chưa đạt"</formula>
    </cfRule>
  </conditionalFormatting>
  <conditionalFormatting sqref="H148:I148">
    <cfRule type="expression" dxfId="84" priority="77">
      <formula>$J$148="NO"</formula>
    </cfRule>
  </conditionalFormatting>
  <printOptions horizontalCentered="1"/>
  <pageMargins left="0.39370078740157483" right="0.19685039370078741" top="0.39370078740157483" bottom="0.39370078740157483" header="0" footer="0"/>
  <pageSetup paperSize="9" scale="73" orientation="portrait" blackAndWhite="1" r:id="rId1"/>
  <headerFooter alignWithMargins="0">
    <oddFooter xml:space="preserve">&amp;C
&amp;R&amp;12&amp;Y </oddFooter>
  </headerFooter>
  <rowBreaks count="2" manualBreakCount="2">
    <brk id="50" max="11" man="1"/>
    <brk id="102" max="11" man="1"/>
  </rowBreaks>
  <drawing r:id="rId2"/>
  <legacyDrawing r:id="rId3"/>
  <oleObjects>
    <mc:AlternateContent xmlns:mc="http://schemas.openxmlformats.org/markup-compatibility/2006">
      <mc:Choice Requires="x14">
        <oleObject progId="Equation.3" shapeId="481281" r:id="rId4">
          <objectPr defaultSize="0" autoPict="0" r:id="rId5">
            <anchor moveWithCells="1">
              <from>
                <xdr:col>0</xdr:col>
                <xdr:colOff>609600</xdr:colOff>
                <xdr:row>448</xdr:row>
                <xdr:rowOff>146050</xdr:rowOff>
              </from>
              <to>
                <xdr:col>1</xdr:col>
                <xdr:colOff>641350</xdr:colOff>
                <xdr:row>450</xdr:row>
                <xdr:rowOff>19050</xdr:rowOff>
              </to>
            </anchor>
          </objectPr>
        </oleObject>
      </mc:Choice>
      <mc:Fallback>
        <oleObject progId="Equation.3" shapeId="481281" r:id="rId4"/>
      </mc:Fallback>
    </mc:AlternateContent>
    <mc:AlternateContent xmlns:mc="http://schemas.openxmlformats.org/markup-compatibility/2006">
      <mc:Choice Requires="x14">
        <oleObject progId="Equation.3" shapeId="481282" r:id="rId6">
          <objectPr defaultSize="0" autoPict="0" r:id="rId7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146050</xdr:colOff>
                <xdr:row>449</xdr:row>
                <xdr:rowOff>209550</xdr:rowOff>
              </to>
            </anchor>
          </objectPr>
        </oleObject>
      </mc:Choice>
      <mc:Fallback>
        <oleObject progId="Equation.3" shapeId="481282" r:id="rId6"/>
      </mc:Fallback>
    </mc:AlternateContent>
    <mc:AlternateContent xmlns:mc="http://schemas.openxmlformats.org/markup-compatibility/2006">
      <mc:Choice Requires="x14">
        <oleObject progId="Equation.3" shapeId="481283" r:id="rId8">
          <objectPr defaultSize="0" autoPict="0" r:id="rId9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247650</xdr:colOff>
                <xdr:row>449</xdr:row>
                <xdr:rowOff>165100</xdr:rowOff>
              </to>
            </anchor>
          </objectPr>
        </oleObject>
      </mc:Choice>
      <mc:Fallback>
        <oleObject progId="Equation.3" shapeId="481283" r:id="rId8"/>
      </mc:Fallback>
    </mc:AlternateContent>
    <mc:AlternateContent xmlns:mc="http://schemas.openxmlformats.org/markup-compatibility/2006">
      <mc:Choice Requires="x14">
        <oleObject progId="Equation.3" shapeId="481284" r:id="rId10">
          <objectPr defaultSize="0" autoPict="0" r:id="rId11">
            <anchor moveWithCells="1">
              <from>
                <xdr:col>4</xdr:col>
                <xdr:colOff>685800</xdr:colOff>
                <xdr:row>448</xdr:row>
                <xdr:rowOff>146050</xdr:rowOff>
              </from>
              <to>
                <xdr:col>6</xdr:col>
                <xdr:colOff>76200</xdr:colOff>
                <xdr:row>449</xdr:row>
                <xdr:rowOff>203200</xdr:rowOff>
              </to>
            </anchor>
          </objectPr>
        </oleObject>
      </mc:Choice>
      <mc:Fallback>
        <oleObject progId="Equation.3" shapeId="481284" r:id="rId10"/>
      </mc:Fallback>
    </mc:AlternateContent>
    <mc:AlternateContent xmlns:mc="http://schemas.openxmlformats.org/markup-compatibility/2006">
      <mc:Choice Requires="x14">
        <oleObject progId="Equation.3" shapeId="481285" r:id="rId12">
          <objectPr defaultSize="0" autoPict="0" r:id="rId13">
            <anchor moveWithCells="1">
              <from>
                <xdr:col>2</xdr:col>
                <xdr:colOff>209550</xdr:colOff>
                <xdr:row>448</xdr:row>
                <xdr:rowOff>88900</xdr:rowOff>
              </from>
              <to>
                <xdr:col>3</xdr:col>
                <xdr:colOff>361950</xdr:colOff>
                <xdr:row>450</xdr:row>
                <xdr:rowOff>95250</xdr:rowOff>
              </to>
            </anchor>
          </objectPr>
        </oleObject>
      </mc:Choice>
      <mc:Fallback>
        <oleObject progId="Equation.3" shapeId="481285" r:id="rId12"/>
      </mc:Fallback>
    </mc:AlternateContent>
    <mc:AlternateContent xmlns:mc="http://schemas.openxmlformats.org/markup-compatibility/2006">
      <mc:Choice Requires="x14">
        <oleObject progId="Equation.3" shapeId="481286" r:id="rId14">
          <objectPr defaultSize="0" autoPict="0" r:id="rId15">
            <anchor moveWithCells="1">
              <from>
                <xdr:col>1</xdr:col>
                <xdr:colOff>19050</xdr:colOff>
                <xdr:row>449</xdr:row>
                <xdr:rowOff>19050</xdr:rowOff>
              </from>
              <to>
                <xdr:col>3</xdr:col>
                <xdr:colOff>222250</xdr:colOff>
                <xdr:row>450</xdr:row>
                <xdr:rowOff>165100</xdr:rowOff>
              </to>
            </anchor>
          </objectPr>
        </oleObject>
      </mc:Choice>
      <mc:Fallback>
        <oleObject progId="Equation.3" shapeId="481286" r:id="rId14"/>
      </mc:Fallback>
    </mc:AlternateContent>
    <mc:AlternateContent xmlns:mc="http://schemas.openxmlformats.org/markup-compatibility/2006">
      <mc:Choice Requires="x14">
        <oleObject progId="Equation.3" shapeId="481287" r:id="rId16">
          <objectPr defaultSize="0" autoPict="0" r:id="rId17">
            <anchor moveWithCells="1">
              <from>
                <xdr:col>1</xdr:col>
                <xdr:colOff>241300</xdr:colOff>
                <xdr:row>448</xdr:row>
                <xdr:rowOff>133350</xdr:rowOff>
              </from>
              <to>
                <xdr:col>2</xdr:col>
                <xdr:colOff>336550</xdr:colOff>
                <xdr:row>450</xdr:row>
                <xdr:rowOff>31750</xdr:rowOff>
              </to>
            </anchor>
          </objectPr>
        </oleObject>
      </mc:Choice>
      <mc:Fallback>
        <oleObject progId="Equation.3" shapeId="481287" r:id="rId16"/>
      </mc:Fallback>
    </mc:AlternateContent>
    <mc:AlternateContent xmlns:mc="http://schemas.openxmlformats.org/markup-compatibility/2006">
      <mc:Choice Requires="x14">
        <oleObject progId="Equation.3" shapeId="481288" r:id="rId18">
          <objectPr defaultSize="0" autoPict="0" r:id="rId9">
            <anchor moveWithCells="1">
              <from>
                <xdr:col>3</xdr:col>
                <xdr:colOff>476250</xdr:colOff>
                <xdr:row>448</xdr:row>
                <xdr:rowOff>88900</xdr:rowOff>
              </from>
              <to>
                <xdr:col>4</xdr:col>
                <xdr:colOff>628650</xdr:colOff>
                <xdr:row>449</xdr:row>
                <xdr:rowOff>203200</xdr:rowOff>
              </to>
            </anchor>
          </objectPr>
        </oleObject>
      </mc:Choice>
      <mc:Fallback>
        <oleObject progId="Equation.3" shapeId="481288" r:id="rId18"/>
      </mc:Fallback>
    </mc:AlternateContent>
    <mc:AlternateContent xmlns:mc="http://schemas.openxmlformats.org/markup-compatibility/2006">
      <mc:Choice Requires="x14">
        <oleObject progId="Equation.3" shapeId="481289" r:id="rId19">
          <objectPr defaultSize="0" autoPict="0" r:id="rId9">
            <anchor moveWithCells="1">
              <from>
                <xdr:col>3</xdr:col>
                <xdr:colOff>508000</xdr:colOff>
                <xdr:row>449</xdr:row>
                <xdr:rowOff>31750</xdr:rowOff>
              </from>
              <to>
                <xdr:col>4</xdr:col>
                <xdr:colOff>622300</xdr:colOff>
                <xdr:row>450</xdr:row>
                <xdr:rowOff>88900</xdr:rowOff>
              </to>
            </anchor>
          </objectPr>
        </oleObject>
      </mc:Choice>
      <mc:Fallback>
        <oleObject progId="Equation.3" shapeId="481289" r:id="rId19"/>
      </mc:Fallback>
    </mc:AlternateContent>
    <mc:AlternateContent xmlns:mc="http://schemas.openxmlformats.org/markup-compatibility/2006">
      <mc:Choice Requires="x14">
        <oleObject progId="Equation.3" shapeId="481290" r:id="rId20">
          <objectPr defaultSize="0" autoPict="0" r:id="rId17">
            <anchor moveWithCells="1">
              <from>
                <xdr:col>1</xdr:col>
                <xdr:colOff>241300</xdr:colOff>
                <xdr:row>448</xdr:row>
                <xdr:rowOff>127000</xdr:rowOff>
              </from>
              <to>
                <xdr:col>2</xdr:col>
                <xdr:colOff>336550</xdr:colOff>
                <xdr:row>450</xdr:row>
                <xdr:rowOff>19050</xdr:rowOff>
              </to>
            </anchor>
          </objectPr>
        </oleObject>
      </mc:Choice>
      <mc:Fallback>
        <oleObject progId="Equation.3" shapeId="481290" r:id="rId20"/>
      </mc:Fallback>
    </mc:AlternateContent>
    <mc:AlternateContent xmlns:mc="http://schemas.openxmlformats.org/markup-compatibility/2006">
      <mc:Choice Requires="x14">
        <oleObject progId="Equation.3" shapeId="481291" r:id="rId21">
          <objectPr defaultSize="0" autoPict="0" r:id="rId11">
            <anchor moveWithCells="1">
              <from>
                <xdr:col>5</xdr:col>
                <xdr:colOff>12700</xdr:colOff>
                <xdr:row>448</xdr:row>
                <xdr:rowOff>165100</xdr:rowOff>
              </from>
              <to>
                <xdr:col>6</xdr:col>
                <xdr:colOff>114300</xdr:colOff>
                <xdr:row>449</xdr:row>
                <xdr:rowOff>209550</xdr:rowOff>
              </to>
            </anchor>
          </objectPr>
        </oleObject>
      </mc:Choice>
      <mc:Fallback>
        <oleObject progId="Equation.3" shapeId="481291" r:id="rId21"/>
      </mc:Fallback>
    </mc:AlternateContent>
    <mc:AlternateContent xmlns:mc="http://schemas.openxmlformats.org/markup-compatibility/2006">
      <mc:Choice Requires="x14">
        <oleObject progId="Equation.3" shapeId="481292" r:id="rId22">
          <objectPr defaultSize="0" autoPict="0" r:id="rId23">
            <anchor moveWithCells="1" sizeWithCells="1">
              <from>
                <xdr:col>2</xdr:col>
                <xdr:colOff>431800</xdr:colOff>
                <xdr:row>312</xdr:row>
                <xdr:rowOff>31750</xdr:rowOff>
              </from>
              <to>
                <xdr:col>3</xdr:col>
                <xdr:colOff>628650</xdr:colOff>
                <xdr:row>314</xdr:row>
                <xdr:rowOff>114300</xdr:rowOff>
              </to>
            </anchor>
          </objectPr>
        </oleObject>
      </mc:Choice>
      <mc:Fallback>
        <oleObject progId="Equation.3" shapeId="481292" r:id="rId22"/>
      </mc:Fallback>
    </mc:AlternateContent>
    <mc:AlternateContent xmlns:mc="http://schemas.openxmlformats.org/markup-compatibility/2006">
      <mc:Choice Requires="x14">
        <oleObject progId="Equation.3" shapeId="481293" r:id="rId24">
          <objectPr defaultSize="0" autoPict="0" r:id="rId25">
            <anchor moveWithCells="1" sizeWithCells="1">
              <from>
                <xdr:col>2</xdr:col>
                <xdr:colOff>38100</xdr:colOff>
                <xdr:row>314</xdr:row>
                <xdr:rowOff>114300</xdr:rowOff>
              </from>
              <to>
                <xdr:col>3</xdr:col>
                <xdr:colOff>704850</xdr:colOff>
                <xdr:row>316</xdr:row>
                <xdr:rowOff>50800</xdr:rowOff>
              </to>
            </anchor>
          </objectPr>
        </oleObject>
      </mc:Choice>
      <mc:Fallback>
        <oleObject progId="Equation.3" shapeId="481293" r:id="rId24"/>
      </mc:Fallback>
    </mc:AlternateContent>
    <mc:AlternateContent xmlns:mc="http://schemas.openxmlformats.org/markup-compatibility/2006">
      <mc:Choice Requires="x14">
        <oleObject progId="Visio.Drawing.11" shapeId="481294" r:id="rId26">
          <objectPr defaultSize="0" autoPict="0" r:id="rId27">
            <anchor moveWithCells="1">
              <from>
                <xdr:col>9</xdr:col>
                <xdr:colOff>12700</xdr:colOff>
                <xdr:row>448</xdr:row>
                <xdr:rowOff>69850</xdr:rowOff>
              </from>
              <to>
                <xdr:col>10</xdr:col>
                <xdr:colOff>336550</xdr:colOff>
                <xdr:row>453</xdr:row>
                <xdr:rowOff>107950</xdr:rowOff>
              </to>
            </anchor>
          </objectPr>
        </oleObject>
      </mc:Choice>
      <mc:Fallback>
        <oleObject progId="Visio.Drawing.11" shapeId="481294" r:id="rId26"/>
      </mc:Fallback>
    </mc:AlternateContent>
    <mc:AlternateContent xmlns:mc="http://schemas.openxmlformats.org/markup-compatibility/2006">
      <mc:Choice Requires="x14">
        <oleObject progId="Visio.Drawing.11" shapeId="481295" r:id="rId28">
          <objectPr defaultSize="0" autoPict="0" r:id="rId29">
            <anchor moveWithCells="1">
              <from>
                <xdr:col>8</xdr:col>
                <xdr:colOff>152400</xdr:colOff>
                <xdr:row>448</xdr:row>
                <xdr:rowOff>69850</xdr:rowOff>
              </from>
              <to>
                <xdr:col>9</xdr:col>
                <xdr:colOff>450850</xdr:colOff>
                <xdr:row>453</xdr:row>
                <xdr:rowOff>88900</xdr:rowOff>
              </to>
            </anchor>
          </objectPr>
        </oleObject>
      </mc:Choice>
      <mc:Fallback>
        <oleObject progId="Visio.Drawing.11" shapeId="481295" r:id="rId28"/>
      </mc:Fallback>
    </mc:AlternateContent>
    <mc:AlternateContent xmlns:mc="http://schemas.openxmlformats.org/markup-compatibility/2006">
      <mc:Choice Requires="x14">
        <oleObject progId="Equation.DSMT4" shapeId="481296" r:id="rId30">
          <objectPr defaultSize="0" autoPict="0" r:id="rId31">
            <anchor moveWithCells="1" sizeWithCells="1">
              <from>
                <xdr:col>2</xdr:col>
                <xdr:colOff>641350</xdr:colOff>
                <xdr:row>147</xdr:row>
                <xdr:rowOff>69850</xdr:rowOff>
              </from>
              <to>
                <xdr:col>4</xdr:col>
                <xdr:colOff>146050</xdr:colOff>
                <xdr:row>148</xdr:row>
                <xdr:rowOff>57150</xdr:rowOff>
              </to>
            </anchor>
          </objectPr>
        </oleObject>
      </mc:Choice>
      <mc:Fallback>
        <oleObject progId="Equation.DSMT4" shapeId="481296" r:id="rId30"/>
      </mc:Fallback>
    </mc:AlternateContent>
    <mc:AlternateContent xmlns:mc="http://schemas.openxmlformats.org/markup-compatibility/2006">
      <mc:Choice Requires="x14">
        <oleObject progId="Equation.3" shapeId="481297" r:id="rId32">
          <objectPr defaultSize="0" autoPict="0" r:id="rId33">
            <anchor moveWithCells="1">
              <from>
                <xdr:col>0</xdr:col>
                <xdr:colOff>685800</xdr:colOff>
                <xdr:row>153</xdr:row>
                <xdr:rowOff>0</xdr:rowOff>
              </from>
              <to>
                <xdr:col>3</xdr:col>
                <xdr:colOff>546100</xdr:colOff>
                <xdr:row>154</xdr:row>
                <xdr:rowOff>184150</xdr:rowOff>
              </to>
            </anchor>
          </objectPr>
        </oleObject>
      </mc:Choice>
      <mc:Fallback>
        <oleObject progId="Equation.3" shapeId="481297" r:id="rId32"/>
      </mc:Fallback>
    </mc:AlternateContent>
    <mc:AlternateContent xmlns:mc="http://schemas.openxmlformats.org/markup-compatibility/2006">
      <mc:Choice Requires="x14">
        <oleObject progId="Equation.3" shapeId="481298" r:id="rId34">
          <objectPr defaultSize="0" autoPict="0" r:id="rId35">
            <anchor moveWithCells="1">
              <from>
                <xdr:col>5</xdr:col>
                <xdr:colOff>361950</xdr:colOff>
                <xdr:row>142</xdr:row>
                <xdr:rowOff>12700</xdr:rowOff>
              </from>
              <to>
                <xdr:col>7</xdr:col>
                <xdr:colOff>0</xdr:colOff>
                <xdr:row>143</xdr:row>
                <xdr:rowOff>31750</xdr:rowOff>
              </to>
            </anchor>
          </objectPr>
        </oleObject>
      </mc:Choice>
      <mc:Fallback>
        <oleObject progId="Equation.3" shapeId="481298" r:id="rId34"/>
      </mc:Fallback>
    </mc:AlternateContent>
    <mc:AlternateContent xmlns:mc="http://schemas.openxmlformats.org/markup-compatibility/2006">
      <mc:Choice Requires="x14">
        <oleObject progId="Equation.3" shapeId="481299" r:id="rId36">
          <objectPr defaultSize="0" autoPict="0" r:id="rId37">
            <anchor moveWithCells="1">
              <from>
                <xdr:col>2</xdr:col>
                <xdr:colOff>488950</xdr:colOff>
                <xdr:row>142</xdr:row>
                <xdr:rowOff>247650</xdr:rowOff>
              </from>
              <to>
                <xdr:col>4</xdr:col>
                <xdr:colOff>609600</xdr:colOff>
                <xdr:row>144</xdr:row>
                <xdr:rowOff>88900</xdr:rowOff>
              </to>
            </anchor>
          </objectPr>
        </oleObject>
      </mc:Choice>
      <mc:Fallback>
        <oleObject progId="Equation.3" shapeId="481299" r:id="rId36"/>
      </mc:Fallback>
    </mc:AlternateContent>
    <mc:AlternateContent xmlns:mc="http://schemas.openxmlformats.org/markup-compatibility/2006">
      <mc:Choice Requires="x14">
        <oleObject progId="Equation.3" shapeId="481300" r:id="rId38">
          <objectPr defaultSize="0" autoPict="0" r:id="rId39">
            <anchor moveWithCells="1">
              <from>
                <xdr:col>5</xdr:col>
                <xdr:colOff>209550</xdr:colOff>
                <xdr:row>144</xdr:row>
                <xdr:rowOff>19050</xdr:rowOff>
              </from>
              <to>
                <xdr:col>6</xdr:col>
                <xdr:colOff>622300</xdr:colOff>
                <xdr:row>145</xdr:row>
                <xdr:rowOff>19050</xdr:rowOff>
              </to>
            </anchor>
          </objectPr>
        </oleObject>
      </mc:Choice>
      <mc:Fallback>
        <oleObject progId="Equation.3" shapeId="481300" r:id="rId38"/>
      </mc:Fallback>
    </mc:AlternateContent>
    <mc:AlternateContent xmlns:mc="http://schemas.openxmlformats.org/markup-compatibility/2006">
      <mc:Choice Requires="x14">
        <oleObject progId="Equation.3" shapeId="481301" r:id="rId40">
          <objectPr defaultSize="0" autoPict="0" r:id="rId41">
            <anchor moveWithCells="1">
              <from>
                <xdr:col>2</xdr:col>
                <xdr:colOff>508000</xdr:colOff>
                <xdr:row>145</xdr:row>
                <xdr:rowOff>0</xdr:rowOff>
              </from>
              <to>
                <xdr:col>4</xdr:col>
                <xdr:colOff>584200</xdr:colOff>
                <xdr:row>146</xdr:row>
                <xdr:rowOff>31750</xdr:rowOff>
              </to>
            </anchor>
          </objectPr>
        </oleObject>
      </mc:Choice>
      <mc:Fallback>
        <oleObject progId="Equation.3" shapeId="481301" r:id="rId40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AEEAE-5762-4E2E-B5BB-5BC6F366DFED}">
  <sheetPr codeName="Sheet51"/>
  <dimension ref="A1:AO553"/>
  <sheetViews>
    <sheetView view="pageBreakPreview" zoomScaleNormal="100" zoomScaleSheetLayoutView="100" workbookViewId="0">
      <selection activeCell="N42" sqref="N42:N45"/>
    </sheetView>
  </sheetViews>
  <sheetFormatPr defaultColWidth="10.69921875" defaultRowHeight="19.899999999999999" customHeight="1" outlineLevelRow="1"/>
  <cols>
    <col min="1" max="2" width="11.59765625" style="2" customWidth="1"/>
    <col min="3" max="3" width="10.69921875" style="2"/>
    <col min="4" max="4" width="11.296875" style="2" customWidth="1"/>
    <col min="5" max="5" width="10.69921875" style="2"/>
    <col min="6" max="6" width="11.09765625" style="2" customWidth="1"/>
    <col min="7" max="7" width="11.296875" style="2" customWidth="1"/>
    <col min="8" max="8" width="10.69921875" style="2"/>
    <col min="9" max="9" width="11.3984375" style="2" customWidth="1"/>
    <col min="10" max="10" width="10.69921875" style="2"/>
    <col min="11" max="11" width="10.69921875" style="4"/>
    <col min="12" max="12" width="10.69921875" style="3"/>
    <col min="13" max="21" width="10.69921875" style="4" hidden="1" customWidth="1"/>
    <col min="22" max="33" width="10.69921875" style="4"/>
    <col min="34" max="16384" width="10.69921875" style="2"/>
  </cols>
  <sheetData>
    <row r="1" spans="1:30" ht="19.899999999999999" customHeight="1">
      <c r="A1" s="1589" t="str">
        <f>'D122-42'!A1:B1</f>
        <v>CÔNG TRÌNH</v>
      </c>
      <c r="B1" s="1589"/>
      <c r="C1" s="841" t="str">
        <f>'D122-42'!C1:D1</f>
        <v>NHÀ MÁY ĐIỆN GIÓ KHU DU LỊCH KHAI LONG - CÀ MAU GIAI ĐOẠN 1</v>
      </c>
      <c r="D1" s="841"/>
      <c r="E1" s="841"/>
      <c r="F1" s="841"/>
      <c r="G1" s="841"/>
      <c r="H1" s="758"/>
      <c r="I1" s="424"/>
      <c r="J1" s="842"/>
    </row>
    <row r="2" spans="1:30" ht="19.899999999999999" customHeight="1">
      <c r="A2" s="1589" t="str">
        <f>'D122-42'!A2:B2</f>
        <v>HẠNG MỤC</v>
      </c>
      <c r="B2" s="1589"/>
      <c r="C2" s="841" t="str">
        <f>'D122-42'!C2:D2</f>
        <v>ĐƯỜNG DÂY ĐẤU NỐI</v>
      </c>
      <c r="D2" s="841"/>
      <c r="E2" s="841"/>
      <c r="F2" s="841"/>
      <c r="G2" s="841"/>
      <c r="H2" s="841"/>
      <c r="I2" s="841"/>
      <c r="J2" s="841"/>
      <c r="K2" s="841"/>
      <c r="L2" s="841"/>
      <c r="V2" s="843" t="s">
        <v>981</v>
      </c>
      <c r="W2" s="844"/>
    </row>
    <row r="3" spans="1:30" ht="19.899999999999999" customHeight="1">
      <c r="A3" s="1589" t="str">
        <f>'D122-42'!A3:B3</f>
        <v xml:space="preserve">Cột </v>
      </c>
      <c r="B3" s="1589"/>
      <c r="C3" s="1592" t="str">
        <f>'D122-42'!C3:D3</f>
        <v>D122-42</v>
      </c>
      <c r="D3" s="1590"/>
      <c r="E3" s="1590"/>
      <c r="F3" s="1590"/>
      <c r="G3" s="1590"/>
      <c r="H3" s="1588" t="s">
        <v>944</v>
      </c>
      <c r="I3" s="1588"/>
      <c r="N3" s="845"/>
      <c r="O3" s="845"/>
      <c r="V3" s="846"/>
      <c r="W3" s="846" t="str">
        <f>IF(V3="Ao","A","")</f>
        <v/>
      </c>
    </row>
    <row r="4" spans="1:30" ht="19.899999999999999" customHeight="1">
      <c r="A4" s="1589" t="str">
        <f>'D122-42'!A4:B4</f>
        <v>Loại móng</v>
      </c>
      <c r="B4" s="1589"/>
      <c r="C4" s="1590" t="str">
        <f>'D122-42'!C4:D4</f>
        <v>MB4-10x12-2.5</v>
      </c>
      <c r="D4" s="1590"/>
      <c r="E4" s="1590"/>
      <c r="F4" s="1590"/>
      <c r="G4" s="1590"/>
      <c r="H4" s="842"/>
      <c r="I4" s="847"/>
      <c r="J4" s="842"/>
      <c r="N4" s="845"/>
      <c r="O4" s="845"/>
    </row>
    <row r="5" spans="1:30" ht="19.899999999999999" hidden="1" customHeight="1">
      <c r="A5" s="848"/>
      <c r="B5" s="848"/>
      <c r="C5" s="849"/>
      <c r="D5" s="849"/>
      <c r="E5" s="708"/>
      <c r="F5" s="708"/>
      <c r="G5" s="850"/>
      <c r="H5" s="851"/>
      <c r="I5" s="852"/>
      <c r="J5" s="853"/>
      <c r="K5" s="854"/>
      <c r="L5" s="855"/>
    </row>
    <row r="6" spans="1:30" ht="19.899999999999999" customHeight="1">
      <c r="A6" s="842"/>
      <c r="B6" s="842"/>
      <c r="C6" s="842"/>
      <c r="D6" s="842"/>
      <c r="E6" s="842"/>
      <c r="F6" s="842"/>
      <c r="G6" s="842"/>
      <c r="H6" s="842"/>
      <c r="I6" s="842"/>
      <c r="J6" s="856" t="s">
        <v>211</v>
      </c>
      <c r="K6" s="355"/>
      <c r="L6" s="856"/>
      <c r="N6"/>
      <c r="O6"/>
      <c r="P6"/>
      <c r="Q6"/>
      <c r="R6"/>
      <c r="S6"/>
      <c r="T6"/>
      <c r="U6"/>
    </row>
    <row r="7" spans="1:30" ht="19.899999999999999" customHeight="1">
      <c r="A7" s="842"/>
      <c r="B7" s="842"/>
      <c r="C7" s="842"/>
      <c r="D7" s="842"/>
      <c r="E7" s="842"/>
      <c r="F7" s="842"/>
      <c r="G7" s="1584">
        <f>K26</f>
        <v>2.75</v>
      </c>
      <c r="H7" s="842"/>
      <c r="I7" s="842"/>
      <c r="J7" s="857" t="s">
        <v>888</v>
      </c>
      <c r="K7" s="356">
        <f>'D122-42'!K7</f>
        <v>4</v>
      </c>
      <c r="L7" s="856" t="s">
        <v>0</v>
      </c>
      <c r="N7"/>
      <c r="O7"/>
      <c r="P7"/>
      <c r="Q7"/>
      <c r="R7"/>
      <c r="S7"/>
      <c r="T7"/>
      <c r="U7"/>
      <c r="V7" s="858" t="s">
        <v>852</v>
      </c>
    </row>
    <row r="8" spans="1:30" ht="19.899999999999999" customHeight="1">
      <c r="A8" s="842"/>
      <c r="B8" s="1435">
        <f>K23</f>
        <v>0.7</v>
      </c>
      <c r="C8" s="842"/>
      <c r="D8" s="842"/>
      <c r="E8" s="842"/>
      <c r="F8" s="842"/>
      <c r="G8" s="1584"/>
      <c r="H8" s="859"/>
      <c r="I8" s="842"/>
      <c r="J8" s="857" t="s">
        <v>889</v>
      </c>
      <c r="K8" s="356">
        <f>'D122-42'!K8</f>
        <v>4</v>
      </c>
      <c r="L8" s="856" t="s">
        <v>0</v>
      </c>
      <c r="N8"/>
      <c r="O8"/>
      <c r="P8"/>
      <c r="Q8"/>
      <c r="R8"/>
      <c r="S8"/>
      <c r="T8"/>
      <c r="U8"/>
      <c r="V8" s="1559" t="s">
        <v>216</v>
      </c>
      <c r="W8" s="1559" t="s">
        <v>217</v>
      </c>
      <c r="X8" s="183" t="s">
        <v>218</v>
      </c>
      <c r="Y8" s="183" t="s">
        <v>163</v>
      </c>
      <c r="Z8" s="1578" t="s">
        <v>39</v>
      </c>
      <c r="AA8" s="1578" t="s">
        <v>220</v>
      </c>
      <c r="AB8" s="860" t="s">
        <v>221</v>
      </c>
      <c r="AC8" s="183" t="s">
        <v>25</v>
      </c>
      <c r="AD8" s="183" t="s">
        <v>26</v>
      </c>
    </row>
    <row r="9" spans="1:30" ht="19.899999999999999" customHeight="1">
      <c r="A9" s="355" t="s">
        <v>214</v>
      </c>
      <c r="B9" s="842"/>
      <c r="C9" s="842"/>
      <c r="D9" s="842"/>
      <c r="E9" s="842"/>
      <c r="F9" s="857" t="s">
        <v>214</v>
      </c>
      <c r="G9" s="1584"/>
      <c r="H9" s="842"/>
      <c r="I9" s="842"/>
      <c r="J9" s="842" t="s">
        <v>606</v>
      </c>
      <c r="K9" s="356"/>
      <c r="L9" s="856"/>
      <c r="N9"/>
      <c r="O9"/>
      <c r="P9"/>
      <c r="Q9"/>
      <c r="R9"/>
      <c r="S9"/>
      <c r="T9"/>
      <c r="U9"/>
      <c r="V9" s="1559"/>
      <c r="W9" s="1559"/>
      <c r="X9" s="861" t="s">
        <v>0</v>
      </c>
      <c r="Y9" s="861" t="s">
        <v>24</v>
      </c>
      <c r="Z9" s="1579"/>
      <c r="AA9" s="1579"/>
      <c r="AB9" s="861" t="s">
        <v>219</v>
      </c>
      <c r="AC9" s="861" t="s">
        <v>10</v>
      </c>
      <c r="AD9" s="861" t="s">
        <v>10</v>
      </c>
    </row>
    <row r="10" spans="1:30" ht="19.899999999999999" customHeight="1">
      <c r="A10" s="1594">
        <f>K23</f>
        <v>0.7</v>
      </c>
      <c r="B10" s="842"/>
      <c r="C10" s="842"/>
      <c r="D10" s="842"/>
      <c r="E10" s="842"/>
      <c r="F10" s="842"/>
      <c r="G10" s="1591">
        <f>K16</f>
        <v>0.5</v>
      </c>
      <c r="H10" s="842"/>
      <c r="I10" s="842"/>
      <c r="J10" s="857" t="s">
        <v>112</v>
      </c>
      <c r="K10" s="356">
        <f>'D122-42'!K10</f>
        <v>10</v>
      </c>
      <c r="L10" s="856" t="s">
        <v>0</v>
      </c>
      <c r="N10"/>
      <c r="O10"/>
      <c r="P10"/>
      <c r="Q10"/>
      <c r="R10"/>
      <c r="S10"/>
      <c r="T10"/>
      <c r="U10"/>
      <c r="V10" s="12" t="s">
        <v>1003</v>
      </c>
      <c r="W10" s="1238" t="s">
        <v>1129</v>
      </c>
      <c r="X10" s="1239">
        <v>2.5</v>
      </c>
      <c r="Y10" s="1240">
        <v>2.06</v>
      </c>
      <c r="Z10" s="1240">
        <v>2.68</v>
      </c>
      <c r="AA10" s="1240">
        <v>0.53956893203883505</v>
      </c>
      <c r="AB10" s="1240">
        <v>14.632999999999999</v>
      </c>
      <c r="AC10" s="1240">
        <f>10*0.306</f>
        <v>3.06</v>
      </c>
      <c r="AD10" s="1240">
        <v>1990</v>
      </c>
    </row>
    <row r="11" spans="1:30" ht="19.899999999999999" customHeight="1">
      <c r="A11" s="1594"/>
      <c r="B11" s="842"/>
      <c r="C11" s="842"/>
      <c r="D11" s="842"/>
      <c r="E11" s="842"/>
      <c r="F11" s="842"/>
      <c r="G11" s="1591"/>
      <c r="H11" s="866"/>
      <c r="I11" s="842"/>
      <c r="J11" s="857" t="s">
        <v>113</v>
      </c>
      <c r="K11" s="356">
        <f>'D122-42'!K11</f>
        <v>12</v>
      </c>
      <c r="L11" s="856" t="s">
        <v>0</v>
      </c>
      <c r="N11"/>
      <c r="O11"/>
      <c r="P11"/>
      <c r="Q11"/>
      <c r="R11"/>
      <c r="S11"/>
      <c r="T11"/>
      <c r="U11"/>
      <c r="V11" s="12" t="s">
        <v>515</v>
      </c>
      <c r="W11" s="1238" t="s">
        <v>1130</v>
      </c>
      <c r="X11" s="1239">
        <v>3.5</v>
      </c>
      <c r="Y11" s="1240">
        <v>1.98</v>
      </c>
      <c r="Z11" s="1240">
        <v>2.68</v>
      </c>
      <c r="AA11" s="1240">
        <v>0.63764242424242434</v>
      </c>
      <c r="AB11" s="1240">
        <v>16.866</v>
      </c>
      <c r="AC11" s="1240">
        <f>10*0.4185</f>
        <v>4.1849999999999996</v>
      </c>
      <c r="AD11" s="1240">
        <v>1930</v>
      </c>
    </row>
    <row r="12" spans="1:30" ht="19.899999999999999" customHeight="1">
      <c r="A12" s="842"/>
      <c r="B12" s="842"/>
      <c r="C12" s="842"/>
      <c r="D12" s="446">
        <f>K20</f>
        <v>1</v>
      </c>
      <c r="E12" s="842"/>
      <c r="F12" s="842"/>
      <c r="G12" s="842"/>
      <c r="H12" s="842"/>
      <c r="I12" s="842"/>
      <c r="J12" s="857" t="s">
        <v>123</v>
      </c>
      <c r="K12" s="356">
        <f>+ROUND(K11/K10,2)</f>
        <v>1.2</v>
      </c>
      <c r="L12" s="856"/>
      <c r="V12" s="12" t="s">
        <v>1006</v>
      </c>
      <c r="W12" s="1238" t="s">
        <v>1131</v>
      </c>
      <c r="X12" s="1239">
        <v>3.2</v>
      </c>
      <c r="Y12" s="1240">
        <v>1.97</v>
      </c>
      <c r="Z12" s="1240">
        <v>2.68</v>
      </c>
      <c r="AA12" s="1240">
        <v>0.71125482233502546</v>
      </c>
      <c r="AB12" s="1240">
        <v>14.782999999999999</v>
      </c>
      <c r="AC12" s="1240">
        <f>10*0.3393</f>
        <v>3.3929999999999998</v>
      </c>
      <c r="AD12" s="1240">
        <v>1240</v>
      </c>
    </row>
    <row r="13" spans="1:30" ht="19.899999999999999" customHeight="1">
      <c r="A13" s="842"/>
      <c r="B13" s="842"/>
      <c r="C13" s="842"/>
      <c r="D13" s="842"/>
      <c r="E13" s="842"/>
      <c r="F13" s="842"/>
      <c r="G13" s="842"/>
      <c r="H13" s="842"/>
      <c r="I13" s="842"/>
      <c r="J13" s="842" t="s">
        <v>607</v>
      </c>
      <c r="K13" s="356"/>
      <c r="L13" s="856"/>
      <c r="V13" s="12" t="s">
        <v>1132</v>
      </c>
      <c r="W13" s="1238" t="s">
        <v>1128</v>
      </c>
      <c r="X13" s="863">
        <v>2.8</v>
      </c>
      <c r="Y13" s="864">
        <v>2.06</v>
      </c>
      <c r="Z13" s="864">
        <v>2.69</v>
      </c>
      <c r="AA13" s="864">
        <v>0.56111407766990284</v>
      </c>
      <c r="AB13" s="865">
        <v>19.149999999999999</v>
      </c>
      <c r="AC13" s="864">
        <f>10*0.189000000000001</f>
        <v>1.8900000000000099</v>
      </c>
      <c r="AD13" s="864">
        <v>2170</v>
      </c>
    </row>
    <row r="14" spans="1:30" ht="19.899999999999999" customHeight="1">
      <c r="A14" s="842"/>
      <c r="B14" s="842"/>
      <c r="D14" s="842"/>
      <c r="E14" s="867"/>
      <c r="F14" s="842"/>
      <c r="G14" s="1581">
        <f>K25</f>
        <v>3.5</v>
      </c>
      <c r="H14" s="842"/>
      <c r="I14" s="842"/>
      <c r="J14" s="857" t="s">
        <v>75</v>
      </c>
      <c r="K14" s="356">
        <f>K38+K40</f>
        <v>3.5</v>
      </c>
      <c r="L14" s="856" t="s">
        <v>0</v>
      </c>
      <c r="W14" s="862"/>
      <c r="X14" s="863"/>
      <c r="Y14" s="864"/>
      <c r="Z14" s="864"/>
      <c r="AA14" s="864"/>
      <c r="AB14" s="865"/>
      <c r="AC14" s="864"/>
      <c r="AD14" s="864"/>
    </row>
    <row r="15" spans="1:30" ht="19.899999999999999" customHeight="1">
      <c r="A15" s="842"/>
      <c r="B15" s="842"/>
      <c r="C15" s="1593">
        <f>K20</f>
        <v>1</v>
      </c>
      <c r="D15" s="842"/>
      <c r="E15" s="842"/>
      <c r="F15" s="842"/>
      <c r="G15" s="1581"/>
      <c r="H15" s="859"/>
      <c r="I15" s="842"/>
      <c r="J15" s="842" t="s">
        <v>608</v>
      </c>
      <c r="K15" s="356"/>
      <c r="L15" s="856"/>
      <c r="W15" s="4" t="s">
        <v>566</v>
      </c>
    </row>
    <row r="16" spans="1:30" ht="19.899999999999999" customHeight="1">
      <c r="A16" s="355" t="s">
        <v>215</v>
      </c>
      <c r="B16" s="842"/>
      <c r="C16" s="1593"/>
      <c r="D16" s="842"/>
      <c r="E16" s="842"/>
      <c r="F16" s="857" t="s">
        <v>215</v>
      </c>
      <c r="G16" s="1581"/>
      <c r="H16" s="1595">
        <f>G7+G10+G14+G21+G23</f>
        <v>10</v>
      </c>
      <c r="I16" s="842"/>
      <c r="J16" s="857" t="s">
        <v>68</v>
      </c>
      <c r="K16" s="356">
        <f>'D122-42'!K16</f>
        <v>0.5</v>
      </c>
      <c r="L16" s="856" t="s">
        <v>0</v>
      </c>
    </row>
    <row r="17" spans="1:19" ht="19.899999999999999" customHeight="1">
      <c r="A17" s="842"/>
      <c r="B17" s="842"/>
      <c r="C17" s="842"/>
      <c r="E17" s="842"/>
      <c r="F17" s="842"/>
      <c r="G17" s="842"/>
      <c r="H17" s="1595"/>
      <c r="I17" s="842"/>
      <c r="J17" s="857" t="s">
        <v>69</v>
      </c>
      <c r="K17" s="356">
        <f>'D122-42'!K17</f>
        <v>1</v>
      </c>
      <c r="L17" s="856" t="s">
        <v>0</v>
      </c>
    </row>
    <row r="18" spans="1:19" ht="19.899999999999999" customHeight="1">
      <c r="A18" s="842"/>
      <c r="B18" s="1436">
        <f>K21</f>
        <v>0.35</v>
      </c>
      <c r="C18" s="842"/>
      <c r="D18" s="355" t="s">
        <v>633</v>
      </c>
      <c r="E18" s="842"/>
      <c r="F18" s="842"/>
      <c r="G18" s="842"/>
      <c r="H18" s="842"/>
      <c r="I18" s="842"/>
      <c r="J18" s="842" t="s">
        <v>609</v>
      </c>
      <c r="K18" s="356"/>
      <c r="L18" s="856"/>
    </row>
    <row r="19" spans="1:19" ht="19.899999999999999" customHeight="1" thickBot="1">
      <c r="A19" s="842"/>
      <c r="B19" s="842"/>
      <c r="C19" s="842"/>
      <c r="D19" s="842"/>
      <c r="E19" s="842"/>
      <c r="F19" s="842"/>
      <c r="H19" s="842"/>
      <c r="I19" s="842"/>
      <c r="J19" s="857" t="s">
        <v>942</v>
      </c>
      <c r="K19" s="356">
        <f>'D122-42'!K19</f>
        <v>0.35</v>
      </c>
      <c r="L19" s="856" t="s">
        <v>0</v>
      </c>
    </row>
    <row r="20" spans="1:19" ht="19.899999999999999" customHeight="1" thickBot="1">
      <c r="A20" s="356">
        <f>K21</f>
        <v>0.35</v>
      </c>
      <c r="B20" s="842"/>
      <c r="C20" s="842"/>
      <c r="D20" s="842"/>
      <c r="E20" s="842"/>
      <c r="F20" s="842"/>
      <c r="G20" s="1434"/>
      <c r="H20" s="866"/>
      <c r="I20" s="842"/>
      <c r="J20" s="857" t="s">
        <v>115</v>
      </c>
      <c r="K20" s="356">
        <f>'D122-42'!K20</f>
        <v>1</v>
      </c>
      <c r="L20" s="856" t="s">
        <v>0</v>
      </c>
      <c r="P20" s="868" t="s">
        <v>71</v>
      </c>
      <c r="Q20" s="869"/>
      <c r="R20" s="870" t="s">
        <v>72</v>
      </c>
      <c r="S20" s="871" t="s">
        <v>73</v>
      </c>
    </row>
    <row r="21" spans="1:19" ht="19.899999999999999" customHeight="1" thickBot="1">
      <c r="A21" s="842"/>
      <c r="B21" s="842"/>
      <c r="C21" s="842"/>
      <c r="D21" s="842"/>
      <c r="E21" s="842"/>
      <c r="F21" s="842"/>
      <c r="G21" s="1434">
        <f>K16</f>
        <v>0.5</v>
      </c>
      <c r="H21" s="842"/>
      <c r="I21" s="842"/>
      <c r="J21" s="857" t="s">
        <v>76</v>
      </c>
      <c r="K21" s="356">
        <f>'D122-42'!K21</f>
        <v>0.35</v>
      </c>
      <c r="L21" s="856" t="s">
        <v>0</v>
      </c>
      <c r="P21" s="872">
        <v>30</v>
      </c>
      <c r="Q21" s="26">
        <f t="shared" ref="Q21:Q41" si="0">+P21/1000</f>
        <v>0.03</v>
      </c>
      <c r="R21" s="873">
        <f>3.14*Q21^2/4*7850</f>
        <v>5.5460250000000002</v>
      </c>
      <c r="S21" s="874">
        <f>3.14*Q21^2/4*10000</f>
        <v>7.0649999999999995</v>
      </c>
    </row>
    <row r="22" spans="1:19" ht="19.899999999999999" customHeight="1">
      <c r="A22" s="842"/>
      <c r="B22" s="842"/>
      <c r="C22" s="842"/>
      <c r="D22" s="842"/>
      <c r="E22" s="842"/>
      <c r="F22" s="842"/>
      <c r="G22" s="1426"/>
      <c r="H22" s="859"/>
      <c r="I22" s="842"/>
      <c r="J22" s="842" t="s">
        <v>610</v>
      </c>
      <c r="K22" s="356"/>
      <c r="L22" s="856"/>
      <c r="P22" s="872">
        <v>28</v>
      </c>
      <c r="Q22" s="26">
        <f>+P22/1000</f>
        <v>2.8000000000000001E-2</v>
      </c>
      <c r="R22" s="873">
        <f t="shared" ref="R22:R41" si="1">3.14*Q22^2/4*7850</f>
        <v>4.8312040000000005</v>
      </c>
      <c r="S22" s="874">
        <f t="shared" ref="S22:S41" si="2">3.14*Q22^2/4*10000</f>
        <v>6.1544000000000008</v>
      </c>
    </row>
    <row r="23" spans="1:19" ht="19.899999999999999" customHeight="1">
      <c r="A23" s="355" t="s">
        <v>214</v>
      </c>
      <c r="B23" s="842"/>
      <c r="C23" s="842"/>
      <c r="D23" s="842"/>
      <c r="E23" s="842"/>
      <c r="F23" s="857" t="s">
        <v>214</v>
      </c>
      <c r="G23" s="1584">
        <f>K26</f>
        <v>2.75</v>
      </c>
      <c r="H23" s="842"/>
      <c r="I23" s="842"/>
      <c r="J23" s="857" t="s">
        <v>74</v>
      </c>
      <c r="K23" s="356">
        <f>'D122-42'!K23</f>
        <v>0.7</v>
      </c>
      <c r="L23" s="856" t="s">
        <v>0</v>
      </c>
      <c r="P23" s="875">
        <v>25</v>
      </c>
      <c r="Q23" s="27">
        <f t="shared" si="0"/>
        <v>2.5000000000000001E-2</v>
      </c>
      <c r="R23" s="876">
        <f t="shared" si="1"/>
        <v>3.8514062500000006</v>
      </c>
      <c r="S23" s="877">
        <f>3.14*Q23^2/4*10000</f>
        <v>4.9062500000000009</v>
      </c>
    </row>
    <row r="24" spans="1:19" ht="19.899999999999999" customHeight="1">
      <c r="A24" s="842"/>
      <c r="B24" s="842"/>
      <c r="C24" s="842"/>
      <c r="D24" s="842"/>
      <c r="E24" s="842"/>
      <c r="F24" s="842"/>
      <c r="G24" s="1584"/>
      <c r="H24" s="842"/>
      <c r="I24" s="842"/>
      <c r="J24" s="842" t="s">
        <v>611</v>
      </c>
      <c r="K24" s="355"/>
      <c r="L24" s="856"/>
      <c r="P24" s="875">
        <v>22</v>
      </c>
      <c r="Q24" s="27">
        <f t="shared" si="0"/>
        <v>2.1999999999999999E-2</v>
      </c>
      <c r="R24" s="876">
        <f t="shared" si="1"/>
        <v>2.982529</v>
      </c>
      <c r="S24" s="877">
        <f t="shared" si="2"/>
        <v>3.7993999999999999</v>
      </c>
    </row>
    <row r="25" spans="1:19" ht="19.899999999999999" customHeight="1">
      <c r="A25" s="842"/>
      <c r="B25" s="842"/>
      <c r="C25" s="842"/>
      <c r="D25" s="842"/>
      <c r="E25" s="842"/>
      <c r="F25" s="842"/>
      <c r="G25" s="842"/>
      <c r="H25" s="842"/>
      <c r="I25" s="842"/>
      <c r="J25" s="759" t="s">
        <v>936</v>
      </c>
      <c r="K25" s="357">
        <f>K7-K16</f>
        <v>3.5</v>
      </c>
      <c r="L25" s="856" t="s">
        <v>0</v>
      </c>
      <c r="P25" s="875">
        <v>20</v>
      </c>
      <c r="Q25" s="27">
        <f t="shared" si="0"/>
        <v>0.02</v>
      </c>
      <c r="R25" s="876">
        <f t="shared" si="1"/>
        <v>2.4649000000000005</v>
      </c>
      <c r="S25" s="877">
        <f t="shared" si="2"/>
        <v>3.1400000000000006</v>
      </c>
    </row>
    <row r="26" spans="1:19" ht="19.899999999999999" customHeight="1">
      <c r="A26" s="1254">
        <f>K28</f>
        <v>3.75</v>
      </c>
      <c r="B26" s="839" t="str">
        <f>K16&amp;""</f>
        <v>0.5</v>
      </c>
      <c r="D26" s="357">
        <f>K27</f>
        <v>3.5</v>
      </c>
      <c r="F26" s="446">
        <f>K16</f>
        <v>0.5</v>
      </c>
      <c r="G26" s="906">
        <f>K28</f>
        <v>3.75</v>
      </c>
      <c r="H26" s="842"/>
      <c r="I26" s="842"/>
      <c r="J26" s="759" t="s">
        <v>935</v>
      </c>
      <c r="K26" s="357">
        <f>(K10-K7-K16)/2</f>
        <v>2.75</v>
      </c>
      <c r="L26" s="856" t="s">
        <v>0</v>
      </c>
      <c r="P26" s="875">
        <v>18</v>
      </c>
      <c r="Q26" s="27">
        <f t="shared" si="0"/>
        <v>1.7999999999999999E-2</v>
      </c>
      <c r="R26" s="876">
        <f t="shared" si="1"/>
        <v>1.9965689999999998</v>
      </c>
      <c r="S26" s="877">
        <f t="shared" si="2"/>
        <v>2.5433999999999997</v>
      </c>
    </row>
    <row r="27" spans="1:19" ht="19.899999999999999" customHeight="1">
      <c r="A27" s="842"/>
      <c r="B27" s="842"/>
      <c r="D27" s="839">
        <f>A26+B26+D26+G26+F26</f>
        <v>12</v>
      </c>
      <c r="E27" s="842"/>
      <c r="F27" s="842"/>
      <c r="G27" s="842"/>
      <c r="H27" s="842"/>
      <c r="I27" s="842"/>
      <c r="J27" s="759" t="s">
        <v>934</v>
      </c>
      <c r="K27" s="357">
        <f>K8-K16</f>
        <v>3.5</v>
      </c>
      <c r="L27" s="856" t="s">
        <v>0</v>
      </c>
      <c r="P27" s="875">
        <v>16</v>
      </c>
      <c r="Q27" s="27">
        <f t="shared" si="0"/>
        <v>1.6E-2</v>
      </c>
      <c r="R27" s="876">
        <f t="shared" si="1"/>
        <v>1.577536</v>
      </c>
      <c r="S27" s="877">
        <f t="shared" si="2"/>
        <v>2.0095999999999998</v>
      </c>
    </row>
    <row r="28" spans="1:19" ht="19.899999999999999" customHeight="1">
      <c r="A28" s="842"/>
      <c r="B28" s="842"/>
      <c r="C28" s="842"/>
      <c r="D28" s="355"/>
      <c r="E28" s="842"/>
      <c r="F28" s="842"/>
      <c r="G28" s="842"/>
      <c r="H28" s="842"/>
      <c r="I28" s="842"/>
      <c r="J28" s="759" t="s">
        <v>933</v>
      </c>
      <c r="K28" s="357">
        <f>(K11-K8-K16)/2</f>
        <v>3.75</v>
      </c>
      <c r="L28" s="856" t="s">
        <v>0</v>
      </c>
      <c r="P28" s="875">
        <v>14</v>
      </c>
      <c r="Q28" s="27">
        <f t="shared" si="0"/>
        <v>1.4E-2</v>
      </c>
      <c r="R28" s="876">
        <f t="shared" si="1"/>
        <v>1.2078010000000001</v>
      </c>
      <c r="S28" s="877">
        <f t="shared" si="2"/>
        <v>1.5386000000000002</v>
      </c>
    </row>
    <row r="29" spans="1:19" ht="19.899999999999999" customHeight="1">
      <c r="A29" s="879" t="s">
        <v>613</v>
      </c>
      <c r="B29" s="842"/>
      <c r="C29" s="842"/>
      <c r="D29" s="842"/>
      <c r="E29" s="842"/>
      <c r="F29" s="859"/>
      <c r="G29" s="842"/>
      <c r="H29" s="842"/>
      <c r="I29" s="842"/>
      <c r="J29" s="842" t="s">
        <v>612</v>
      </c>
      <c r="K29" s="842"/>
      <c r="L29" s="842"/>
      <c r="M29" s="355"/>
      <c r="N29" s="355"/>
      <c r="P29" s="875">
        <v>12</v>
      </c>
      <c r="Q29" s="27">
        <f t="shared" si="0"/>
        <v>1.2E-2</v>
      </c>
      <c r="R29" s="876">
        <f t="shared" si="1"/>
        <v>0.88736400000000004</v>
      </c>
      <c r="S29" s="877">
        <f t="shared" si="2"/>
        <v>1.1304000000000001</v>
      </c>
    </row>
    <row r="30" spans="1:19" ht="19.899999999999999" customHeight="1">
      <c r="A30" s="761" t="s">
        <v>651</v>
      </c>
      <c r="B30" s="761"/>
      <c r="C30" s="753"/>
      <c r="D30" s="753"/>
      <c r="E30" s="753"/>
      <c r="F30" s="753"/>
      <c r="G30" s="753"/>
      <c r="H30" s="754"/>
      <c r="I30" s="842"/>
      <c r="J30" s="857" t="s">
        <v>117</v>
      </c>
      <c r="K30" s="357">
        <f>(K10*K11-K20^2)*K19+(K10+K11)*2*K16*(K17-K19)-K16^2*4*(K17-K19)+(K14-K17)*K23^2*4+K21^2*(K17-K19)*8</f>
        <v>60.837000000000003</v>
      </c>
      <c r="L30" s="856" t="s">
        <v>1</v>
      </c>
      <c r="M30" s="355"/>
      <c r="N30" s="355"/>
      <c r="P30" s="875"/>
      <c r="Q30" s="27"/>
      <c r="R30" s="876"/>
      <c r="S30" s="877"/>
    </row>
    <row r="31" spans="1:19" ht="19.899999999999999" customHeight="1">
      <c r="A31" s="1586" t="s">
        <v>652</v>
      </c>
      <c r="B31" s="1587"/>
      <c r="C31" s="755" t="s">
        <v>653</v>
      </c>
      <c r="D31" s="755" t="s">
        <v>654</v>
      </c>
      <c r="E31" s="755" t="s">
        <v>655</v>
      </c>
      <c r="F31" s="755" t="s">
        <v>656</v>
      </c>
      <c r="G31" s="755" t="s">
        <v>657</v>
      </c>
      <c r="H31" s="755" t="s">
        <v>658</v>
      </c>
      <c r="I31" s="842"/>
      <c r="J31" s="842" t="s">
        <v>614</v>
      </c>
      <c r="K31" s="842"/>
      <c r="L31" s="842"/>
      <c r="M31" s="355"/>
      <c r="N31" s="355"/>
      <c r="P31" s="875"/>
      <c r="Q31" s="27"/>
      <c r="R31" s="876"/>
      <c r="S31" s="877"/>
    </row>
    <row r="32" spans="1:19" ht="19.899999999999999" customHeight="1">
      <c r="A32" s="1494" t="s">
        <v>564</v>
      </c>
      <c r="B32" s="1494"/>
      <c r="C32" s="412">
        <f>'D122-42'!C42</f>
        <v>-4.6744000000000003</v>
      </c>
      <c r="D32" s="412">
        <f>'D122-42'!D42</f>
        <v>-4.9444999999999997</v>
      </c>
      <c r="E32" s="412">
        <f>'D122-42'!E42</f>
        <v>80.48060000000001</v>
      </c>
      <c r="F32" s="412">
        <f>'D122-42'!F42</f>
        <v>4.58E-2</v>
      </c>
      <c r="G32" s="412">
        <f>'D122-42'!G42</f>
        <v>-1.9E-3</v>
      </c>
      <c r="H32" s="412">
        <f>'D122-42'!H42</f>
        <v>-1.5E-3</v>
      </c>
      <c r="I32" s="842"/>
      <c r="J32" s="857" t="s">
        <v>118</v>
      </c>
      <c r="K32" s="839">
        <f>K10*K11-K20^2</f>
        <v>119</v>
      </c>
      <c r="L32" s="856" t="s">
        <v>2</v>
      </c>
      <c r="M32" s="355"/>
      <c r="N32" s="355"/>
      <c r="P32" s="875"/>
      <c r="Q32" s="27"/>
      <c r="R32" s="876"/>
      <c r="S32" s="877"/>
    </row>
    <row r="33" spans="1:26" ht="19.899999999999999" customHeight="1">
      <c r="A33" s="1494" t="s">
        <v>659</v>
      </c>
      <c r="B33" s="1494"/>
      <c r="C33" s="412">
        <f>'D122-42'!C43</f>
        <v>-6.408199999999999</v>
      </c>
      <c r="D33" s="412">
        <f>'D122-42'!D43</f>
        <v>-4.7540999999999993</v>
      </c>
      <c r="E33" s="412">
        <f>'D122-42'!E43</f>
        <v>-87.999899999999997</v>
      </c>
      <c r="F33" s="412">
        <f>'D122-42'!F43</f>
        <v>-5.9799999999999999E-2</v>
      </c>
      <c r="G33" s="412">
        <f>'D122-42'!G43</f>
        <v>-6.6900000000000001E-2</v>
      </c>
      <c r="H33" s="412">
        <f>'D122-42'!H43</f>
        <v>-7.6E-3</v>
      </c>
      <c r="I33" s="842"/>
      <c r="K33" s="758"/>
      <c r="L33" s="759" t="s">
        <v>616</v>
      </c>
      <c r="M33" s="355"/>
      <c r="N33" s="355"/>
      <c r="P33" s="875"/>
      <c r="Q33" s="27"/>
      <c r="R33" s="876"/>
      <c r="S33" s="877"/>
    </row>
    <row r="34" spans="1:26" ht="19.899999999999999" customHeight="1">
      <c r="A34" s="1494" t="s">
        <v>660</v>
      </c>
      <c r="B34" s="1494"/>
      <c r="C34" s="412">
        <f>'D122-42'!C44</f>
        <v>-17.82</v>
      </c>
      <c r="D34" s="412">
        <f>'D122-42'!D44</f>
        <v>-2.7599999999999993</v>
      </c>
      <c r="E34" s="412">
        <f>'D122-42'!E44</f>
        <v>15.269499999999994</v>
      </c>
      <c r="F34" s="412">
        <f>'D122-42'!F44</f>
        <v>108.8412</v>
      </c>
      <c r="G34" s="412">
        <f>'D122-42'!G44</f>
        <v>564.86349999999993</v>
      </c>
      <c r="H34" s="412">
        <f>'D122-42'!H44</f>
        <v>1.9052800000000001</v>
      </c>
      <c r="I34" s="842"/>
      <c r="J34" s="857" t="s">
        <v>937</v>
      </c>
      <c r="K34" s="839">
        <f>(K11*K10^3-K20^4)/6/K10</f>
        <v>199.98333333333332</v>
      </c>
      <c r="L34" s="856" t="s">
        <v>1</v>
      </c>
      <c r="M34" s="355"/>
      <c r="N34" s="355"/>
      <c r="P34" s="875"/>
      <c r="Q34" s="27"/>
      <c r="R34" s="876"/>
      <c r="S34" s="877"/>
    </row>
    <row r="35" spans="1:26" ht="19.899999999999999" customHeight="1">
      <c r="A35" s="1494" t="s">
        <v>661</v>
      </c>
      <c r="B35" s="1494"/>
      <c r="C35" s="412">
        <f>'D122-42'!C45</f>
        <v>-11.067600000000002</v>
      </c>
      <c r="D35" s="412">
        <f>'D122-42'!D45</f>
        <v>-7.6415999999999995</v>
      </c>
      <c r="E35" s="412">
        <f>'D122-42'!E45</f>
        <v>15.269399999999999</v>
      </c>
      <c r="F35" s="412">
        <f>'D122-42'!F45</f>
        <v>226.97150000000002</v>
      </c>
      <c r="G35" s="412">
        <f>'D122-42'!G45</f>
        <v>341.53899999999999</v>
      </c>
      <c r="H35" s="412">
        <f>'D122-42'!H45</f>
        <v>1.6241000000000003</v>
      </c>
      <c r="I35" s="842"/>
      <c r="K35" s="758"/>
      <c r="L35" s="759" t="s">
        <v>615</v>
      </c>
      <c r="M35" s="758"/>
      <c r="N35" s="758"/>
      <c r="P35" s="875"/>
      <c r="Q35" s="27"/>
      <c r="R35" s="876"/>
      <c r="S35" s="877"/>
    </row>
    <row r="36" spans="1:26" ht="19.899999999999999" customHeight="1">
      <c r="A36" s="1494" t="s">
        <v>549</v>
      </c>
      <c r="B36" s="1494"/>
      <c r="C36" s="412">
        <f>'D122-42'!C46</f>
        <v>-17.82</v>
      </c>
      <c r="D36" s="412">
        <f>'D122-42'!D46</f>
        <v>-2.7599999999999993</v>
      </c>
      <c r="E36" s="412">
        <f>'D122-42'!E46</f>
        <v>15.269499999999994</v>
      </c>
      <c r="F36" s="412">
        <f>'D122-42'!F46</f>
        <v>108.8412</v>
      </c>
      <c r="G36" s="412">
        <f>'D122-42'!G46</f>
        <v>564.86349999999993</v>
      </c>
      <c r="H36" s="412">
        <f>'D122-42'!H46</f>
        <v>1.9052800000000001</v>
      </c>
      <c r="I36" s="842"/>
      <c r="J36" s="857" t="s">
        <v>938</v>
      </c>
      <c r="K36" s="839">
        <f>+(K10*K11^3-K20^4)/12/K11*2</f>
        <v>239.98611111111111</v>
      </c>
      <c r="L36" s="856" t="s">
        <v>1</v>
      </c>
      <c r="M36" s="355"/>
      <c r="N36" s="355"/>
      <c r="P36" s="875"/>
      <c r="Q36" s="27"/>
      <c r="R36" s="876"/>
      <c r="S36" s="877"/>
    </row>
    <row r="37" spans="1:26" ht="19.899999999999999" customHeight="1">
      <c r="A37" s="1255" t="s">
        <v>662</v>
      </c>
      <c r="B37" s="880"/>
      <c r="C37" s="412">
        <f>'D122-42'!C47</f>
        <v>-9.6999999999999993</v>
      </c>
      <c r="D37" s="412">
        <f>'D122-42'!D47</f>
        <v>0</v>
      </c>
      <c r="E37" s="412">
        <f>'D122-42'!E47</f>
        <v>13.7995</v>
      </c>
      <c r="F37" s="412">
        <f>'D122-42'!F47</f>
        <v>4.0000000000077309E-3</v>
      </c>
      <c r="G37" s="412">
        <f>'D122-42'!G47</f>
        <v>349.31220000000002</v>
      </c>
      <c r="H37" s="412">
        <f>'D122-42'!H47</f>
        <v>0.91809999999999992</v>
      </c>
      <c r="I37" s="842"/>
      <c r="J37" s="842" t="s">
        <v>212</v>
      </c>
      <c r="K37" s="842"/>
      <c r="L37" s="842"/>
      <c r="M37" s="355"/>
      <c r="N37" s="355"/>
      <c r="P37" s="875"/>
      <c r="Q37" s="27"/>
      <c r="R37" s="876"/>
      <c r="S37" s="877"/>
    </row>
    <row r="38" spans="1:26" ht="19.899999999999999" customHeight="1">
      <c r="A38" s="881" t="s">
        <v>663</v>
      </c>
      <c r="B38" s="756"/>
      <c r="C38" s="757"/>
      <c r="D38" s="757"/>
      <c r="E38" s="757"/>
      <c r="F38" s="757"/>
      <c r="G38" s="757"/>
      <c r="H38" s="757"/>
      <c r="I38" s="842"/>
      <c r="J38" s="857" t="s">
        <v>940</v>
      </c>
      <c r="K38" s="840">
        <f>'D122-42'!K39</f>
        <v>1</v>
      </c>
      <c r="L38" s="856" t="s">
        <v>0</v>
      </c>
      <c r="M38" s="355"/>
      <c r="N38" s="355"/>
      <c r="P38" s="875"/>
      <c r="Q38" s="27"/>
      <c r="R38" s="876"/>
      <c r="S38" s="877"/>
    </row>
    <row r="39" spans="1:26" ht="19.899999999999999" customHeight="1">
      <c r="A39" s="1573" t="s">
        <v>855</v>
      </c>
      <c r="B39" s="857" t="s">
        <v>856</v>
      </c>
      <c r="C39" s="357">
        <f>'D122-42'!C49/1.15</f>
        <v>13.277826086956518</v>
      </c>
      <c r="D39" s="842" t="s">
        <v>3</v>
      </c>
      <c r="E39" s="859"/>
      <c r="F39" s="842"/>
      <c r="G39" s="842"/>
      <c r="H39" s="842"/>
      <c r="I39" s="842"/>
      <c r="J39" s="842" t="s">
        <v>617</v>
      </c>
      <c r="K39" s="355"/>
      <c r="L39" s="856"/>
      <c r="M39" s="355"/>
      <c r="N39" s="355"/>
      <c r="P39" s="875">
        <v>10</v>
      </c>
      <c r="Q39" s="27">
        <f t="shared" si="0"/>
        <v>0.01</v>
      </c>
      <c r="R39" s="876">
        <f t="shared" si="1"/>
        <v>0.61622500000000013</v>
      </c>
      <c r="S39" s="877">
        <f t="shared" si="2"/>
        <v>0.78500000000000014</v>
      </c>
    </row>
    <row r="40" spans="1:26" ht="19.899999999999999" customHeight="1">
      <c r="A40" s="1573"/>
      <c r="B40" s="857" t="s">
        <v>857</v>
      </c>
      <c r="C40" s="357">
        <f>'D122-42'!C50/1.15</f>
        <v>15.495652173913046</v>
      </c>
      <c r="D40" s="842" t="s">
        <v>3</v>
      </c>
      <c r="E40" s="857" t="s">
        <v>858</v>
      </c>
      <c r="F40" s="357">
        <f>'D122-42'!F50/1.15</f>
        <v>2.3999999999999995</v>
      </c>
      <c r="G40" s="758" t="s">
        <v>3</v>
      </c>
      <c r="H40" s="842"/>
      <c r="I40" s="842"/>
      <c r="J40" s="857" t="s">
        <v>939</v>
      </c>
      <c r="K40" s="840">
        <f>'D122-42'!K41</f>
        <v>2.5</v>
      </c>
      <c r="L40" s="856" t="s">
        <v>0</v>
      </c>
      <c r="M40" s="355"/>
      <c r="N40" s="355"/>
      <c r="P40" s="875">
        <v>8</v>
      </c>
      <c r="Q40" s="27">
        <f t="shared" si="0"/>
        <v>8.0000000000000002E-3</v>
      </c>
      <c r="R40" s="876">
        <f t="shared" si="1"/>
        <v>0.39438400000000001</v>
      </c>
      <c r="S40" s="877">
        <f t="shared" si="2"/>
        <v>0.50239999999999996</v>
      </c>
    </row>
    <row r="41" spans="1:26" ht="19.899999999999999" customHeight="1" thickBot="1">
      <c r="A41" s="1573"/>
      <c r="B41" s="857" t="s">
        <v>859</v>
      </c>
      <c r="C41" s="357">
        <f>'D122-42'!C51/1.15</f>
        <v>491.18565217391301</v>
      </c>
      <c r="D41" s="842" t="s">
        <v>4</v>
      </c>
      <c r="E41" s="857" t="s">
        <v>860</v>
      </c>
      <c r="F41" s="357">
        <f>'D122-42'!F51/1.15</f>
        <v>94.64452173913044</v>
      </c>
      <c r="G41" s="758" t="s">
        <v>4</v>
      </c>
      <c r="H41" s="842"/>
      <c r="I41" s="842"/>
      <c r="J41" s="842" t="s">
        <v>618</v>
      </c>
      <c r="K41" s="355"/>
      <c r="L41" s="856"/>
      <c r="M41" s="355"/>
      <c r="N41" s="355"/>
      <c r="P41" s="882">
        <v>6</v>
      </c>
      <c r="Q41" s="28">
        <f t="shared" si="0"/>
        <v>6.0000000000000001E-3</v>
      </c>
      <c r="R41" s="883">
        <f t="shared" si="1"/>
        <v>0.22184100000000001</v>
      </c>
      <c r="S41" s="884">
        <f t="shared" si="2"/>
        <v>0.28260000000000002</v>
      </c>
    </row>
    <row r="42" spans="1:26" ht="19.899999999999999" customHeight="1">
      <c r="A42" s="1573" t="s">
        <v>861</v>
      </c>
      <c r="B42" s="759" t="s">
        <v>856</v>
      </c>
      <c r="C42" s="760">
        <f>'D122-42'!C54/1.15</f>
        <v>13.277739130434783</v>
      </c>
      <c r="D42" s="758" t="s">
        <v>3</v>
      </c>
      <c r="E42" s="759"/>
      <c r="F42" s="757"/>
      <c r="G42" s="758"/>
      <c r="H42" s="842"/>
      <c r="I42" s="842"/>
      <c r="J42" s="857" t="s">
        <v>943</v>
      </c>
      <c r="K42" s="357">
        <f>K10*K11*K38-K30</f>
        <v>59.162999999999997</v>
      </c>
      <c r="L42" s="856" t="s">
        <v>1</v>
      </c>
      <c r="M42" s="355"/>
      <c r="N42" s="355"/>
      <c r="P42" s="11"/>
      <c r="R42" s="885"/>
      <c r="S42" s="886"/>
    </row>
    <row r="43" spans="1:26" ht="19.899999999999999" customHeight="1">
      <c r="A43" s="1573"/>
      <c r="B43" s="759" t="s">
        <v>857</v>
      </c>
      <c r="C43" s="760">
        <f>'D122-42'!C55/1.15</f>
        <v>9.6240000000000023</v>
      </c>
      <c r="D43" s="758" t="s">
        <v>3</v>
      </c>
      <c r="E43" s="759" t="s">
        <v>858</v>
      </c>
      <c r="F43" s="760">
        <f>'D122-42'!F55/1.15</f>
        <v>6.644869565217391</v>
      </c>
      <c r="G43" s="758" t="s">
        <v>3</v>
      </c>
      <c r="H43" s="842"/>
      <c r="I43" s="842"/>
      <c r="J43" s="842" t="s">
        <v>619</v>
      </c>
      <c r="K43" s="842"/>
      <c r="L43" s="856"/>
      <c r="M43" s="355"/>
      <c r="N43" s="355"/>
    </row>
    <row r="44" spans="1:26" ht="19.899999999999999" customHeight="1">
      <c r="A44" s="1573"/>
      <c r="B44" s="759" t="s">
        <v>859</v>
      </c>
      <c r="C44" s="760">
        <f>'D122-42'!C56/1.15</f>
        <v>296.9904347826087</v>
      </c>
      <c r="D44" s="758" t="s">
        <v>4</v>
      </c>
      <c r="E44" s="759" t="s">
        <v>860</v>
      </c>
      <c r="F44" s="760">
        <f>'D122-42'!F56/1.15</f>
        <v>197.36652173913046</v>
      </c>
      <c r="G44" s="758" t="s">
        <v>4</v>
      </c>
      <c r="H44" s="842"/>
      <c r="I44" s="842"/>
      <c r="J44" s="857" t="s">
        <v>862</v>
      </c>
      <c r="K44" s="839">
        <f>'D122-42'!K45</f>
        <v>0</v>
      </c>
      <c r="L44" s="856" t="s">
        <v>0</v>
      </c>
      <c r="M44" s="355"/>
      <c r="N44" s="355"/>
      <c r="Z44" s="7"/>
    </row>
    <row r="45" spans="1:26" ht="19.899999999999999" customHeight="1" thickBot="1">
      <c r="A45" s="1573" t="s">
        <v>549</v>
      </c>
      <c r="B45" s="759" t="s">
        <v>856</v>
      </c>
      <c r="C45" s="760">
        <f>'D122-42'!C57/1.15</f>
        <v>13.277826086956518</v>
      </c>
      <c r="D45" s="758" t="s">
        <v>3</v>
      </c>
      <c r="E45" s="759"/>
      <c r="F45" s="760"/>
      <c r="G45" s="758"/>
      <c r="H45" s="842"/>
      <c r="I45" s="842"/>
      <c r="J45" s="842" t="s">
        <v>620</v>
      </c>
      <c r="K45" s="355"/>
      <c r="L45" s="856"/>
      <c r="M45" s="355"/>
      <c r="N45" s="355"/>
      <c r="V45" s="1574" t="s">
        <v>850</v>
      </c>
      <c r="W45" s="1575"/>
      <c r="X45" s="1575"/>
      <c r="Y45" s="1576"/>
      <c r="Z45" s="7"/>
    </row>
    <row r="46" spans="1:26" ht="19.899999999999999" customHeight="1">
      <c r="A46" s="1573"/>
      <c r="B46" s="759" t="s">
        <v>857</v>
      </c>
      <c r="C46" s="760">
        <f>'D122-42'!C58/1.15</f>
        <v>15.495652173913046</v>
      </c>
      <c r="D46" s="758" t="s">
        <v>3</v>
      </c>
      <c r="E46" s="759" t="s">
        <v>858</v>
      </c>
      <c r="F46" s="760">
        <f>'D122-42'!F58/1.15</f>
        <v>2.3999999999999995</v>
      </c>
      <c r="G46" s="758" t="s">
        <v>3</v>
      </c>
      <c r="H46" s="842"/>
      <c r="I46" s="842"/>
      <c r="J46" s="857" t="s">
        <v>863</v>
      </c>
      <c r="K46" s="357">
        <f>K44*K10*K11</f>
        <v>0</v>
      </c>
      <c r="L46" s="856" t="s">
        <v>1</v>
      </c>
      <c r="M46" s="355"/>
      <c r="N46" s="355"/>
      <c r="Q46" s="63"/>
      <c r="R46" s="63"/>
      <c r="S46" s="108"/>
      <c r="V46" s="254" t="s">
        <v>851</v>
      </c>
      <c r="W46" s="467" t="s">
        <v>152</v>
      </c>
      <c r="X46" s="254" t="s">
        <v>153</v>
      </c>
      <c r="Y46" s="254" t="s">
        <v>699</v>
      </c>
      <c r="Z46" s="7"/>
    </row>
    <row r="47" spans="1:26" ht="19.899999999999999" customHeight="1">
      <c r="A47" s="1573"/>
      <c r="B47" s="759" t="s">
        <v>859</v>
      </c>
      <c r="C47" s="760">
        <f>'D122-42'!C59/1.15</f>
        <v>491.18565217391301</v>
      </c>
      <c r="D47" s="758" t="s">
        <v>4</v>
      </c>
      <c r="E47" s="759" t="s">
        <v>860</v>
      </c>
      <c r="F47" s="760">
        <f>'D122-42'!F59/1.15</f>
        <v>94.64452173913044</v>
      </c>
      <c r="G47" s="758" t="s">
        <v>4</v>
      </c>
      <c r="H47" s="842"/>
      <c r="I47" s="842"/>
      <c r="J47" s="857" t="s">
        <v>941</v>
      </c>
      <c r="K47" s="357">
        <f>K46*1.55*K11/4</f>
        <v>0</v>
      </c>
      <c r="L47" s="856" t="s">
        <v>4</v>
      </c>
      <c r="M47" s="355"/>
      <c r="N47" s="355"/>
      <c r="S47" s="117"/>
      <c r="V47" s="254" t="s">
        <v>696</v>
      </c>
      <c r="W47" s="467">
        <f>F41+F40*$K$14</f>
        <v>103.04452173913043</v>
      </c>
      <c r="X47" s="467">
        <f>C41+C40*$K$14</f>
        <v>545.42043478260871</v>
      </c>
      <c r="Y47" s="467">
        <f>SQRT(W47^2+X47^2)</f>
        <v>555.0690264632824</v>
      </c>
    </row>
    <row r="48" spans="1:26" ht="19.899999999999999" customHeight="1">
      <c r="A48" s="1573" t="s">
        <v>662</v>
      </c>
      <c r="B48" s="759" t="s">
        <v>856</v>
      </c>
      <c r="C48" s="760">
        <f>'D122-42'!R23/1.15</f>
        <v>11.999565217391305</v>
      </c>
      <c r="D48" s="758" t="s">
        <v>3</v>
      </c>
      <c r="E48" s="759"/>
      <c r="F48" s="760"/>
      <c r="G48" s="758"/>
      <c r="H48" s="842"/>
      <c r="I48" s="1598" t="s">
        <v>864</v>
      </c>
      <c r="J48" s="1598"/>
      <c r="K48" s="357">
        <f>'D122-42'!K52</f>
        <v>0</v>
      </c>
      <c r="L48" s="842" t="s">
        <v>1</v>
      </c>
      <c r="M48" s="355"/>
      <c r="N48" s="355"/>
      <c r="S48" s="117"/>
      <c r="V48" s="254" t="s">
        <v>697</v>
      </c>
      <c r="W48" s="467">
        <f>F44+F43*$K$14</f>
        <v>220.62356521739133</v>
      </c>
      <c r="X48" s="467">
        <f>C44+C43*$K$14</f>
        <v>330.67443478260873</v>
      </c>
      <c r="Y48" s="467">
        <f>SQRT(W48^2+X48^2)</f>
        <v>397.51772205529437</v>
      </c>
    </row>
    <row r="49" spans="1:33" ht="19.899999999999999" customHeight="1">
      <c r="A49" s="1573"/>
      <c r="B49" s="759" t="s">
        <v>857</v>
      </c>
      <c r="C49" s="760">
        <f>ABS('D122-42'!P23/1.15)</f>
        <v>8.4347826086956523</v>
      </c>
      <c r="D49" s="758" t="s">
        <v>3</v>
      </c>
      <c r="E49" s="759" t="s">
        <v>858</v>
      </c>
      <c r="F49" s="760">
        <f>ABS('D122-42'!Q23/1.15)</f>
        <v>0</v>
      </c>
      <c r="G49" s="758" t="s">
        <v>3</v>
      </c>
      <c r="H49" s="842"/>
      <c r="I49" s="1577" t="s">
        <v>865</v>
      </c>
      <c r="J49" s="1577"/>
      <c r="K49" s="357">
        <f>'D122-42'!K53</f>
        <v>0</v>
      </c>
      <c r="L49" s="842" t="s">
        <v>4</v>
      </c>
      <c r="M49" s="355"/>
      <c r="N49" s="355"/>
      <c r="S49" s="117"/>
      <c r="V49" s="254" t="s">
        <v>698</v>
      </c>
      <c r="W49" s="467">
        <f>F47+F46*$K$14</f>
        <v>103.04452173913043</v>
      </c>
      <c r="X49" s="467">
        <f>C47+C46*$K$14</f>
        <v>545.42043478260871</v>
      </c>
      <c r="Y49" s="467">
        <f t="shared" ref="Y49:Y50" si="3">SQRT(W49^2+X49^2)</f>
        <v>555.0690264632824</v>
      </c>
    </row>
    <row r="50" spans="1:33" ht="19.899999999999999" customHeight="1">
      <c r="A50" s="1573"/>
      <c r="B50" s="759" t="s">
        <v>859</v>
      </c>
      <c r="C50" s="760">
        <f>ABS('D122-42'!T23/1.15)</f>
        <v>303.74973913043482</v>
      </c>
      <c r="D50" s="758" t="s">
        <v>4</v>
      </c>
      <c r="E50" s="759" t="s">
        <v>860</v>
      </c>
      <c r="F50" s="760">
        <f>ABS('D122-42'!S23/1.15)</f>
        <v>3.47826086957194E-3</v>
      </c>
      <c r="G50" s="758" t="s">
        <v>4</v>
      </c>
      <c r="H50" s="842"/>
      <c r="I50" s="842"/>
      <c r="J50" s="842"/>
      <c r="K50" s="355"/>
      <c r="L50" s="856"/>
      <c r="M50" s="355"/>
      <c r="N50" s="355"/>
      <c r="S50" s="117"/>
      <c r="V50" s="12" t="s">
        <v>706</v>
      </c>
      <c r="W50" s="467">
        <f>F50+F49*$K$14</f>
        <v>3.47826086957194E-3</v>
      </c>
      <c r="X50" s="467">
        <f>C50+C49*$K$14</f>
        <v>333.27147826086957</v>
      </c>
      <c r="Y50" s="467">
        <f t="shared" si="3"/>
        <v>333.27147827902041</v>
      </c>
    </row>
    <row r="51" spans="1:33" ht="19.899999999999999" customHeight="1">
      <c r="A51" s="887" t="s">
        <v>664</v>
      </c>
      <c r="D51" s="1417" t="s">
        <v>1118</v>
      </c>
      <c r="E51" s="4" t="s">
        <v>1120</v>
      </c>
      <c r="V51" s="889" t="s">
        <v>995</v>
      </c>
    </row>
    <row r="52" spans="1:33" ht="19.899999999999999" customHeight="1">
      <c r="A52" s="1482" t="s">
        <v>216</v>
      </c>
      <c r="B52" s="1482" t="s">
        <v>217</v>
      </c>
      <c r="C52" s="1504"/>
      <c r="D52" s="890" t="s">
        <v>218</v>
      </c>
      <c r="E52" s="890" t="s">
        <v>945</v>
      </c>
      <c r="F52" s="1475" t="s">
        <v>39</v>
      </c>
      <c r="G52" s="891" t="s">
        <v>946</v>
      </c>
      <c r="H52" s="892" t="s">
        <v>221</v>
      </c>
      <c r="I52" s="890" t="s">
        <v>25</v>
      </c>
      <c r="J52" s="890" t="s">
        <v>26</v>
      </c>
      <c r="K52" s="890" t="s">
        <v>947</v>
      </c>
      <c r="V52" s="893" t="s">
        <v>996</v>
      </c>
      <c r="Y52" s="1259">
        <f>Y50*0.5</f>
        <v>166.63573913951021</v>
      </c>
    </row>
    <row r="53" spans="1:33" ht="19.899999999999999" customHeight="1">
      <c r="A53" s="1482"/>
      <c r="B53" s="1482"/>
      <c r="C53" s="1504"/>
      <c r="D53" s="894" t="s">
        <v>0</v>
      </c>
      <c r="E53" s="894" t="s">
        <v>24</v>
      </c>
      <c r="F53" s="1471"/>
      <c r="G53" s="895"/>
      <c r="H53" s="894" t="s">
        <v>219</v>
      </c>
      <c r="I53" s="894" t="s">
        <v>10</v>
      </c>
      <c r="J53" s="894" t="s">
        <v>10</v>
      </c>
      <c r="K53" s="894" t="s">
        <v>24</v>
      </c>
    </row>
    <row r="54" spans="1:33" ht="24" customHeight="1">
      <c r="A54" s="896" t="str">
        <f t="shared" ref="A54:B56" si="4">V10</f>
        <v>Lớp 1</v>
      </c>
      <c r="B54" s="1567" t="str">
        <f t="shared" si="4"/>
        <v>Á sét, xám trắng, xám vàng, dẻo cứng</v>
      </c>
      <c r="C54" s="1567"/>
      <c r="D54" s="897">
        <f t="shared" ref="D54:J55" si="5">X10</f>
        <v>2.5</v>
      </c>
      <c r="E54" s="897">
        <f t="shared" si="5"/>
        <v>2.06</v>
      </c>
      <c r="F54" s="897">
        <f t="shared" si="5"/>
        <v>2.68</v>
      </c>
      <c r="G54" s="898">
        <f t="shared" si="5"/>
        <v>0.53956893203883505</v>
      </c>
      <c r="H54" s="897">
        <f t="shared" si="5"/>
        <v>14.632999999999999</v>
      </c>
      <c r="I54" s="897">
        <f t="shared" si="5"/>
        <v>3.06</v>
      </c>
      <c r="J54" s="897">
        <f t="shared" si="5"/>
        <v>1990</v>
      </c>
      <c r="K54" s="897">
        <f>(F54-1)/(G54+1)</f>
        <v>1.091214537419376</v>
      </c>
      <c r="M54" s="9"/>
      <c r="V54" s="4">
        <f>IF(E54&gt;1.55,1.55,E54)</f>
        <v>1.55</v>
      </c>
      <c r="W54" s="11">
        <f>IF(K54&gt;0.55,0.55,K54)</f>
        <v>0.55000000000000004</v>
      </c>
    </row>
    <row r="55" spans="1:33" ht="19.899999999999999" customHeight="1">
      <c r="A55" s="896" t="str">
        <f t="shared" si="4"/>
        <v>Lớp 2</v>
      </c>
      <c r="B55" s="1567" t="str">
        <f t="shared" si="4"/>
        <v>Á sét, xám trắng, xám vàng, nửa cứng</v>
      </c>
      <c r="C55" s="1567"/>
      <c r="D55" s="897">
        <f t="shared" si="5"/>
        <v>3.5</v>
      </c>
      <c r="E55" s="897">
        <f t="shared" si="5"/>
        <v>1.98</v>
      </c>
      <c r="F55" s="897">
        <f t="shared" si="5"/>
        <v>2.68</v>
      </c>
      <c r="G55" s="898">
        <f t="shared" si="5"/>
        <v>0.63764242424242434</v>
      </c>
      <c r="H55" s="897">
        <f t="shared" si="5"/>
        <v>16.866</v>
      </c>
      <c r="I55" s="897">
        <f t="shared" si="5"/>
        <v>4.1849999999999996</v>
      </c>
      <c r="J55" s="897">
        <f t="shared" si="5"/>
        <v>1930</v>
      </c>
      <c r="K55" s="897">
        <f>(F55-1)/(G55+1)</f>
        <v>1.025864972188401</v>
      </c>
      <c r="M55" s="9"/>
    </row>
    <row r="56" spans="1:33" s="7" customFormat="1" ht="24" customHeight="1">
      <c r="A56" s="896" t="str">
        <f t="shared" si="4"/>
        <v>Lớp 3</v>
      </c>
      <c r="B56" s="1567" t="str">
        <f t="shared" si="4"/>
        <v>Á sét, vàng nâu, dẻo cứng</v>
      </c>
      <c r="C56" s="1567"/>
      <c r="D56" s="897">
        <f t="shared" ref="D56:J56" si="6">X12</f>
        <v>3.2</v>
      </c>
      <c r="E56" s="897">
        <f t="shared" si="6"/>
        <v>1.97</v>
      </c>
      <c r="F56" s="897">
        <f t="shared" si="6"/>
        <v>2.68</v>
      </c>
      <c r="G56" s="898">
        <f t="shared" si="6"/>
        <v>0.71125482233502546</v>
      </c>
      <c r="H56" s="897">
        <f t="shared" si="6"/>
        <v>14.782999999999999</v>
      </c>
      <c r="I56" s="897">
        <f t="shared" si="6"/>
        <v>3.3929999999999998</v>
      </c>
      <c r="J56" s="897">
        <f t="shared" si="6"/>
        <v>1240</v>
      </c>
      <c r="K56" s="897">
        <f>(F56-1)/(G56+1)</f>
        <v>0.98173572870206571</v>
      </c>
      <c r="M56" s="410"/>
      <c r="N56" s="267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</row>
    <row r="57" spans="1:33" ht="24" customHeight="1">
      <c r="A57" s="896" t="str">
        <f>IF(V13=0,"",V13)</f>
        <v>Lớp 4</v>
      </c>
      <c r="B57" s="1567" t="str">
        <f>IF(W13=0,"",W13)</f>
        <v>Á cát, xám trắng, dẻo</v>
      </c>
      <c r="C57" s="1567"/>
      <c r="D57" s="897">
        <f t="shared" ref="D57:J57" si="7">IF(X13=0,"",X13)</f>
        <v>2.8</v>
      </c>
      <c r="E57" s="897">
        <f t="shared" si="7"/>
        <v>2.06</v>
      </c>
      <c r="F57" s="897">
        <f t="shared" si="7"/>
        <v>2.69</v>
      </c>
      <c r="G57" s="898">
        <f t="shared" si="7"/>
        <v>0.56111407766990284</v>
      </c>
      <c r="H57" s="897">
        <f t="shared" si="7"/>
        <v>19.149999999999999</v>
      </c>
      <c r="I57" s="897">
        <f t="shared" si="7"/>
        <v>1.8900000000000099</v>
      </c>
      <c r="J57" s="897">
        <f t="shared" si="7"/>
        <v>2170</v>
      </c>
      <c r="K57" s="897">
        <f>IF(F57="","",(F57-1)/(G57+1))</f>
        <v>1.0825602204052061</v>
      </c>
      <c r="M57" s="9"/>
    </row>
    <row r="58" spans="1:33" ht="19.899999999999999" customHeight="1">
      <c r="A58" s="879" t="s">
        <v>222</v>
      </c>
      <c r="B58" s="842"/>
      <c r="C58" s="842"/>
      <c r="D58" s="842"/>
      <c r="E58" s="842"/>
      <c r="F58" s="842"/>
      <c r="G58" s="842"/>
      <c r="H58" s="842"/>
      <c r="I58" s="842"/>
      <c r="J58" s="842"/>
      <c r="K58" s="355"/>
      <c r="L58" s="856"/>
    </row>
    <row r="59" spans="1:33" ht="19.899999999999999" customHeight="1">
      <c r="A59" s="879" t="s">
        <v>665</v>
      </c>
      <c r="B59" s="842"/>
      <c r="C59" s="842"/>
      <c r="D59" s="842"/>
      <c r="E59" s="842"/>
      <c r="F59" s="842"/>
      <c r="G59" s="842"/>
      <c r="H59" s="842"/>
      <c r="I59" s="842"/>
      <c r="J59" s="842"/>
      <c r="K59" s="355"/>
      <c r="L59" s="856"/>
      <c r="N59" s="4" t="s">
        <v>580</v>
      </c>
      <c r="O59" s="1561" t="s">
        <v>589</v>
      </c>
      <c r="P59" s="1561"/>
    </row>
    <row r="60" spans="1:33" ht="19.899999999999999" customHeight="1">
      <c r="A60" s="842"/>
      <c r="B60" s="857" t="s">
        <v>120</v>
      </c>
      <c r="C60" s="357">
        <f>IF(D55&gt;0,H55,H54)</f>
        <v>16.866</v>
      </c>
      <c r="D60" s="856" t="s">
        <v>666</v>
      </c>
      <c r="E60" s="857"/>
      <c r="F60" s="355"/>
      <c r="G60" s="842"/>
      <c r="H60" s="842"/>
      <c r="I60" s="842"/>
      <c r="J60" s="842"/>
      <c r="K60" s="355"/>
      <c r="L60" s="856"/>
      <c r="M60" s="4" t="s">
        <v>581</v>
      </c>
      <c r="N60" s="4" t="s">
        <v>583</v>
      </c>
      <c r="O60" s="4" t="s">
        <v>590</v>
      </c>
      <c r="P60" s="4" t="s">
        <v>591</v>
      </c>
    </row>
    <row r="61" spans="1:33" ht="19.899999999999999" customHeight="1">
      <c r="A61" s="355"/>
      <c r="B61" s="857" t="s">
        <v>59</v>
      </c>
      <c r="C61" s="355">
        <f>ROUND(0.25*3.1416/(1/TAN(RADIANS(C60))+RADIANS(C60)-3.1516/2),2)</f>
        <v>0.39</v>
      </c>
      <c r="D61" s="857" t="s">
        <v>112</v>
      </c>
      <c r="E61" s="355">
        <f>ROUND((1+3.1416/(1/TAN(RADIANS(C60))+RADIANS(C60)-3.1416/2)),2)</f>
        <v>2.5499999999999998</v>
      </c>
      <c r="F61" s="857" t="s">
        <v>121</v>
      </c>
      <c r="G61" s="355">
        <f>ROUND(3.1416*1/TAN(RADIANS(C60))/(1/TAN(RADIANS(C60))+RADIANS(C60)-3.1416/2),2)</f>
        <v>5.12</v>
      </c>
      <c r="H61" s="842"/>
      <c r="I61" s="842"/>
      <c r="J61" s="355"/>
      <c r="K61" s="355"/>
      <c r="L61" s="355"/>
      <c r="M61" s="902" t="s">
        <v>582</v>
      </c>
      <c r="N61" s="4">
        <v>1.4</v>
      </c>
      <c r="O61" s="4">
        <v>1.2</v>
      </c>
      <c r="P61" s="4">
        <v>1.4</v>
      </c>
    </row>
    <row r="62" spans="1:33" ht="19.899999999999999" customHeight="1">
      <c r="A62" s="842"/>
      <c r="C62" s="857" t="s">
        <v>667</v>
      </c>
      <c r="D62" s="842" t="s">
        <v>948</v>
      </c>
      <c r="E62" s="842"/>
      <c r="F62" s="842"/>
      <c r="G62" s="857"/>
      <c r="H62" s="857" t="s">
        <v>949</v>
      </c>
      <c r="I62" s="355">
        <f>D63*F63/H63</f>
        <v>1.32</v>
      </c>
      <c r="J62" s="842"/>
      <c r="K62" s="355"/>
      <c r="L62" s="856"/>
      <c r="M62" s="4" t="s">
        <v>584</v>
      </c>
    </row>
    <row r="63" spans="1:33" ht="19.899999999999999" customHeight="1">
      <c r="A63" s="842"/>
      <c r="B63" s="842" t="s">
        <v>668</v>
      </c>
      <c r="C63" s="857" t="s">
        <v>577</v>
      </c>
      <c r="D63" s="355">
        <v>1.1000000000000001</v>
      </c>
      <c r="E63" s="857" t="s">
        <v>578</v>
      </c>
      <c r="F63" s="355">
        <v>1.2</v>
      </c>
      <c r="G63" s="857" t="s">
        <v>579</v>
      </c>
      <c r="H63" s="355">
        <v>1</v>
      </c>
      <c r="I63" s="355"/>
      <c r="J63" s="355"/>
      <c r="K63" s="355"/>
      <c r="L63" s="355"/>
      <c r="M63" s="903" t="s">
        <v>585</v>
      </c>
      <c r="N63" s="4">
        <v>1.3</v>
      </c>
      <c r="O63" s="4">
        <v>1.1000000000000001</v>
      </c>
      <c r="P63" s="4">
        <v>1.3</v>
      </c>
    </row>
    <row r="64" spans="1:33" ht="19.899999999999999" customHeight="1">
      <c r="A64" s="842"/>
      <c r="B64" s="904" t="s">
        <v>669</v>
      </c>
      <c r="D64" s="842"/>
      <c r="E64" s="857" t="s">
        <v>950</v>
      </c>
      <c r="F64" s="357">
        <f>W50</f>
        <v>3.47826086957194E-3</v>
      </c>
      <c r="G64" s="842" t="s">
        <v>4</v>
      </c>
      <c r="J64" s="857" t="s">
        <v>951</v>
      </c>
      <c r="K64" s="356">
        <f>Y50</f>
        <v>333.27147827902041</v>
      </c>
      <c r="L64" s="842" t="s">
        <v>4</v>
      </c>
      <c r="M64" s="4" t="s">
        <v>586</v>
      </c>
    </row>
    <row r="65" spans="1:22" ht="19.899999999999999" customHeight="1">
      <c r="A65" s="842"/>
      <c r="B65" s="904" t="s">
        <v>670</v>
      </c>
      <c r="C65" s="842"/>
      <c r="D65" s="842"/>
      <c r="E65" s="842"/>
      <c r="F65" s="859"/>
      <c r="G65" s="859"/>
      <c r="H65" s="859"/>
      <c r="I65" s="842"/>
      <c r="J65" s="842"/>
      <c r="K65" s="355"/>
      <c r="L65" s="856"/>
      <c r="M65" s="903" t="s">
        <v>587</v>
      </c>
      <c r="N65" s="4">
        <v>1.2</v>
      </c>
      <c r="O65" s="4">
        <v>1</v>
      </c>
      <c r="P65" s="4">
        <v>1.1000000000000001</v>
      </c>
    </row>
    <row r="66" spans="1:22" ht="19.899999999999999" customHeight="1">
      <c r="A66" s="904"/>
      <c r="B66" s="857" t="s">
        <v>145</v>
      </c>
      <c r="C66" s="357">
        <f>(C61*K10*K55+E61*K38*W54+G61*I55)*I62</f>
        <v>35.416356876825887</v>
      </c>
      <c r="D66" s="842" t="s">
        <v>10</v>
      </c>
      <c r="E66" s="857" t="s">
        <v>952</v>
      </c>
      <c r="F66" s="357">
        <f>F67+F64/K34+K64/K36</f>
        <v>3.0518379602474708</v>
      </c>
      <c r="G66" s="842" t="s">
        <v>146</v>
      </c>
      <c r="H66" s="842"/>
      <c r="I66" s="357">
        <f>+C66*1.2</f>
        <v>42.499628252191066</v>
      </c>
      <c r="J66" s="842" t="s">
        <v>10</v>
      </c>
      <c r="K66" s="355"/>
      <c r="L66" s="856"/>
      <c r="V66" s="4" t="str">
        <f>IF(I66&gt;F66,"Đạt", "Chưa đạt")</f>
        <v>Đạt</v>
      </c>
    </row>
    <row r="67" spans="1:22" ht="19.899999999999999" customHeight="1">
      <c r="A67" s="904"/>
      <c r="B67" s="857" t="s">
        <v>164</v>
      </c>
      <c r="C67" s="357">
        <f>C39+K30*2.5+K42*W54+K46*W54</f>
        <v>197.9099760869565</v>
      </c>
      <c r="D67" s="842" t="s">
        <v>3</v>
      </c>
      <c r="E67" s="857" t="s">
        <v>953</v>
      </c>
      <c r="F67" s="357">
        <f>C67/K32</f>
        <v>1.6631090427475337</v>
      </c>
      <c r="G67" s="842" t="s">
        <v>147</v>
      </c>
      <c r="H67" s="842"/>
      <c r="I67" s="357">
        <f>+C66</f>
        <v>35.416356876825887</v>
      </c>
      <c r="J67" s="842" t="s">
        <v>10</v>
      </c>
      <c r="K67" s="355"/>
      <c r="L67" s="856"/>
      <c r="M67" s="903" t="s">
        <v>588</v>
      </c>
      <c r="N67" s="4">
        <v>1.1000000000000001</v>
      </c>
      <c r="O67" s="4">
        <v>1</v>
      </c>
      <c r="P67" s="4">
        <v>1</v>
      </c>
      <c r="V67" s="4" t="str">
        <f>IF(I67&gt;F67,"Đạt", "Chưa đạt")</f>
        <v>Đạt</v>
      </c>
    </row>
    <row r="68" spans="1:22" ht="19.899999999999999" customHeight="1">
      <c r="A68" s="904"/>
      <c r="B68" s="842"/>
      <c r="C68" s="842"/>
      <c r="D68" s="842"/>
      <c r="E68" s="857" t="s">
        <v>954</v>
      </c>
      <c r="F68" s="357">
        <f>F67-F64/K34-K64/K36</f>
        <v>0.27438012524759681</v>
      </c>
      <c r="G68" s="842" t="s">
        <v>10</v>
      </c>
      <c r="H68" s="905" t="str">
        <f>+IF(F68&gt;0,"&gt; 0","@ 0")</f>
        <v>&gt; 0</v>
      </c>
      <c r="I68" s="357"/>
      <c r="J68" s="842"/>
      <c r="K68" s="357"/>
      <c r="L68" s="906"/>
      <c r="V68" s="4" t="str">
        <f>IF(F68&lt;-0.1,"Chưa đạt", "Đạt")</f>
        <v>Đạt</v>
      </c>
    </row>
    <row r="69" spans="1:22" ht="19.899999999999999" customHeight="1">
      <c r="A69" s="842"/>
      <c r="B69" s="904" t="s">
        <v>671</v>
      </c>
      <c r="C69" s="842"/>
      <c r="D69" s="842"/>
      <c r="E69" s="842"/>
      <c r="F69" s="357"/>
      <c r="G69" s="859"/>
      <c r="H69" s="859"/>
      <c r="I69" s="355"/>
      <c r="J69" s="842"/>
      <c r="K69" s="355"/>
      <c r="L69" s="856"/>
    </row>
    <row r="70" spans="1:22" ht="19.899999999999999" customHeight="1">
      <c r="A70" s="904"/>
      <c r="B70" s="857" t="s">
        <v>145</v>
      </c>
      <c r="C70" s="357">
        <f>(C61*K10*K55+E61*K38*V54+G61*I55)*I62</f>
        <v>38.782356876825887</v>
      </c>
      <c r="D70" s="842" t="s">
        <v>10</v>
      </c>
      <c r="E70" s="857" t="s">
        <v>952</v>
      </c>
      <c r="F70" s="357">
        <f>F71+F64/K34+K64/K36</f>
        <v>3.5490060274743613</v>
      </c>
      <c r="G70" s="842" t="s">
        <v>146</v>
      </c>
      <c r="H70" s="842"/>
      <c r="I70" s="357">
        <f>+C70*1.2</f>
        <v>46.53882825219106</v>
      </c>
      <c r="J70" s="842" t="s">
        <v>10</v>
      </c>
      <c r="K70" s="355"/>
      <c r="L70" s="856"/>
      <c r="V70" s="4" t="str">
        <f>IF(I70&gt;F70,"Đạt", "Chưa đạt")</f>
        <v>Đạt</v>
      </c>
    </row>
    <row r="71" spans="1:22" ht="19.899999999999999" customHeight="1">
      <c r="A71" s="904"/>
      <c r="B71" s="857" t="s">
        <v>164</v>
      </c>
      <c r="C71" s="357">
        <f>C39+K30*2.5+K42*V54+K46*V54</f>
        <v>257.07297608695649</v>
      </c>
      <c r="D71" s="842" t="s">
        <v>3</v>
      </c>
      <c r="E71" s="857" t="s">
        <v>953</v>
      </c>
      <c r="F71" s="357">
        <f>C71/K32</f>
        <v>2.1602771099744245</v>
      </c>
      <c r="G71" s="842" t="s">
        <v>147</v>
      </c>
      <c r="H71" s="842"/>
      <c r="I71" s="357">
        <f>+C70</f>
        <v>38.782356876825887</v>
      </c>
      <c r="J71" s="842" t="s">
        <v>10</v>
      </c>
      <c r="K71" s="355"/>
      <c r="L71" s="856"/>
      <c r="V71" s="4" t="str">
        <f>IF(I71&gt;F71,"Đạt", "Chưa đạt")</f>
        <v>Đạt</v>
      </c>
    </row>
    <row r="72" spans="1:22" ht="19.899999999999999" customHeight="1">
      <c r="A72" s="904"/>
      <c r="B72" s="857"/>
      <c r="C72" s="842"/>
      <c r="D72" s="842"/>
      <c r="E72" s="857" t="s">
        <v>954</v>
      </c>
      <c r="F72" s="357">
        <f>F71-F64/K34-K64/K36</f>
        <v>0.77154819247448758</v>
      </c>
      <c r="G72" s="842" t="s">
        <v>10</v>
      </c>
      <c r="H72" s="842" t="s">
        <v>148</v>
      </c>
      <c r="I72" s="357"/>
      <c r="J72" s="842"/>
      <c r="K72" s="355"/>
      <c r="L72" s="856"/>
      <c r="V72" s="4" t="str">
        <f>IF(F72&lt;-0.1,"Chưa đạt", "Đạt")</f>
        <v>Đạt</v>
      </c>
    </row>
    <row r="73" spans="1:22" ht="19.899999999999999" hidden="1" customHeight="1" outlineLevel="1">
      <c r="A73" s="879" t="s">
        <v>672</v>
      </c>
      <c r="B73" s="842"/>
      <c r="C73" s="842"/>
      <c r="D73" s="842"/>
      <c r="E73" s="842"/>
      <c r="F73" s="859"/>
      <c r="G73" s="859"/>
      <c r="H73" s="859"/>
      <c r="I73" s="842"/>
      <c r="J73" s="842"/>
      <c r="K73" s="355"/>
      <c r="L73" s="856"/>
    </row>
    <row r="74" spans="1:22" ht="19.899999999999999" hidden="1" customHeight="1" outlineLevel="1">
      <c r="A74" s="842"/>
      <c r="B74" s="857" t="s">
        <v>120</v>
      </c>
      <c r="C74" s="357">
        <f>H56</f>
        <v>14.782999999999999</v>
      </c>
      <c r="D74" s="842"/>
      <c r="E74" s="842" t="s">
        <v>955</v>
      </c>
      <c r="F74" s="859">
        <f>+K10+2*V74</f>
        <v>11.2</v>
      </c>
      <c r="G74" s="859" t="s">
        <v>0</v>
      </c>
      <c r="H74" s="859"/>
      <c r="I74" s="842"/>
      <c r="J74" s="842"/>
      <c r="K74" s="355"/>
      <c r="L74" s="856"/>
      <c r="V74" s="4">
        <f>IF(D55&gt;0.5,0.6,0.3)</f>
        <v>0.6</v>
      </c>
    </row>
    <row r="75" spans="1:22" ht="19.899999999999999" hidden="1" customHeight="1" outlineLevel="1">
      <c r="A75" s="842"/>
      <c r="B75" s="857" t="s">
        <v>59</v>
      </c>
      <c r="C75" s="355">
        <f>ROUND(0.25*3.1416/(1/TAN(RADIANS(C74))+RADIANS(C74)-3.1516/2),2)</f>
        <v>0.32</v>
      </c>
      <c r="D75" s="842"/>
      <c r="E75" s="842" t="s">
        <v>141</v>
      </c>
      <c r="F75" s="859">
        <f>+K11+2*V74</f>
        <v>13.2</v>
      </c>
      <c r="G75" s="859" t="s">
        <v>0</v>
      </c>
      <c r="H75" s="859"/>
      <c r="I75" s="842"/>
      <c r="J75" s="842"/>
      <c r="K75" s="355"/>
      <c r="L75" s="856"/>
      <c r="N75" s="2"/>
    </row>
    <row r="76" spans="1:22" ht="19.899999999999999" hidden="1" customHeight="1" outlineLevel="1">
      <c r="A76" s="842"/>
      <c r="B76" s="857" t="s">
        <v>112</v>
      </c>
      <c r="C76" s="355">
        <f>ROUND((1+3.1416/(1/TAN(RADIANS(C74))+RADIANS(C74)-3.1416/2)),2)</f>
        <v>2.27</v>
      </c>
      <c r="D76" s="842"/>
      <c r="E76" s="842" t="s">
        <v>142</v>
      </c>
      <c r="F76" s="859">
        <f>+D55+K38</f>
        <v>4.5</v>
      </c>
      <c r="G76" s="859" t="s">
        <v>0</v>
      </c>
      <c r="H76" s="859"/>
      <c r="I76" s="842"/>
      <c r="J76" s="842"/>
      <c r="K76" s="355"/>
      <c r="L76" s="856"/>
      <c r="N76" s="2"/>
    </row>
    <row r="77" spans="1:22" ht="19.899999999999999" hidden="1" customHeight="1" outlineLevel="1">
      <c r="A77" s="842"/>
      <c r="B77" s="857" t="s">
        <v>121</v>
      </c>
      <c r="C77" s="355">
        <f>ROUND(3.1416*1/TAN(RADIANS(C74))/(1/TAN(RADIANS(C74))+RADIANS(C74)-3.1416/2),2)</f>
        <v>4.8099999999999996</v>
      </c>
      <c r="D77" s="842"/>
      <c r="E77" s="842" t="s">
        <v>143</v>
      </c>
      <c r="F77" s="859">
        <f>+(F75*F74^3-K20^4)/6/F74</f>
        <v>275.953119047619</v>
      </c>
      <c r="G77" s="856" t="s">
        <v>1</v>
      </c>
      <c r="H77" s="859"/>
      <c r="I77" s="842"/>
      <c r="J77" s="842"/>
      <c r="K77" s="355"/>
      <c r="L77" s="856"/>
    </row>
    <row r="78" spans="1:22" ht="19.899999999999999" hidden="1" customHeight="1" outlineLevel="1">
      <c r="A78" s="842"/>
      <c r="B78" s="857"/>
      <c r="C78" s="842"/>
      <c r="D78" s="842"/>
      <c r="E78" s="842" t="s">
        <v>144</v>
      </c>
      <c r="F78" s="859">
        <f>+(F74*F75^3-K20^4)/6/F75</f>
        <v>325.23537373737372</v>
      </c>
      <c r="G78" s="856" t="s">
        <v>1</v>
      </c>
      <c r="H78" s="859"/>
      <c r="I78" s="842"/>
      <c r="J78" s="842"/>
      <c r="K78" s="355"/>
      <c r="L78" s="856"/>
    </row>
    <row r="79" spans="1:22" ht="19.899999999999999" hidden="1" customHeight="1" outlineLevel="1">
      <c r="A79" s="842"/>
      <c r="B79" s="842"/>
      <c r="C79" s="857" t="s">
        <v>673</v>
      </c>
      <c r="D79" s="842" t="s">
        <v>956</v>
      </c>
      <c r="E79" s="842"/>
      <c r="F79" s="859"/>
      <c r="G79" s="842"/>
      <c r="H79" s="859"/>
      <c r="I79" s="842"/>
      <c r="J79" s="842"/>
      <c r="K79" s="355"/>
      <c r="L79" s="856"/>
    </row>
    <row r="80" spans="1:22" ht="19.899999999999999" hidden="1" customHeight="1" outlineLevel="1">
      <c r="A80" s="842"/>
      <c r="B80" s="842" t="s">
        <v>669</v>
      </c>
      <c r="D80" s="842"/>
      <c r="E80" s="857" t="s">
        <v>957</v>
      </c>
      <c r="F80" s="839">
        <f>+F64+F40*D55</f>
        <v>8.4034782608695711</v>
      </c>
      <c r="G80" s="842" t="s">
        <v>4</v>
      </c>
      <c r="J80" s="857" t="s">
        <v>958</v>
      </c>
      <c r="K80" s="839">
        <f>+K64+D55*C40</f>
        <v>387.50626088771605</v>
      </c>
      <c r="L80" s="842" t="s">
        <v>4</v>
      </c>
    </row>
    <row r="81" spans="1:22" ht="19.899999999999999" hidden="1" customHeight="1" outlineLevel="1">
      <c r="A81" s="842"/>
      <c r="B81" s="904" t="s">
        <v>670</v>
      </c>
      <c r="C81" s="842"/>
      <c r="D81" s="842"/>
      <c r="E81" s="842"/>
      <c r="F81" s="859"/>
      <c r="G81" s="859"/>
      <c r="H81" s="859"/>
      <c r="I81" s="842"/>
      <c r="J81" s="842"/>
      <c r="K81" s="355"/>
      <c r="L81" s="856"/>
    </row>
    <row r="82" spans="1:22" ht="19.899999999999999" hidden="1" customHeight="1" outlineLevel="1">
      <c r="A82" s="842"/>
      <c r="B82" s="857" t="s">
        <v>145</v>
      </c>
      <c r="C82" s="356">
        <f>(+C75*F74*K56+C76*(K38*W54+D55*K55)+C77*I56)*I62</f>
        <v>38.593985833530667</v>
      </c>
      <c r="D82" s="842" t="s">
        <v>10</v>
      </c>
      <c r="E82" s="857" t="s">
        <v>952</v>
      </c>
      <c r="F82" s="357">
        <f>+C83/(F74*F75-K20^2)+F80/F77+K80/F78</f>
        <v>5.8332272156730145</v>
      </c>
      <c r="G82" s="842" t="s">
        <v>10</v>
      </c>
      <c r="H82" s="842" t="s">
        <v>1011</v>
      </c>
      <c r="I82" s="356">
        <f>1.2*C82</f>
        <v>46.312783000236799</v>
      </c>
      <c r="J82" s="842" t="s">
        <v>10</v>
      </c>
      <c r="K82" s="355"/>
      <c r="L82" s="856"/>
      <c r="V82" s="4" t="str">
        <f>IF(I82&gt;F82,"Đạt", "Chưa đạt")</f>
        <v>Đạt</v>
      </c>
    </row>
    <row r="83" spans="1:22" ht="19.899999999999999" hidden="1" customHeight="1" outlineLevel="1">
      <c r="A83" s="842"/>
      <c r="B83" s="857" t="s">
        <v>164</v>
      </c>
      <c r="C83" s="356">
        <f>+C39+K42*W54+K30*1.4+(F74*F75-K10*K11)*K38*W54+F75*F74*D55*K55+K46*W54</f>
        <v>677.12484729612265</v>
      </c>
      <c r="D83" s="842" t="s">
        <v>3</v>
      </c>
      <c r="E83" s="857" t="s">
        <v>953</v>
      </c>
      <c r="F83" s="357">
        <f>+(F84+F82)/2</f>
        <v>4.6113105917741946</v>
      </c>
      <c r="G83" s="842" t="s">
        <v>10</v>
      </c>
      <c r="H83" s="842" t="s">
        <v>165</v>
      </c>
      <c r="I83" s="356">
        <f>+C82</f>
        <v>38.593985833530667</v>
      </c>
      <c r="J83" s="842" t="s">
        <v>10</v>
      </c>
      <c r="K83" s="355"/>
      <c r="L83" s="856"/>
      <c r="V83" s="4" t="str">
        <f>IF(I83&gt;F83,"Đạt", "Chưa đạt")</f>
        <v>Đạt</v>
      </c>
    </row>
    <row r="84" spans="1:22" ht="19.899999999999999" hidden="1" customHeight="1" outlineLevel="1">
      <c r="A84" s="842"/>
      <c r="B84" s="842"/>
      <c r="C84" s="842"/>
      <c r="D84" s="842"/>
      <c r="E84" s="857" t="s">
        <v>954</v>
      </c>
      <c r="F84" s="357">
        <f>+C83/(F74*F75-K20^2)-F80/F77-K80/F78</f>
        <v>3.3893939678753742</v>
      </c>
      <c r="G84" s="842" t="s">
        <v>10</v>
      </c>
      <c r="H84" s="905" t="str">
        <f>+IF(F84&gt;0,"&gt; 0","@ 0")</f>
        <v>&gt; 0</v>
      </c>
      <c r="I84" s="355"/>
      <c r="J84" s="842"/>
      <c r="K84" s="355"/>
      <c r="L84" s="856"/>
      <c r="V84" s="4" t="str">
        <f>IF(F84&lt;-0.1,"Chưa đạt", "Đạt")</f>
        <v>Đạt</v>
      </c>
    </row>
    <row r="85" spans="1:22" ht="19.899999999999999" hidden="1" customHeight="1" outlineLevel="1">
      <c r="A85" s="842"/>
      <c r="B85" s="842"/>
      <c r="C85" s="842"/>
      <c r="D85" s="842"/>
      <c r="E85" s="842"/>
      <c r="F85" s="355"/>
      <c r="G85" s="842"/>
      <c r="H85" s="842"/>
      <c r="I85" s="355"/>
      <c r="J85" s="355"/>
      <c r="K85" s="355"/>
      <c r="L85" s="856"/>
    </row>
    <row r="86" spans="1:22" ht="19.899999999999999" hidden="1" customHeight="1" outlineLevel="1">
      <c r="A86" s="842"/>
      <c r="B86" s="842"/>
      <c r="C86" s="842"/>
      <c r="D86" s="842"/>
      <c r="E86" s="842"/>
      <c r="F86" s="355"/>
      <c r="G86" s="842"/>
      <c r="H86" s="842"/>
      <c r="I86" s="355"/>
      <c r="J86" s="355"/>
      <c r="K86" s="355"/>
      <c r="L86" s="856"/>
    </row>
    <row r="87" spans="1:22" ht="19.899999999999999" hidden="1" customHeight="1" outlineLevel="1">
      <c r="A87" s="842"/>
      <c r="B87" s="904" t="s">
        <v>671</v>
      </c>
      <c r="C87" s="842"/>
      <c r="D87" s="857"/>
      <c r="E87" s="859"/>
      <c r="F87" s="355"/>
      <c r="G87" s="859"/>
      <c r="H87" s="859"/>
      <c r="I87" s="355"/>
      <c r="J87" s="355"/>
      <c r="K87" s="355"/>
      <c r="L87" s="856"/>
    </row>
    <row r="88" spans="1:22" ht="19.899999999999999" hidden="1" customHeight="1" outlineLevel="1">
      <c r="A88" s="842"/>
      <c r="B88" s="857" t="s">
        <v>145</v>
      </c>
      <c r="C88" s="907">
        <f>(+C75*F74*K56+C76*(K38*V54+D55*E55)+C77*I56)*I62</f>
        <v>51.596781524202036</v>
      </c>
      <c r="D88" s="842" t="s">
        <v>10</v>
      </c>
      <c r="E88" s="857" t="s">
        <v>952</v>
      </c>
      <c r="F88" s="357">
        <f>+C89/(F74*F75-K20^2)+F80/F77+K80/F78</f>
        <v>6.8400373491516326</v>
      </c>
      <c r="G88" s="842" t="s">
        <v>10</v>
      </c>
      <c r="H88" s="842" t="s">
        <v>1011</v>
      </c>
      <c r="I88" s="356">
        <f>1.2*C88</f>
        <v>61.916137829042441</v>
      </c>
      <c r="J88" s="842" t="s">
        <v>10</v>
      </c>
      <c r="K88" s="355"/>
      <c r="L88" s="856"/>
      <c r="V88" s="4" t="str">
        <f>IF(I88&gt;F88,"Đạt", "Chưa đạt")</f>
        <v>Đạt</v>
      </c>
    </row>
    <row r="89" spans="1:22" ht="19.899999999999999" hidden="1" customHeight="1" outlineLevel="1">
      <c r="A89" s="842"/>
      <c r="B89" s="857" t="s">
        <v>164</v>
      </c>
      <c r="C89" s="907">
        <f>+C39+K42*V54+K30*2.4+(F74*F75-K10*K11)*K38*V54+F75*F74*D55*K55+K46*V54</f>
        <v>824.96484729612268</v>
      </c>
      <c r="D89" s="842" t="s">
        <v>3</v>
      </c>
      <c r="E89" s="857" t="s">
        <v>953</v>
      </c>
      <c r="F89" s="357">
        <f>+(F88+F90)/2</f>
        <v>5.6181207252528118</v>
      </c>
      <c r="G89" s="842" t="s">
        <v>10</v>
      </c>
      <c r="H89" s="842" t="s">
        <v>165</v>
      </c>
      <c r="I89" s="356">
        <f>+C88</f>
        <v>51.596781524202036</v>
      </c>
      <c r="J89" s="842" t="s">
        <v>10</v>
      </c>
      <c r="K89" s="355"/>
      <c r="L89" s="856"/>
      <c r="V89" s="4" t="str">
        <f>IF(I89&gt;F89,"Đạt", "Chưa đạt")</f>
        <v>Đạt</v>
      </c>
    </row>
    <row r="90" spans="1:22" ht="19.899999999999999" hidden="1" customHeight="1" outlineLevel="1">
      <c r="A90" s="842"/>
      <c r="B90" s="842"/>
      <c r="C90" s="842"/>
      <c r="D90" s="842"/>
      <c r="E90" s="857" t="s">
        <v>954</v>
      </c>
      <c r="F90" s="357">
        <f>+C89/(F74*F75-K20^2)-F80/F77-K80/F78</f>
        <v>4.396204101353991</v>
      </c>
      <c r="G90" s="842" t="s">
        <v>10</v>
      </c>
      <c r="H90" s="859" t="s">
        <v>148</v>
      </c>
      <c r="I90" s="859"/>
      <c r="J90" s="842"/>
      <c r="K90" s="842"/>
      <c r="L90" s="856"/>
      <c r="V90" s="4" t="str">
        <f>IF(F90&lt;-0.1,"Chưa đạt", "Đạt")</f>
        <v>Đạt</v>
      </c>
    </row>
    <row r="91" spans="1:22" ht="19.899999999999999" hidden="1" customHeight="1" collapsed="1">
      <c r="B91" s="842"/>
      <c r="C91" s="842"/>
      <c r="D91" s="842"/>
      <c r="E91" s="842"/>
      <c r="F91" s="842"/>
      <c r="G91" s="842"/>
      <c r="H91" s="842"/>
      <c r="I91" s="842"/>
      <c r="J91" s="842"/>
      <c r="K91" s="355"/>
      <c r="L91" s="856"/>
    </row>
    <row r="92" spans="1:22" ht="19.899999999999999" hidden="1" customHeight="1">
      <c r="B92" s="842"/>
      <c r="C92" s="842"/>
      <c r="D92" s="842"/>
      <c r="E92" s="842"/>
      <c r="F92" s="842"/>
      <c r="G92" s="842"/>
      <c r="H92" s="842"/>
      <c r="I92" s="842"/>
      <c r="J92" s="842"/>
      <c r="K92" s="355"/>
      <c r="L92" s="856"/>
    </row>
    <row r="93" spans="1:22" ht="19.899999999999999" hidden="1" customHeight="1">
      <c r="B93" s="842"/>
      <c r="C93" s="842"/>
      <c r="D93" s="857"/>
      <c r="E93" s="859"/>
      <c r="F93" s="842"/>
      <c r="G93" s="859"/>
      <c r="H93" s="859"/>
      <c r="I93" s="842"/>
      <c r="J93" s="842"/>
      <c r="K93" s="355"/>
      <c r="L93" s="856"/>
    </row>
    <row r="94" spans="1:22" ht="19.899999999999999" hidden="1" customHeight="1">
      <c r="A94" s="429"/>
      <c r="B94" s="424"/>
      <c r="C94" s="424"/>
      <c r="D94" s="857"/>
      <c r="E94" s="859"/>
      <c r="F94" s="842"/>
      <c r="G94" s="842"/>
      <c r="H94" s="859"/>
      <c r="I94" s="842"/>
      <c r="J94" s="842"/>
      <c r="K94" s="355"/>
      <c r="L94" s="856"/>
    </row>
    <row r="95" spans="1:22" ht="19.899999999999999" hidden="1" customHeight="1">
      <c r="A95" s="908"/>
      <c r="B95" s="842"/>
      <c r="C95" s="842"/>
      <c r="D95" s="857"/>
      <c r="E95" s="859"/>
      <c r="F95" s="842"/>
      <c r="G95" s="859"/>
      <c r="H95" s="859"/>
      <c r="I95" s="842"/>
      <c r="J95" s="842"/>
      <c r="K95" s="355"/>
      <c r="L95" s="856"/>
    </row>
    <row r="96" spans="1:22" ht="19.899999999999999" customHeight="1">
      <c r="B96" s="879" t="s">
        <v>674</v>
      </c>
      <c r="C96" s="842"/>
      <c r="D96" s="842"/>
      <c r="E96" s="842"/>
      <c r="F96" s="842"/>
      <c r="G96" s="842"/>
      <c r="H96" s="842"/>
      <c r="I96" s="842"/>
      <c r="J96" s="842"/>
      <c r="K96" s="355"/>
      <c r="L96" s="856"/>
    </row>
    <row r="97" spans="1:23" ht="19.899999999999999" customHeight="1">
      <c r="A97" s="879" t="s">
        <v>675</v>
      </c>
      <c r="B97" s="842"/>
      <c r="C97" s="842"/>
      <c r="D97" s="842"/>
      <c r="E97" s="842"/>
      <c r="F97" s="842"/>
      <c r="G97" s="842"/>
      <c r="H97" s="842"/>
      <c r="I97" s="842"/>
      <c r="J97" s="842"/>
      <c r="K97" s="355"/>
      <c r="L97" s="856"/>
    </row>
    <row r="98" spans="1:23" ht="19.899999999999999" customHeight="1">
      <c r="A98" s="842"/>
      <c r="B98" s="842" t="s">
        <v>676</v>
      </c>
      <c r="C98" s="842"/>
      <c r="D98" s="842"/>
      <c r="E98" s="842"/>
      <c r="F98" s="842"/>
      <c r="G98" s="842"/>
      <c r="H98" s="842"/>
      <c r="I98" s="842"/>
      <c r="J98" s="842"/>
      <c r="K98" s="355"/>
      <c r="L98" s="856"/>
    </row>
    <row r="99" spans="1:23" ht="19.899999999999999" customHeight="1">
      <c r="A99" s="842"/>
      <c r="B99" s="842" t="s">
        <v>677</v>
      </c>
      <c r="C99" s="842"/>
      <c r="D99" s="842"/>
      <c r="E99" s="842"/>
      <c r="G99" s="909" t="s">
        <v>959</v>
      </c>
      <c r="H99" s="910">
        <f>F67-K38*W54</f>
        <v>1.1131090427475336</v>
      </c>
      <c r="I99" s="842" t="s">
        <v>10</v>
      </c>
      <c r="J99" s="842"/>
      <c r="K99" s="355"/>
      <c r="L99" s="856"/>
    </row>
    <row r="100" spans="1:23" ht="19.899999999999999" customHeight="1">
      <c r="A100" s="842"/>
      <c r="B100" s="842" t="s">
        <v>678</v>
      </c>
      <c r="C100" s="842"/>
      <c r="D100" s="842"/>
      <c r="E100" s="842"/>
      <c r="G100" s="909" t="s">
        <v>959</v>
      </c>
      <c r="H100" s="910">
        <f>F71-V54*K38</f>
        <v>0.61027710997442441</v>
      </c>
      <c r="I100" s="842" t="s">
        <v>10</v>
      </c>
      <c r="J100" s="842"/>
      <c r="K100" s="355"/>
      <c r="L100" s="856"/>
    </row>
    <row r="101" spans="1:23" ht="19.899999999999999" customHeight="1">
      <c r="A101" s="842"/>
      <c r="B101" s="842" t="s">
        <v>223</v>
      </c>
      <c r="C101" s="842"/>
      <c r="D101" s="842"/>
      <c r="E101" s="842"/>
      <c r="G101" s="911" t="s">
        <v>960</v>
      </c>
      <c r="H101" s="910">
        <f>+MAX(H99,H100)</f>
        <v>1.1131090427475336</v>
      </c>
      <c r="I101" s="842" t="s">
        <v>10</v>
      </c>
      <c r="K101" s="857" t="s">
        <v>679</v>
      </c>
      <c r="L101" s="842" t="s">
        <v>64</v>
      </c>
    </row>
    <row r="102" spans="1:23" ht="19.899999999999999" customHeight="1">
      <c r="A102" s="842"/>
      <c r="B102" s="758" t="s">
        <v>961</v>
      </c>
      <c r="C102" s="842"/>
      <c r="D102" s="842"/>
      <c r="E102" s="842"/>
      <c r="F102" s="842"/>
      <c r="G102" s="842"/>
      <c r="H102" s="842"/>
      <c r="I102" s="842"/>
      <c r="J102" s="842"/>
      <c r="K102" s="355"/>
      <c r="L102" s="856"/>
    </row>
    <row r="103" spans="1:23" ht="40.15" customHeight="1">
      <c r="B103" s="912" t="s">
        <v>140</v>
      </c>
      <c r="C103" s="913" t="s">
        <v>28</v>
      </c>
      <c r="D103" s="913" t="s">
        <v>27</v>
      </c>
      <c r="E103" s="914" t="s">
        <v>29</v>
      </c>
      <c r="F103" s="915" t="s">
        <v>962</v>
      </c>
      <c r="G103" s="914" t="s">
        <v>963</v>
      </c>
      <c r="H103" s="914" t="s">
        <v>964</v>
      </c>
      <c r="I103" s="914" t="s">
        <v>965</v>
      </c>
      <c r="J103" s="916" t="s">
        <v>837</v>
      </c>
    </row>
    <row r="104" spans="1:23" ht="19.899999999999999" customHeight="1">
      <c r="B104" s="917">
        <v>1</v>
      </c>
      <c r="C104" s="918">
        <f t="shared" ref="C104:C125" si="8">+$K$10/2*D104</f>
        <v>0</v>
      </c>
      <c r="D104" s="919">
        <v>0</v>
      </c>
      <c r="E104" s="920">
        <f>+VLOOKUP(D104,Tra!$C$19:$J$115,5,0)</f>
        <v>1</v>
      </c>
      <c r="F104" s="921">
        <f>IF(D55=0,J54,J55)</f>
        <v>1930</v>
      </c>
      <c r="G104" s="920">
        <f>H101*E104</f>
        <v>1.1131090427475336</v>
      </c>
      <c r="H104" s="920">
        <f t="shared" ref="H104:H125" si="9">$K$38*$K$54+$K$56*C104</f>
        <v>1.091214537419376</v>
      </c>
      <c r="I104" s="920">
        <f>IF(G104&gt;0.1*H104,0.8*C104*(G104+G105)/2/F104*1000,"-")</f>
        <v>0</v>
      </c>
      <c r="J104" s="922" t="str">
        <f>IF(H104/G104&gt;$I$126,"STOP","CONT")</f>
        <v>CONT</v>
      </c>
      <c r="M104" s="923">
        <f t="shared" ref="M104:M118" si="10">+H104/G104</f>
        <v>0.98033031402375947</v>
      </c>
      <c r="P104" s="4">
        <f>SUMIF($J$104:$J$118,"CONT",$I$104:$I$118)</f>
        <v>1.5078301975954156</v>
      </c>
      <c r="Q104" s="4">
        <f>SUMIF($J$104:$J$118,"CONT",$D$104:$D$118)</f>
        <v>2.8</v>
      </c>
    </row>
    <row r="105" spans="1:23" ht="19.899999999999999" customHeight="1">
      <c r="B105" s="924">
        <f t="shared" ref="B105:B125" si="11">+B104+1</f>
        <v>2</v>
      </c>
      <c r="C105" s="925">
        <f t="shared" si="8"/>
        <v>0.5</v>
      </c>
      <c r="D105" s="926">
        <f t="shared" ref="D105:D125" si="12">+ROUND(D104+0.1,2)</f>
        <v>0.1</v>
      </c>
      <c r="E105" s="927">
        <f>+VLOOKUP(D105,Tra!$C$19:$J$115,5,0)</f>
        <v>0.99199999999999999</v>
      </c>
      <c r="F105" s="928">
        <f>IF(C105&lt;$D$55,$J$55,IF(AND($D$55&lt;=C105,C105&lt;=($D$56+$D$55)),$J$56,$J$57))</f>
        <v>1930</v>
      </c>
      <c r="G105" s="927">
        <f t="shared" ref="G105:G125" si="13">$H$101*E105</f>
        <v>1.1042041704055534</v>
      </c>
      <c r="H105" s="927">
        <f t="shared" si="9"/>
        <v>1.5820824017704089</v>
      </c>
      <c r="I105" s="927">
        <f t="shared" ref="I105:I120" si="14">0.8*$C$105*(G105+G106)/2/F105*1000</f>
        <v>0.22792782056674887</v>
      </c>
      <c r="J105" s="929" t="str">
        <f>IF(H105/G105&gt;$I$126,"STOP","CONT")</f>
        <v>CONT</v>
      </c>
      <c r="M105" s="923">
        <f t="shared" si="10"/>
        <v>1.4327806796720755</v>
      </c>
      <c r="N105" s="6" t="str">
        <f t="shared" ref="N105:N118" si="15">+IF(H105/G105&lt;=$I$126,"X","")</f>
        <v>X</v>
      </c>
      <c r="O105" s="4">
        <v>1</v>
      </c>
    </row>
    <row r="106" spans="1:23" ht="19.899999999999999" customHeight="1">
      <c r="B106" s="924">
        <f t="shared" si="11"/>
        <v>3</v>
      </c>
      <c r="C106" s="925">
        <f t="shared" si="8"/>
        <v>1</v>
      </c>
      <c r="D106" s="926">
        <f>+ROUND(D105+0.1,2)</f>
        <v>0.2</v>
      </c>
      <c r="E106" s="927">
        <f>+VLOOKUP(D106,Tra!$C$19:$J$115,5,0)</f>
        <v>0.98399999999999999</v>
      </c>
      <c r="F106" s="928">
        <f t="shared" ref="F106:F125" si="16">IF(C106&lt;=$D$55,$J$55,IF(AND($D$55&lt;C106,C106&lt;=($D$56+$D$55)),$J$56,$J$57))</f>
        <v>1930</v>
      </c>
      <c r="G106" s="927">
        <f t="shared" si="13"/>
        <v>1.0952992980635732</v>
      </c>
      <c r="H106" s="927">
        <f t="shared" si="9"/>
        <v>2.0729502661214418</v>
      </c>
      <c r="I106" s="927">
        <f t="shared" si="14"/>
        <v>0.22608225116944727</v>
      </c>
      <c r="J106" s="929" t="str">
        <f t="shared" ref="J106:J125" si="17">IF(H106/G106&gt;$I$126,"STOP","CONT")</f>
        <v>CONT</v>
      </c>
      <c r="M106" s="923">
        <f t="shared" si="10"/>
        <v>1.8925879618349979</v>
      </c>
      <c r="N106" s="6" t="str">
        <f t="shared" si="15"/>
        <v>X</v>
      </c>
      <c r="O106" s="4">
        <v>1</v>
      </c>
    </row>
    <row r="107" spans="1:23" ht="19.899999999999999" customHeight="1">
      <c r="B107" s="924">
        <f t="shared" si="11"/>
        <v>4</v>
      </c>
      <c r="C107" s="925">
        <f t="shared" si="8"/>
        <v>1.5</v>
      </c>
      <c r="D107" s="926">
        <f t="shared" si="12"/>
        <v>0.3</v>
      </c>
      <c r="E107" s="927">
        <f>+VLOOKUP(D107,Tra!$C$19:$J$115,5,0)</f>
        <v>0.97599999999999998</v>
      </c>
      <c r="F107" s="928">
        <f t="shared" si="16"/>
        <v>1930</v>
      </c>
      <c r="G107" s="927">
        <f t="shared" si="13"/>
        <v>1.0863944257215927</v>
      </c>
      <c r="H107" s="927">
        <f t="shared" si="9"/>
        <v>2.5638181304724745</v>
      </c>
      <c r="I107" s="927">
        <f t="shared" si="14"/>
        <v>0.22423668177214565</v>
      </c>
      <c r="J107" s="929" t="str">
        <f t="shared" si="17"/>
        <v>CONT</v>
      </c>
      <c r="M107" s="923">
        <f t="shared" si="10"/>
        <v>2.3599330682956734</v>
      </c>
      <c r="N107" s="6" t="str">
        <f t="shared" si="15"/>
        <v>X</v>
      </c>
      <c r="O107" s="4">
        <v>1</v>
      </c>
      <c r="V107" s="722" t="s">
        <v>843</v>
      </c>
      <c r="W107" s="930">
        <f>COUNTIF(J104:J120,"CONT")</f>
        <v>8</v>
      </c>
    </row>
    <row r="108" spans="1:23" ht="19.899999999999999" customHeight="1">
      <c r="B108" s="924">
        <f t="shared" si="11"/>
        <v>5</v>
      </c>
      <c r="C108" s="925">
        <f t="shared" si="8"/>
        <v>2</v>
      </c>
      <c r="D108" s="926">
        <f t="shared" si="12"/>
        <v>0.4</v>
      </c>
      <c r="E108" s="927">
        <f>+VLOOKUP(D108,Tra!$C$19:$J$115,5,0)</f>
        <v>0.96799999999999997</v>
      </c>
      <c r="F108" s="928">
        <f t="shared" si="16"/>
        <v>1930</v>
      </c>
      <c r="G108" s="927">
        <f t="shared" si="13"/>
        <v>1.0774895533796125</v>
      </c>
      <c r="H108" s="927">
        <f t="shared" si="9"/>
        <v>3.0546859948235072</v>
      </c>
      <c r="I108" s="927">
        <f t="shared" si="14"/>
        <v>0.21933438806056324</v>
      </c>
      <c r="J108" s="929" t="str">
        <f t="shared" si="17"/>
        <v>CONT</v>
      </c>
      <c r="M108" s="923">
        <f t="shared" si="10"/>
        <v>2.8350028872598312</v>
      </c>
      <c r="N108" s="6" t="str">
        <f t="shared" si="15"/>
        <v>X</v>
      </c>
      <c r="O108" s="4">
        <v>1</v>
      </c>
    </row>
    <row r="109" spans="1:23" ht="19.899999999999999" customHeight="1">
      <c r="B109" s="924">
        <f t="shared" si="11"/>
        <v>6</v>
      </c>
      <c r="C109" s="925">
        <f t="shared" si="8"/>
        <v>2.5</v>
      </c>
      <c r="D109" s="926">
        <f t="shared" si="12"/>
        <v>0.5</v>
      </c>
      <c r="E109" s="927">
        <f>+VLOOKUP(D109,Tra!$C$19:$J$115,5,0)</f>
        <v>0.9335</v>
      </c>
      <c r="F109" s="928">
        <f t="shared" si="16"/>
        <v>1930</v>
      </c>
      <c r="G109" s="927">
        <f t="shared" si="13"/>
        <v>1.0390872914048226</v>
      </c>
      <c r="H109" s="927">
        <f t="shared" si="9"/>
        <v>3.5455538591745404</v>
      </c>
      <c r="I109" s="927">
        <f t="shared" si="14"/>
        <v>0.21137537003470003</v>
      </c>
      <c r="J109" s="929" t="str">
        <f t="shared" si="17"/>
        <v>CONT</v>
      </c>
      <c r="M109" s="923">
        <f t="shared" si="10"/>
        <v>3.4121809481290368</v>
      </c>
      <c r="N109" s="6" t="str">
        <f t="shared" si="15"/>
        <v>X</v>
      </c>
      <c r="O109" s="4">
        <v>1</v>
      </c>
    </row>
    <row r="110" spans="1:23" ht="19.899999999999999" customHeight="1">
      <c r="B110" s="924">
        <f t="shared" si="11"/>
        <v>7</v>
      </c>
      <c r="C110" s="925">
        <f t="shared" si="8"/>
        <v>3</v>
      </c>
      <c r="D110" s="926">
        <f t="shared" si="12"/>
        <v>0.6</v>
      </c>
      <c r="E110" s="927">
        <f>+VLOOKUP(D110,Tra!$C$19:$J$115,5,0)</f>
        <v>0.89900000000000002</v>
      </c>
      <c r="F110" s="928">
        <f t="shared" si="16"/>
        <v>1930</v>
      </c>
      <c r="G110" s="927">
        <f t="shared" si="13"/>
        <v>1.0006850294300327</v>
      </c>
      <c r="H110" s="927">
        <f t="shared" si="9"/>
        <v>4.0364217235255726</v>
      </c>
      <c r="I110" s="927">
        <f t="shared" si="14"/>
        <v>0.20341635200883684</v>
      </c>
      <c r="J110" s="929" t="str">
        <f t="shared" si="17"/>
        <v>CONT</v>
      </c>
      <c r="M110" s="923">
        <f t="shared" si="10"/>
        <v>4.0336585487090044</v>
      </c>
      <c r="N110" s="6" t="str">
        <f t="shared" si="15"/>
        <v>X</v>
      </c>
      <c r="O110" s="4">
        <v>1</v>
      </c>
      <c r="P110" s="4">
        <f>COUNTIF($J$104:$J$118,"STOP")</f>
        <v>7</v>
      </c>
    </row>
    <row r="111" spans="1:23" ht="19.899999999999999" customHeight="1">
      <c r="B111" s="924">
        <f t="shared" si="11"/>
        <v>8</v>
      </c>
      <c r="C111" s="925">
        <f t="shared" si="8"/>
        <v>3.5</v>
      </c>
      <c r="D111" s="926">
        <f t="shared" si="12"/>
        <v>0.7</v>
      </c>
      <c r="E111" s="927">
        <f>+VLOOKUP(D111,Tra!$C$19:$J$115,5,0)</f>
        <v>0.86450000000000005</v>
      </c>
      <c r="F111" s="928">
        <f t="shared" si="16"/>
        <v>1930</v>
      </c>
      <c r="G111" s="927">
        <f t="shared" si="13"/>
        <v>0.96228276745524288</v>
      </c>
      <c r="H111" s="927">
        <f t="shared" si="9"/>
        <v>4.5272895878766057</v>
      </c>
      <c r="I111" s="927">
        <f t="shared" si="14"/>
        <v>0.19545733398297366</v>
      </c>
      <c r="J111" s="929" t="str">
        <f t="shared" si="17"/>
        <v>CONT</v>
      </c>
      <c r="M111" s="923">
        <f t="shared" si="10"/>
        <v>4.7047393354544056</v>
      </c>
      <c r="N111" s="6" t="str">
        <f t="shared" si="15"/>
        <v>X</v>
      </c>
      <c r="O111" s="4">
        <v>1</v>
      </c>
    </row>
    <row r="112" spans="1:23" ht="19.899999999999999" customHeight="1">
      <c r="B112" s="924">
        <f t="shared" si="11"/>
        <v>9</v>
      </c>
      <c r="C112" s="925">
        <f t="shared" si="8"/>
        <v>4</v>
      </c>
      <c r="D112" s="926">
        <f t="shared" si="12"/>
        <v>0.8</v>
      </c>
      <c r="E112" s="927">
        <f>+VLOOKUP(D112,Tra!$C$19:$J$115,5,0)</f>
        <v>0.83</v>
      </c>
      <c r="F112" s="928">
        <f t="shared" si="16"/>
        <v>1240</v>
      </c>
      <c r="G112" s="927">
        <f t="shared" si="13"/>
        <v>0.92388050548045286</v>
      </c>
      <c r="H112" s="927">
        <f t="shared" si="9"/>
        <v>5.0181574522276389</v>
      </c>
      <c r="I112" s="927">
        <f>0.8*$C$105*(G112+G113)/2/F112*1000</f>
        <v>0.2900367191223614</v>
      </c>
      <c r="J112" s="929" t="str">
        <f t="shared" si="17"/>
        <v>STOP</v>
      </c>
      <c r="M112" s="923">
        <f t="shared" si="10"/>
        <v>5.431608765917197</v>
      </c>
      <c r="N112" s="6" t="str">
        <f t="shared" si="15"/>
        <v/>
      </c>
      <c r="O112" s="4">
        <v>1</v>
      </c>
    </row>
    <row r="113" spans="2:24" ht="19.899999999999999" customHeight="1">
      <c r="B113" s="924">
        <f t="shared" si="11"/>
        <v>10</v>
      </c>
      <c r="C113" s="925">
        <f t="shared" si="8"/>
        <v>4.5</v>
      </c>
      <c r="D113" s="926">
        <f t="shared" si="12"/>
        <v>0.9</v>
      </c>
      <c r="E113" s="927">
        <f>+VLOOKUP(D113,Tra!$C$19:$J$115,5,0)</f>
        <v>0.78549999999999998</v>
      </c>
      <c r="F113" s="928">
        <f t="shared" si="16"/>
        <v>1240</v>
      </c>
      <c r="G113" s="927">
        <f t="shared" si="13"/>
        <v>0.87434715307818767</v>
      </c>
      <c r="H113" s="927">
        <f t="shared" si="9"/>
        <v>5.509025316578672</v>
      </c>
      <c r="I113" s="927">
        <f t="shared" si="14"/>
        <v>0.2740582183474371</v>
      </c>
      <c r="J113" s="929" t="str">
        <f t="shared" si="17"/>
        <v>STOP</v>
      </c>
      <c r="M113" s="923">
        <f t="shared" si="10"/>
        <v>6.3007299757125566</v>
      </c>
      <c r="N113" s="6" t="str">
        <f t="shared" si="15"/>
        <v/>
      </c>
      <c r="O113" s="4">
        <v>1</v>
      </c>
    </row>
    <row r="114" spans="2:24" ht="19.899999999999999" customHeight="1">
      <c r="B114" s="924">
        <f t="shared" si="11"/>
        <v>11</v>
      </c>
      <c r="C114" s="925">
        <f t="shared" si="8"/>
        <v>5</v>
      </c>
      <c r="D114" s="926">
        <f t="shared" si="12"/>
        <v>1</v>
      </c>
      <c r="E114" s="927">
        <f>+VLOOKUP(D114,Tra!$C$19:$J$115,5,0)</f>
        <v>0.74099999999999999</v>
      </c>
      <c r="F114" s="928">
        <f t="shared" si="16"/>
        <v>1240</v>
      </c>
      <c r="G114" s="927">
        <f t="shared" si="13"/>
        <v>0.82481380067592247</v>
      </c>
      <c r="H114" s="927">
        <f t="shared" si="9"/>
        <v>5.9998931809297051</v>
      </c>
      <c r="I114" s="927">
        <f t="shared" si="14"/>
        <v>0.25807971757251286</v>
      </c>
      <c r="J114" s="929" t="str">
        <f t="shared" si="17"/>
        <v>STOP</v>
      </c>
      <c r="M114" s="923">
        <f t="shared" si="10"/>
        <v>7.2742395629327286</v>
      </c>
      <c r="N114" s="6" t="str">
        <f>+IF(H114/G114&lt;=$I$126,"X","")</f>
        <v/>
      </c>
      <c r="O114" s="4">
        <v>1</v>
      </c>
    </row>
    <row r="115" spans="2:24" ht="19.899999999999999" customHeight="1">
      <c r="B115" s="924">
        <f t="shared" si="11"/>
        <v>12</v>
      </c>
      <c r="C115" s="925">
        <f t="shared" si="8"/>
        <v>5.5</v>
      </c>
      <c r="D115" s="926">
        <f t="shared" si="12"/>
        <v>1.1000000000000001</v>
      </c>
      <c r="E115" s="927">
        <f>+VLOOKUP(D115,Tra!$C$19:$J$115,5,0)</f>
        <v>0.69650000000000001</v>
      </c>
      <c r="F115" s="928">
        <f t="shared" si="16"/>
        <v>1240</v>
      </c>
      <c r="G115" s="927">
        <f t="shared" si="13"/>
        <v>0.77528044827365716</v>
      </c>
      <c r="H115" s="927">
        <f t="shared" si="9"/>
        <v>6.4907610452807383</v>
      </c>
      <c r="I115" s="927">
        <f t="shared" si="14"/>
        <v>0.24210121679758861</v>
      </c>
      <c r="J115" s="929" t="str">
        <f t="shared" si="17"/>
        <v>STOP</v>
      </c>
      <c r="M115" s="923">
        <f t="shared" si="10"/>
        <v>8.3721459243992697</v>
      </c>
      <c r="N115" s="6" t="str">
        <f>+IF(H115/G115&lt;=$I$126,"X","")</f>
        <v/>
      </c>
      <c r="O115" s="4">
        <v>1</v>
      </c>
    </row>
    <row r="116" spans="2:24" ht="19.899999999999999" hidden="1" customHeight="1">
      <c r="B116" s="924">
        <f t="shared" si="11"/>
        <v>13</v>
      </c>
      <c r="C116" s="925">
        <f t="shared" si="8"/>
        <v>6</v>
      </c>
      <c r="D116" s="926">
        <f t="shared" si="12"/>
        <v>1.2</v>
      </c>
      <c r="E116" s="927">
        <f>+VLOOKUP(D116,Tra!$C$19:$J$115,5,0)</f>
        <v>0.65200000000000002</v>
      </c>
      <c r="F116" s="928">
        <f t="shared" si="16"/>
        <v>1240</v>
      </c>
      <c r="G116" s="927">
        <f t="shared" si="13"/>
        <v>0.72574709587139197</v>
      </c>
      <c r="H116" s="927">
        <f t="shared" si="9"/>
        <v>6.9816289096317696</v>
      </c>
      <c r="I116" s="927">
        <f t="shared" si="14"/>
        <v>0.22711015146381128</v>
      </c>
      <c r="J116" s="929" t="str">
        <f t="shared" si="17"/>
        <v>STOP</v>
      </c>
      <c r="M116" s="923">
        <f t="shared" si="10"/>
        <v>9.6199198720169168</v>
      </c>
      <c r="N116" s="6" t="str">
        <f t="shared" si="15"/>
        <v/>
      </c>
      <c r="O116" s="4">
        <v>1</v>
      </c>
    </row>
    <row r="117" spans="2:24" ht="19.899999999999999" hidden="1" customHeight="1">
      <c r="B117" s="924">
        <f t="shared" si="11"/>
        <v>14</v>
      </c>
      <c r="C117" s="925">
        <f t="shared" si="8"/>
        <v>6.5</v>
      </c>
      <c r="D117" s="926">
        <f t="shared" si="12"/>
        <v>1.3</v>
      </c>
      <c r="E117" s="927">
        <f>+VLOOKUP(D117,Tra!$C$19:$J$115,5,0)</f>
        <v>0.61299999999999999</v>
      </c>
      <c r="F117" s="928">
        <f t="shared" si="16"/>
        <v>1240</v>
      </c>
      <c r="G117" s="927">
        <f t="shared" si="13"/>
        <v>0.68233584320423812</v>
      </c>
      <c r="H117" s="927">
        <f t="shared" si="9"/>
        <v>7.4724967739828028</v>
      </c>
      <c r="I117" s="927">
        <f t="shared" si="14"/>
        <v>0.21310652157118107</v>
      </c>
      <c r="J117" s="929" t="str">
        <f t="shared" si="17"/>
        <v>STOP</v>
      </c>
      <c r="M117" s="923">
        <f t="shared" si="10"/>
        <v>10.951347270417568</v>
      </c>
      <c r="N117" s="6" t="str">
        <f t="shared" si="15"/>
        <v/>
      </c>
      <c r="O117" s="4">
        <v>1</v>
      </c>
    </row>
    <row r="118" spans="2:24" ht="19.899999999999999" hidden="1" customHeight="1">
      <c r="B118" s="924">
        <f t="shared" si="11"/>
        <v>15</v>
      </c>
      <c r="C118" s="925">
        <f t="shared" si="8"/>
        <v>7</v>
      </c>
      <c r="D118" s="926">
        <f t="shared" si="12"/>
        <v>1.4</v>
      </c>
      <c r="E118" s="927">
        <f>+VLOOKUP(D118,Tra!$C$19:$J$115,5,0)</f>
        <v>0.57400000000000007</v>
      </c>
      <c r="F118" s="928">
        <f t="shared" si="16"/>
        <v>2170</v>
      </c>
      <c r="G118" s="927">
        <f t="shared" si="13"/>
        <v>0.63892459053708439</v>
      </c>
      <c r="H118" s="925">
        <f t="shared" si="9"/>
        <v>7.9633646383338359</v>
      </c>
      <c r="I118" s="927">
        <f t="shared" si="14"/>
        <v>0.11377308095917189</v>
      </c>
      <c r="J118" s="929" t="str">
        <f t="shared" si="17"/>
        <v>STOP</v>
      </c>
      <c r="M118" s="923">
        <f t="shared" si="10"/>
        <v>12.463700343165344</v>
      </c>
      <c r="N118" s="6" t="str">
        <f t="shared" si="15"/>
        <v/>
      </c>
      <c r="O118" s="4">
        <v>1</v>
      </c>
    </row>
    <row r="119" spans="2:24" ht="19.899999999999999" hidden="1" customHeight="1">
      <c r="B119" s="924">
        <f t="shared" si="11"/>
        <v>16</v>
      </c>
      <c r="C119" s="925">
        <f t="shared" si="8"/>
        <v>7.5</v>
      </c>
      <c r="D119" s="926">
        <f t="shared" si="12"/>
        <v>1.5</v>
      </c>
      <c r="E119" s="927">
        <f>+VLOOKUP(D119,Tra!$C$19:$J$115,5,0)</f>
        <v>0.53500000000000003</v>
      </c>
      <c r="F119" s="928">
        <f t="shared" si="16"/>
        <v>2170</v>
      </c>
      <c r="G119" s="927">
        <f t="shared" si="13"/>
        <v>0.59551333786993055</v>
      </c>
      <c r="H119" s="925">
        <f t="shared" si="9"/>
        <v>8.454232502684869</v>
      </c>
      <c r="I119" s="1260">
        <f t="shared" si="14"/>
        <v>0.10577100673481173</v>
      </c>
      <c r="J119" s="932" t="str">
        <f t="shared" si="17"/>
        <v>STOP</v>
      </c>
      <c r="K119" s="1261"/>
      <c r="L119" s="11"/>
      <c r="M119" s="923" t="e">
        <f t="shared" ref="M119:M125" si="18">+J119/I119</f>
        <v>#VALUE!</v>
      </c>
      <c r="N119" s="6" t="e">
        <f t="shared" ref="N119:N125" si="19">+IF(J119/I119&lt;=$I$126,"X","")</f>
        <v>#VALUE!</v>
      </c>
      <c r="O119" s="4">
        <v>1</v>
      </c>
      <c r="X119" s="4">
        <f>IF(C119&lt;D67,K67,K68)</f>
        <v>0</v>
      </c>
    </row>
    <row r="120" spans="2:24" ht="19.899999999999999" hidden="1" customHeight="1">
      <c r="B120" s="933">
        <f t="shared" si="11"/>
        <v>17</v>
      </c>
      <c r="C120" s="925">
        <f t="shared" si="8"/>
        <v>8</v>
      </c>
      <c r="D120" s="926">
        <f t="shared" si="12"/>
        <v>1.6</v>
      </c>
      <c r="E120" s="927">
        <f>+VLOOKUP(D120,Tra!$C$19:$J$115,5,0)</f>
        <v>0.496</v>
      </c>
      <c r="F120" s="928">
        <f t="shared" si="16"/>
        <v>2170</v>
      </c>
      <c r="G120" s="927">
        <f t="shared" si="13"/>
        <v>0.5521020852027767</v>
      </c>
      <c r="H120" s="925">
        <f t="shared" si="9"/>
        <v>8.9451003670359022</v>
      </c>
      <c r="I120" s="920">
        <f t="shared" si="14"/>
        <v>9.8769191788496594E-2</v>
      </c>
      <c r="J120" s="922" t="str">
        <f t="shared" si="17"/>
        <v>STOP</v>
      </c>
      <c r="K120" s="1261"/>
      <c r="L120" s="1262"/>
      <c r="M120" s="923" t="e">
        <f t="shared" si="18"/>
        <v>#VALUE!</v>
      </c>
      <c r="N120" s="6" t="e">
        <f t="shared" si="19"/>
        <v>#VALUE!</v>
      </c>
      <c r="O120" s="4">
        <v>1</v>
      </c>
      <c r="X120" s="4" t="e">
        <f>IF(C120&lt;D68,K68,#REF!)</f>
        <v>#REF!</v>
      </c>
    </row>
    <row r="121" spans="2:24" ht="19.899999999999999" hidden="1" customHeight="1">
      <c r="B121" s="933">
        <f t="shared" si="11"/>
        <v>18</v>
      </c>
      <c r="C121" s="925">
        <f t="shared" si="8"/>
        <v>8.5</v>
      </c>
      <c r="D121" s="926">
        <f t="shared" si="12"/>
        <v>1.7</v>
      </c>
      <c r="E121" s="927">
        <f>+VLOOKUP(D121,Tra!$C$19:$J$115,5,0)</f>
        <v>0.46675</v>
      </c>
      <c r="F121" s="928">
        <f t="shared" si="16"/>
        <v>2170</v>
      </c>
      <c r="G121" s="927">
        <f t="shared" si="13"/>
        <v>0.51954364570241129</v>
      </c>
      <c r="H121" s="925">
        <f t="shared" si="9"/>
        <v>9.4359682313869335</v>
      </c>
      <c r="I121" s="931">
        <f t="shared" ref="I121:I123" si="20">0.8*$C$105*(G121+I122)/2/F121*1000</f>
        <v>5.2706987082816757E-2</v>
      </c>
      <c r="J121" s="932" t="str">
        <f t="shared" si="17"/>
        <v>STOP</v>
      </c>
      <c r="K121" s="1261">
        <f t="shared" ref="K121:K124" si="21">0.8*$C$105*(I121+I122)/2/F121*1000</f>
        <v>9.6805669335453641E-3</v>
      </c>
      <c r="L121" s="1262"/>
      <c r="M121" s="923" t="e">
        <f t="shared" si="18"/>
        <v>#VALUE!</v>
      </c>
      <c r="N121" s="6" t="e">
        <f t="shared" si="19"/>
        <v>#VALUE!</v>
      </c>
      <c r="O121" s="4">
        <v>1</v>
      </c>
      <c r="X121" s="4" t="e">
        <f>IF(C121&lt;#REF!,#REF!,#REF!)</f>
        <v>#REF!</v>
      </c>
    </row>
    <row r="122" spans="2:24" ht="19.899999999999999" hidden="1" customHeight="1">
      <c r="B122" s="933">
        <f t="shared" si="11"/>
        <v>19</v>
      </c>
      <c r="C122" s="925">
        <f t="shared" si="8"/>
        <v>9</v>
      </c>
      <c r="D122" s="926">
        <f t="shared" si="12"/>
        <v>1.8</v>
      </c>
      <c r="E122" s="927">
        <f>+VLOOKUP(D122,Tra!$C$19:$J$115,5,0)</f>
        <v>0.4375</v>
      </c>
      <c r="F122" s="928">
        <f t="shared" si="16"/>
        <v>2170</v>
      </c>
      <c r="G122" s="934">
        <f t="shared" si="13"/>
        <v>0.48698520620204599</v>
      </c>
      <c r="H122" s="925">
        <f t="shared" si="9"/>
        <v>9.9268360957379667</v>
      </c>
      <c r="I122" s="931">
        <f t="shared" si="20"/>
        <v>5.2327164146150434E-2</v>
      </c>
      <c r="J122" s="932" t="str">
        <f t="shared" si="17"/>
        <v>STOP</v>
      </c>
      <c r="K122" s="1261">
        <f t="shared" si="21"/>
        <v>1.2266515108740708E-2</v>
      </c>
      <c r="L122" s="1262"/>
      <c r="M122" s="923" t="e">
        <f t="shared" si="18"/>
        <v>#VALUE!</v>
      </c>
      <c r="N122" s="6" t="e">
        <f t="shared" si="19"/>
        <v>#VALUE!</v>
      </c>
      <c r="O122" s="4">
        <v>1</v>
      </c>
      <c r="X122" s="4" t="e">
        <f>IF(C122&lt;#REF!,#REF!,K69)</f>
        <v>#REF!</v>
      </c>
    </row>
    <row r="123" spans="2:24" ht="19.899999999999999" hidden="1" customHeight="1">
      <c r="B123" s="933">
        <f t="shared" si="11"/>
        <v>20</v>
      </c>
      <c r="C123" s="925">
        <f t="shared" si="8"/>
        <v>9.5</v>
      </c>
      <c r="D123" s="926">
        <f t="shared" si="12"/>
        <v>1.9</v>
      </c>
      <c r="E123" s="927">
        <f>+VLOOKUP(D123,Tra!$C$19:$J$115,5,0)</f>
        <v>0.40825</v>
      </c>
      <c r="F123" s="928">
        <f t="shared" si="16"/>
        <v>2170</v>
      </c>
      <c r="G123" s="934">
        <f t="shared" si="13"/>
        <v>0.45442676670168058</v>
      </c>
      <c r="H123" s="925">
        <f t="shared" si="9"/>
        <v>10.417703960089</v>
      </c>
      <c r="I123" s="931">
        <f t="shared" si="20"/>
        <v>8.0764524783686259E-2</v>
      </c>
      <c r="J123" s="932" t="str">
        <f t="shared" si="17"/>
        <v>STOP</v>
      </c>
      <c r="K123" s="1261">
        <f t="shared" si="21"/>
        <v>4.632560847788033E-2</v>
      </c>
      <c r="L123" s="1262"/>
      <c r="M123" s="923" t="e">
        <f t="shared" si="18"/>
        <v>#VALUE!</v>
      </c>
      <c r="N123" s="6" t="e">
        <f t="shared" si="19"/>
        <v>#VALUE!</v>
      </c>
      <c r="O123" s="4">
        <v>1</v>
      </c>
      <c r="X123" s="4">
        <f>IF(C123&lt;D69,K69,K70)</f>
        <v>0</v>
      </c>
    </row>
    <row r="124" spans="2:24" ht="19.899999999999999" hidden="1" customHeight="1">
      <c r="B124" s="933">
        <f t="shared" si="11"/>
        <v>21</v>
      </c>
      <c r="C124" s="925">
        <f t="shared" si="8"/>
        <v>10</v>
      </c>
      <c r="D124" s="926">
        <f t="shared" si="12"/>
        <v>2</v>
      </c>
      <c r="E124" s="927">
        <f>+VLOOKUP(D124,Tra!$C$19:$J$115,5,0)</f>
        <v>0.379</v>
      </c>
      <c r="F124" s="928">
        <f t="shared" si="16"/>
        <v>2170</v>
      </c>
      <c r="G124" s="934">
        <f t="shared" si="13"/>
        <v>0.42186832720131523</v>
      </c>
      <c r="H124" s="925">
        <f t="shared" si="9"/>
        <v>10.908571824440033</v>
      </c>
      <c r="I124" s="936">
        <f t="shared" ref="I124:I125" si="22">$H$101*E124</f>
        <v>0.42186832720131523</v>
      </c>
      <c r="J124" s="932" t="str">
        <f t="shared" si="17"/>
        <v>STOP</v>
      </c>
      <c r="K124" s="1261">
        <f t="shared" si="21"/>
        <v>7.5583694676888982E-2</v>
      </c>
      <c r="L124" s="1262"/>
      <c r="M124" s="923" t="e">
        <f t="shared" si="18"/>
        <v>#VALUE!</v>
      </c>
      <c r="N124" s="6" t="e">
        <f t="shared" si="19"/>
        <v>#VALUE!</v>
      </c>
      <c r="O124" s="4">
        <v>1</v>
      </c>
      <c r="X124" s="4">
        <f>IF(C124&lt;D70,K70,K71)</f>
        <v>0</v>
      </c>
    </row>
    <row r="125" spans="2:24" ht="19.899999999999999" hidden="1" customHeight="1">
      <c r="B125" s="940">
        <f t="shared" si="11"/>
        <v>22</v>
      </c>
      <c r="C125" s="925">
        <f t="shared" si="8"/>
        <v>10.5</v>
      </c>
      <c r="D125" s="926">
        <f t="shared" si="12"/>
        <v>2.1</v>
      </c>
      <c r="E125" s="927">
        <f>+VLOOKUP(D125,Tra!$C$19:$J$115,5,0)</f>
        <v>0.35775000000000001</v>
      </c>
      <c r="F125" s="928">
        <f t="shared" si="16"/>
        <v>2170</v>
      </c>
      <c r="G125" s="934">
        <f t="shared" si="13"/>
        <v>0.39821476004293016</v>
      </c>
      <c r="H125" s="925">
        <f t="shared" si="9"/>
        <v>11.399439688791066</v>
      </c>
      <c r="I125" s="943">
        <f t="shared" si="22"/>
        <v>0.39821476004293016</v>
      </c>
      <c r="J125" s="932" t="str">
        <f t="shared" si="17"/>
        <v>STOP</v>
      </c>
      <c r="K125" s="1261" t="e">
        <f>0.8*$C$105*(I125+#REF!)/2/F125*1000</f>
        <v>#REF!</v>
      </c>
      <c r="L125" s="1262"/>
      <c r="M125" s="923" t="e">
        <f t="shared" si="18"/>
        <v>#VALUE!</v>
      </c>
      <c r="N125" s="6" t="e">
        <f t="shared" si="19"/>
        <v>#VALUE!</v>
      </c>
      <c r="O125" s="4">
        <v>1</v>
      </c>
      <c r="X125" s="4">
        <f>IF(C125&lt;D71,K71,K72)</f>
        <v>0</v>
      </c>
    </row>
    <row r="126" spans="2:24" ht="19.899999999999999" customHeight="1">
      <c r="B126" s="945" t="s">
        <v>680</v>
      </c>
      <c r="C126" s="945"/>
      <c r="D126" s="945"/>
      <c r="E126" s="945"/>
      <c r="F126" s="945"/>
      <c r="G126" s="1568" t="s">
        <v>966</v>
      </c>
      <c r="H126" s="1568"/>
      <c r="I126" s="1439">
        <v>5</v>
      </c>
      <c r="J126" s="945"/>
      <c r="M126" s="923"/>
    </row>
    <row r="127" spans="2:24" ht="19.899999999999999" hidden="1" customHeight="1">
      <c r="B127" s="946" t="s">
        <v>681</v>
      </c>
      <c r="C127" s="355"/>
      <c r="D127" s="910" t="s">
        <v>534</v>
      </c>
      <c r="E127" s="357">
        <f>+SUMIF(N104:N125,"X",$K$104:$K$125)</f>
        <v>0</v>
      </c>
      <c r="F127" s="856" t="s">
        <v>30</v>
      </c>
      <c r="G127" s="842" t="s">
        <v>601</v>
      </c>
      <c r="H127" s="355">
        <v>20</v>
      </c>
      <c r="I127" s="842" t="s">
        <v>54</v>
      </c>
      <c r="J127" s="842" t="str">
        <f>"="&amp;200</f>
        <v>=200</v>
      </c>
      <c r="K127" s="4" t="s">
        <v>554</v>
      </c>
      <c r="L127" s="3" t="str">
        <f>IF(H127*10&gt;E127,"=&gt; Thỏa mãn ","NO")</f>
        <v xml:space="preserve">=&gt; Thỏa mãn </v>
      </c>
      <c r="M127" s="923"/>
    </row>
    <row r="128" spans="2:24" ht="19.899999999999999" hidden="1" customHeight="1">
      <c r="B128" s="856" t="s">
        <v>682</v>
      </c>
      <c r="C128" s="356"/>
      <c r="D128" s="856"/>
      <c r="E128" s="946"/>
      <c r="F128" s="946"/>
      <c r="G128" s="355"/>
      <c r="H128" s="355"/>
      <c r="I128" s="910"/>
      <c r="J128" s="910"/>
      <c r="K128" s="11"/>
      <c r="M128" s="923"/>
    </row>
    <row r="129" spans="1:26" ht="19.899999999999999" hidden="1" customHeight="1">
      <c r="A129" s="947"/>
      <c r="B129" s="842"/>
      <c r="C129" s="356"/>
      <c r="D129" s="856"/>
      <c r="E129" s="946"/>
      <c r="F129" s="946"/>
      <c r="G129" s="355"/>
      <c r="H129" s="355"/>
      <c r="I129" s="910"/>
      <c r="J129" s="910"/>
      <c r="K129" s="11"/>
      <c r="M129" s="923"/>
    </row>
    <row r="130" spans="1:26" ht="19.899999999999999" hidden="1" customHeight="1">
      <c r="A130" s="947"/>
      <c r="B130" s="842"/>
      <c r="C130" s="356"/>
      <c r="D130" s="948"/>
      <c r="E130" s="946"/>
      <c r="F130" s="946"/>
      <c r="G130" s="355"/>
      <c r="H130" s="355"/>
      <c r="I130" s="910"/>
      <c r="J130" s="910"/>
      <c r="K130" s="11"/>
      <c r="M130" s="923"/>
    </row>
    <row r="131" spans="1:26" ht="19.899999999999999" customHeight="1">
      <c r="B131" s="842" t="s">
        <v>983</v>
      </c>
      <c r="C131" s="910"/>
      <c r="D131" s="910" t="s">
        <v>535</v>
      </c>
      <c r="E131" s="357">
        <f>SUMIF(J104:J120,"CONT",C104:C125)/(W107/2)</f>
        <v>3.5</v>
      </c>
      <c r="F131" s="856" t="s">
        <v>0</v>
      </c>
      <c r="H131" s="857" t="s">
        <v>681</v>
      </c>
      <c r="I131" s="355" t="s">
        <v>683</v>
      </c>
      <c r="J131" s="357">
        <f>SUMIF(J104:J118,"CONT",I104:I118)</f>
        <v>1.5078301975954156</v>
      </c>
      <c r="K131" s="856" t="s">
        <v>30</v>
      </c>
      <c r="M131" s="923"/>
      <c r="V131" s="4" t="str">
        <f>IF(J131&lt;200,"OK","NOT")</f>
        <v>OK</v>
      </c>
    </row>
    <row r="132" spans="1:26" ht="19.899999999999999" hidden="1" customHeight="1">
      <c r="B132" s="355"/>
      <c r="C132" s="356"/>
      <c r="D132" s="357"/>
      <c r="E132" s="910"/>
      <c r="F132" s="842"/>
      <c r="G132" s="842"/>
      <c r="H132" s="842"/>
      <c r="I132" s="842"/>
      <c r="J132" s="842"/>
    </row>
    <row r="133" spans="1:26" ht="19.899999999999999" hidden="1" customHeight="1">
      <c r="A133" s="2" t="s">
        <v>224</v>
      </c>
      <c r="B133" s="842"/>
      <c r="C133" s="842"/>
      <c r="D133" s="949">
        <f>C113</f>
        <v>4.5</v>
      </c>
      <c r="E133" s="909" t="s">
        <v>967</v>
      </c>
      <c r="F133" s="950">
        <f>G113</f>
        <v>0.87434715307818767</v>
      </c>
      <c r="G133" s="951"/>
      <c r="H133" s="856" t="s">
        <v>968</v>
      </c>
      <c r="I133" s="842"/>
      <c r="J133" s="950">
        <f>0.1*H113</f>
        <v>0.55090253165786718</v>
      </c>
      <c r="K133" s="4" t="s">
        <v>10</v>
      </c>
    </row>
    <row r="134" spans="1:26" ht="19.899999999999999" hidden="1" customHeight="1">
      <c r="A134" s="2" t="s">
        <v>225</v>
      </c>
      <c r="B134" s="842"/>
      <c r="C134" s="842"/>
      <c r="D134" s="842"/>
      <c r="E134" s="866">
        <f>+D133</f>
        <v>4.5</v>
      </c>
      <c r="F134" s="842" t="s">
        <v>0</v>
      </c>
      <c r="G134" s="842"/>
      <c r="H134" s="842"/>
      <c r="I134" s="842"/>
      <c r="J134" s="842"/>
    </row>
    <row r="135" spans="1:26" ht="19.899999999999999" customHeight="1">
      <c r="B135" s="1253" t="s">
        <v>226</v>
      </c>
      <c r="C135" s="1253"/>
      <c r="D135" s="1253"/>
      <c r="E135" s="1253"/>
      <c r="F135" s="1253"/>
      <c r="G135" s="1253"/>
      <c r="H135" s="1253"/>
      <c r="I135" s="1252" t="s">
        <v>1010</v>
      </c>
      <c r="J135" s="357">
        <f>Y52-K47</f>
        <v>166.63573913951021</v>
      </c>
      <c r="K135" s="856" t="s">
        <v>31</v>
      </c>
      <c r="O135" s="952"/>
    </row>
    <row r="136" spans="1:26" ht="19.899999999999999" hidden="1" customHeight="1">
      <c r="A136" s="953"/>
      <c r="B136" s="842"/>
      <c r="C136" s="842"/>
      <c r="D136" s="842"/>
      <c r="E136" s="842"/>
      <c r="F136" s="842"/>
      <c r="G136" s="842"/>
      <c r="H136" s="842"/>
      <c r="I136" s="842"/>
      <c r="J136" s="859"/>
      <c r="O136" s="952"/>
    </row>
    <row r="137" spans="1:26" ht="19.899999999999999" customHeight="1">
      <c r="B137" s="1569" t="s">
        <v>969</v>
      </c>
      <c r="C137" s="1569"/>
      <c r="D137" s="1569"/>
      <c r="E137" s="1570" t="s">
        <v>970</v>
      </c>
      <c r="F137" s="821" t="s">
        <v>437</v>
      </c>
      <c r="G137" s="1570" t="s">
        <v>6</v>
      </c>
      <c r="H137" s="1571">
        <f>+SUMIF(C104:C125,"&lt;="&amp;E131,F104:F125)*$C$105/E131</f>
        <v>2205.7142857142858</v>
      </c>
      <c r="I137" s="1570" t="s">
        <v>10</v>
      </c>
      <c r="J137" s="842"/>
    </row>
    <row r="138" spans="1:26" ht="19.899999999999999" customHeight="1">
      <c r="B138" s="1569"/>
      <c r="C138" s="1569"/>
      <c r="D138" s="1569"/>
      <c r="E138" s="1570"/>
      <c r="F138" s="954" t="s">
        <v>438</v>
      </c>
      <c r="G138" s="1570"/>
      <c r="H138" s="1571"/>
      <c r="I138" s="1570"/>
      <c r="J138" s="842"/>
    </row>
    <row r="139" spans="1:26" ht="19.899999999999999" customHeight="1">
      <c r="A139" s="908"/>
      <c r="B139" s="1569" t="s">
        <v>523</v>
      </c>
      <c r="C139" s="1569"/>
      <c r="D139" s="1570" t="s">
        <v>971</v>
      </c>
      <c r="E139" s="955" t="s">
        <v>972</v>
      </c>
      <c r="F139" s="1570" t="s">
        <v>6</v>
      </c>
      <c r="G139" s="1566">
        <f>0.5*J135*(1-0.42^2)/(H137*(K11/2)^3)</f>
        <v>1.440295113832374E-4</v>
      </c>
      <c r="H139" s="1572" t="str">
        <f>IF(I139&gt;G139, "&lt; [tg] ="," &gt; [tg] =")</f>
        <v>&lt; [tg] =</v>
      </c>
      <c r="I139" s="1599">
        <v>2.5000000000000001E-3</v>
      </c>
      <c r="J139" s="842"/>
      <c r="K139" s="7"/>
      <c r="L139" s="7"/>
      <c r="V139" s="4" t="str">
        <f>IF(G139&lt;I139,"OK","NOT")</f>
        <v>OK</v>
      </c>
    </row>
    <row r="140" spans="1:26" ht="19.899999999999999" customHeight="1">
      <c r="B140" s="1569"/>
      <c r="C140" s="1569"/>
      <c r="D140" s="1570"/>
      <c r="E140" s="956" t="s">
        <v>973</v>
      </c>
      <c r="F140" s="1570"/>
      <c r="G140" s="1566"/>
      <c r="H140" s="1572"/>
      <c r="I140" s="1599"/>
      <c r="J140" s="842"/>
      <c r="K140" s="7"/>
      <c r="L140" s="7"/>
    </row>
    <row r="141" spans="1:26" ht="19.899999999999999" customHeight="1">
      <c r="A141" s="424" t="s">
        <v>684</v>
      </c>
      <c r="B141" s="842"/>
      <c r="C141" s="842"/>
      <c r="D141" s="842"/>
      <c r="E141" s="842"/>
      <c r="F141" s="842"/>
      <c r="G141" s="842"/>
      <c r="H141" s="842"/>
      <c r="I141" s="842"/>
      <c r="J141" s="842"/>
      <c r="K141" s="355"/>
      <c r="L141" s="856"/>
      <c r="W141" s="1559" t="s">
        <v>849</v>
      </c>
      <c r="X141" s="1559"/>
      <c r="Y141" s="1559"/>
      <c r="Z141" s="1559"/>
    </row>
    <row r="142" spans="1:26" ht="19.899999999999999" customHeight="1">
      <c r="A142" s="879" t="s">
        <v>685</v>
      </c>
      <c r="B142" s="842"/>
      <c r="C142" s="842"/>
      <c r="D142" s="842"/>
      <c r="E142" s="842"/>
      <c r="F142" s="842"/>
      <c r="G142" s="842"/>
      <c r="H142" s="842"/>
      <c r="I142" s="842"/>
      <c r="J142" s="842"/>
      <c r="K142" s="355"/>
      <c r="L142" s="856"/>
      <c r="W142" s="12"/>
      <c r="X142" s="12" t="s">
        <v>149</v>
      </c>
      <c r="Y142" s="12" t="s">
        <v>150</v>
      </c>
      <c r="Z142" s="12" t="s">
        <v>765</v>
      </c>
    </row>
    <row r="143" spans="1:26" ht="22.15" customHeight="1">
      <c r="A143" s="842"/>
      <c r="B143" s="911" t="s">
        <v>686</v>
      </c>
      <c r="C143" s="842"/>
      <c r="D143" s="842"/>
      <c r="E143" s="842"/>
      <c r="F143" s="842"/>
      <c r="G143" s="842"/>
      <c r="H143" s="760">
        <f>(TAN(RADIANS(45-$H$56/2)))^2</f>
        <v>0.59342376875350256</v>
      </c>
      <c r="I143" s="842"/>
      <c r="J143" s="842"/>
      <c r="K143" s="355"/>
      <c r="L143" s="856"/>
      <c r="W143" s="12" t="s">
        <v>766</v>
      </c>
      <c r="X143" s="957">
        <f>C40</f>
        <v>15.495652173913046</v>
      </c>
      <c r="Y143" s="146">
        <f>F40</f>
        <v>2.3999999999999995</v>
      </c>
      <c r="Z143" s="12">
        <f>SQRT(X143^2+Y143^2)</f>
        <v>15.680409315285621</v>
      </c>
    </row>
    <row r="144" spans="1:26" ht="22.15" customHeight="1">
      <c r="A144" s="842"/>
      <c r="B144" s="911" t="s">
        <v>687</v>
      </c>
      <c r="C144" s="842"/>
      <c r="D144" s="842"/>
      <c r="E144" s="842"/>
      <c r="F144" s="909" t="s">
        <v>974</v>
      </c>
      <c r="G144" s="355">
        <f>U144</f>
        <v>-4.6399999999999997</v>
      </c>
      <c r="H144" s="842" t="s">
        <v>600</v>
      </c>
      <c r="I144" s="842"/>
      <c r="J144" s="355">
        <f>G144*K10</f>
        <v>-46.4</v>
      </c>
      <c r="K144" s="856" t="s">
        <v>592</v>
      </c>
      <c r="L144" s="856"/>
      <c r="N144" s="4">
        <f>TAN(RADIANS(45-H56/2))</f>
        <v>0.77034003450002686</v>
      </c>
      <c r="U144" s="4">
        <f>ROUND(0.5*$E$56*$K$38^2*H143-2*$I$56*$K$38*SQRT(H143),2)</f>
        <v>-4.6399999999999997</v>
      </c>
      <c r="W144" s="12" t="s">
        <v>767</v>
      </c>
      <c r="X144" s="957">
        <f>C43</f>
        <v>9.6240000000000023</v>
      </c>
      <c r="Y144" s="957">
        <f>F43</f>
        <v>6.644869565217391</v>
      </c>
      <c r="Z144" s="12">
        <f t="shared" ref="Z144:Z146" si="23">SQRT(X144^2+Y144^2)</f>
        <v>11.695112976741713</v>
      </c>
    </row>
    <row r="145" spans="1:26" ht="22.15" customHeight="1">
      <c r="A145" s="842"/>
      <c r="B145" s="958" t="s">
        <v>688</v>
      </c>
      <c r="C145" s="842"/>
      <c r="D145" s="842"/>
      <c r="E145" s="842"/>
      <c r="F145" s="842"/>
      <c r="G145" s="909"/>
      <c r="H145" s="760">
        <f>(TAN(RADIANS(45+$H$56/2)))^2</f>
        <v>1.6851364112032752</v>
      </c>
      <c r="I145" s="842"/>
      <c r="J145" s="842"/>
      <c r="K145" s="355"/>
      <c r="L145" s="856"/>
      <c r="W145" s="12" t="s">
        <v>549</v>
      </c>
      <c r="X145" s="957">
        <f>C46</f>
        <v>15.495652173913046</v>
      </c>
      <c r="Y145" s="957">
        <f>F46</f>
        <v>2.3999999999999995</v>
      </c>
      <c r="Z145" s="12">
        <f t="shared" si="23"/>
        <v>15.680409315285621</v>
      </c>
    </row>
    <row r="146" spans="1:26" ht="22.15" customHeight="1">
      <c r="A146" s="842"/>
      <c r="B146" s="911" t="s">
        <v>689</v>
      </c>
      <c r="C146" s="842"/>
      <c r="D146" s="842"/>
      <c r="E146" s="842"/>
      <c r="F146" s="909" t="s">
        <v>975</v>
      </c>
      <c r="G146" s="355">
        <f>U146</f>
        <v>10.47</v>
      </c>
      <c r="H146" s="842" t="s">
        <v>600</v>
      </c>
      <c r="I146" s="842"/>
      <c r="J146" s="355">
        <f>G146*K10</f>
        <v>104.7</v>
      </c>
      <c r="K146" s="856" t="s">
        <v>592</v>
      </c>
      <c r="L146" s="856"/>
      <c r="U146" s="4">
        <f>ROUND(0.5*$E$56*$K$38^2*H145+2*$I$56*$K$38*SQRT(H145),2)</f>
        <v>10.47</v>
      </c>
      <c r="W146" s="12" t="s">
        <v>768</v>
      </c>
      <c r="X146" s="957">
        <f>C49</f>
        <v>8.4347826086956523</v>
      </c>
      <c r="Y146" s="957">
        <f>F49</f>
        <v>0</v>
      </c>
      <c r="Z146" s="12">
        <f t="shared" si="23"/>
        <v>8.4347826086956523</v>
      </c>
    </row>
    <row r="147" spans="1:26" ht="22.15" customHeight="1">
      <c r="A147" s="842"/>
      <c r="B147" s="911" t="s">
        <v>690</v>
      </c>
      <c r="C147" s="842"/>
      <c r="D147" s="842" t="s">
        <v>976</v>
      </c>
      <c r="E147" s="1254">
        <f>J144+MAX(Z143:Z146)</f>
        <v>-30.719590684714376</v>
      </c>
      <c r="F147" s="842" t="s">
        <v>592</v>
      </c>
      <c r="G147" s="842"/>
      <c r="H147" s="842"/>
      <c r="I147" s="842"/>
      <c r="J147" s="842"/>
      <c r="K147" s="355"/>
      <c r="L147" s="856"/>
    </row>
    <row r="148" spans="1:26" ht="22.15" customHeight="1">
      <c r="A148" s="842"/>
      <c r="B148" s="842" t="s">
        <v>691</v>
      </c>
      <c r="C148" s="842"/>
      <c r="D148" s="842"/>
      <c r="E148" s="857">
        <f>ROUND(SUM(K30*2.5+MAX(E34:E37))*0.45*0.9+J146,2)</f>
        <v>172.48</v>
      </c>
      <c r="F148" s="842" t="s">
        <v>592</v>
      </c>
      <c r="H148" s="857" t="s">
        <v>979</v>
      </c>
      <c r="I148" s="355">
        <f>ABS(ROUND(E148/E147,2))</f>
        <v>5.61</v>
      </c>
      <c r="J148" s="355" t="s">
        <v>598</v>
      </c>
      <c r="K148" s="856" t="str">
        <f>IF(I148&gt;1.5,"Thỏa mãn điều kiện","NO")</f>
        <v>Thỏa mãn điều kiện</v>
      </c>
      <c r="L148" s="856"/>
      <c r="V148" s="4" t="str">
        <f>IF(I148&gt;1.5,"OK","NO")</f>
        <v>OK</v>
      </c>
    </row>
    <row r="149" spans="1:26" ht="22.15" customHeight="1">
      <c r="A149" s="842"/>
      <c r="B149" s="959" t="s">
        <v>593</v>
      </c>
      <c r="C149" s="842"/>
      <c r="D149" s="842"/>
      <c r="E149" s="842"/>
      <c r="F149" s="842"/>
      <c r="G149" s="842"/>
      <c r="H149" s="842"/>
      <c r="I149" s="842"/>
      <c r="J149" s="842"/>
      <c r="K149" s="355"/>
      <c r="L149" s="856"/>
      <c r="N149" s="960" t="s">
        <v>594</v>
      </c>
    </row>
    <row r="150" spans="1:26" ht="22.15" customHeight="1">
      <c r="A150" s="842"/>
      <c r="B150" s="959" t="s">
        <v>977</v>
      </c>
      <c r="C150" s="842"/>
      <c r="D150" s="842"/>
      <c r="E150" s="842"/>
      <c r="F150" s="842"/>
      <c r="G150" s="842"/>
      <c r="H150" s="842"/>
      <c r="I150" s="842"/>
      <c r="J150" s="842"/>
      <c r="K150" s="355"/>
      <c r="L150" s="856"/>
      <c r="N150" s="960" t="s">
        <v>595</v>
      </c>
    </row>
    <row r="151" spans="1:26" ht="22.15" customHeight="1">
      <c r="A151" s="842"/>
      <c r="B151" s="959" t="s">
        <v>978</v>
      </c>
      <c r="C151" s="842"/>
      <c r="D151" s="842"/>
      <c r="E151" s="842"/>
      <c r="F151" s="842"/>
      <c r="G151" s="842"/>
      <c r="H151" s="842"/>
      <c r="I151" s="842"/>
      <c r="J151" s="842"/>
      <c r="K151" s="355"/>
      <c r="L151" s="856"/>
      <c r="N151" s="960" t="s">
        <v>596</v>
      </c>
    </row>
    <row r="152" spans="1:26" ht="22.15" customHeight="1">
      <c r="A152" s="842"/>
      <c r="B152" s="959" t="s">
        <v>1012</v>
      </c>
      <c r="C152" s="842"/>
      <c r="D152" s="842"/>
      <c r="E152" s="842"/>
      <c r="F152" s="842"/>
      <c r="G152" s="842"/>
      <c r="I152" s="959" t="s">
        <v>693</v>
      </c>
      <c r="J152" s="842"/>
      <c r="K152" s="355"/>
      <c r="L152" s="856"/>
      <c r="N152" s="960" t="s">
        <v>597</v>
      </c>
    </row>
    <row r="153" spans="1:26" ht="22.15" customHeight="1">
      <c r="A153" s="961" t="s">
        <v>692</v>
      </c>
      <c r="B153" s="842"/>
      <c r="C153" s="842"/>
      <c r="D153" s="842"/>
      <c r="E153" s="842"/>
      <c r="F153" s="842"/>
      <c r="G153" s="842"/>
      <c r="H153" s="842"/>
      <c r="I153" s="842"/>
      <c r="J153" s="842"/>
      <c r="K153" s="355"/>
      <c r="L153" s="856"/>
    </row>
    <row r="154" spans="1:26" ht="19.899999999999999" customHeight="1">
      <c r="A154" s="842"/>
      <c r="B154" s="842"/>
      <c r="C154" s="842"/>
      <c r="D154" s="842"/>
      <c r="E154" s="357">
        <f>0.9*(C67*K11/2)/((F40*K14+F41)*1.2)</f>
        <v>8.6428164967949694</v>
      </c>
      <c r="F154" s="842" t="s">
        <v>599</v>
      </c>
      <c r="G154" s="856" t="str">
        <f>IF(E154&gt;1.5,"Thỏa mãn điều kiện","NO")</f>
        <v>Thỏa mãn điều kiện</v>
      </c>
      <c r="H154" s="842"/>
      <c r="I154" s="842"/>
      <c r="J154" s="842"/>
      <c r="K154" s="355"/>
      <c r="L154" s="856"/>
      <c r="V154" s="4" t="str">
        <f>IF(E154&gt;1.5,"OK", "NO")</f>
        <v>OK</v>
      </c>
    </row>
    <row r="155" spans="1:26" ht="19.899999999999999" customHeight="1">
      <c r="A155" s="842"/>
      <c r="B155" s="842"/>
      <c r="C155" s="842"/>
      <c r="D155" s="842"/>
      <c r="E155" s="842"/>
      <c r="F155" s="842"/>
      <c r="G155" s="842"/>
      <c r="H155" s="842"/>
      <c r="I155" s="842"/>
      <c r="J155" s="842"/>
      <c r="K155" s="355"/>
      <c r="L155" s="856"/>
    </row>
    <row r="156" spans="1:26" ht="19.899999999999999" hidden="1" customHeight="1"/>
    <row r="187" spans="1:17" ht="19.899999999999999" customHeight="1">
      <c r="A187" s="5" t="s">
        <v>522</v>
      </c>
    </row>
    <row r="188" spans="1:17" ht="19.899999999999999" customHeight="1">
      <c r="A188" s="2" t="s">
        <v>537</v>
      </c>
      <c r="C188" s="6" t="str">
        <f>IF(D188="M200","B15  -  Mác","B20-  Mác")</f>
        <v>B15  -  Mác</v>
      </c>
      <c r="D188" s="962" t="s">
        <v>5</v>
      </c>
      <c r="I188" s="6" t="s">
        <v>540</v>
      </c>
      <c r="J188" s="963" t="s">
        <v>56</v>
      </c>
      <c r="K188" s="4" t="s">
        <v>538</v>
      </c>
      <c r="O188" s="185" t="s">
        <v>280</v>
      </c>
      <c r="P188" s="964">
        <f>+(K11-K10)/2</f>
        <v>1</v>
      </c>
      <c r="Q188" s="965" t="s">
        <v>281</v>
      </c>
    </row>
    <row r="189" spans="1:17" ht="19.899999999999999" customHeight="1">
      <c r="B189" s="2" t="s">
        <v>541</v>
      </c>
      <c r="E189" s="2">
        <f>IF(D188="M200",85,IF(D188="M250",115,IF(D188="M300",130,"Maùc beâ toâng")))</f>
        <v>85</v>
      </c>
      <c r="F189" s="2" t="s">
        <v>66</v>
      </c>
      <c r="J189" s="6" t="s">
        <v>543</v>
      </c>
      <c r="K189" s="2">
        <f>IF(J188="AI",2250,IF(J188="AII",2800,IF(J188="AIII",3650,"nhóm cốt thép")))</f>
        <v>3650</v>
      </c>
      <c r="L189" s="4" t="s">
        <v>66</v>
      </c>
      <c r="O189" s="966" t="s">
        <v>282</v>
      </c>
      <c r="P189" s="9" t="e">
        <f>+F197-K11/2</f>
        <v>#REF!</v>
      </c>
      <c r="Q189" s="967" t="s">
        <v>281</v>
      </c>
    </row>
    <row r="190" spans="1:17" ht="19.899999999999999" customHeight="1">
      <c r="B190" s="2" t="s">
        <v>542</v>
      </c>
      <c r="E190" s="2">
        <f>IF(D188="M200",7.5,IF(D188="M250",8.8,IF(D188="M300",10,"Maùc be toâng")))</f>
        <v>7.5</v>
      </c>
      <c r="F190" s="2" t="s">
        <v>66</v>
      </c>
      <c r="O190" s="966" t="s">
        <v>283</v>
      </c>
      <c r="P190" s="4">
        <f>+K25/2</f>
        <v>1.75</v>
      </c>
      <c r="Q190" s="967" t="s">
        <v>281</v>
      </c>
    </row>
    <row r="191" spans="1:17" ht="19.899999999999999" customHeight="1">
      <c r="A191" s="2" t="s">
        <v>227</v>
      </c>
      <c r="O191" s="968" t="e">
        <f>+IF(P190&gt;P189,"ok")</f>
        <v>#REF!</v>
      </c>
      <c r="Q191" s="967"/>
    </row>
    <row r="192" spans="1:17" ht="19.899999999999999" customHeight="1">
      <c r="B192" s="3" t="s">
        <v>166</v>
      </c>
      <c r="D192" s="6" t="s">
        <v>63</v>
      </c>
      <c r="E192" s="4" t="s">
        <v>6</v>
      </c>
      <c r="F192" s="437" t="e">
        <f>#REF!+#REF!*K14</f>
        <v>#REF!</v>
      </c>
      <c r="G192" s="437"/>
      <c r="H192" s="2" t="s">
        <v>4</v>
      </c>
      <c r="O192" s="966" t="s">
        <v>11</v>
      </c>
      <c r="Q192" s="967"/>
    </row>
    <row r="193" spans="1:17" ht="19.899999999999999" customHeight="1">
      <c r="D193" s="6" t="s">
        <v>7</v>
      </c>
      <c r="E193" s="4" t="s">
        <v>6</v>
      </c>
      <c r="F193" s="100" t="e">
        <f>#REF!/K32</f>
        <v>#REF!</v>
      </c>
      <c r="G193" s="100"/>
      <c r="H193" s="2" t="s">
        <v>10</v>
      </c>
      <c r="O193" s="966" t="s">
        <v>284</v>
      </c>
      <c r="Q193" s="967"/>
    </row>
    <row r="194" spans="1:17" ht="19.899999999999999" customHeight="1">
      <c r="D194" s="6" t="s">
        <v>8</v>
      </c>
      <c r="E194" s="4" t="s">
        <v>6</v>
      </c>
      <c r="F194" s="100" t="e">
        <f>F193+F192/K34</f>
        <v>#REF!</v>
      </c>
      <c r="G194" s="100"/>
      <c r="H194" s="2" t="s">
        <v>10</v>
      </c>
      <c r="O194" s="966" t="s">
        <v>285</v>
      </c>
      <c r="Q194" s="967"/>
    </row>
    <row r="195" spans="1:17" ht="19.899999999999999" customHeight="1">
      <c r="D195" s="6" t="s">
        <v>9</v>
      </c>
      <c r="E195" s="4" t="s">
        <v>6</v>
      </c>
      <c r="F195" s="100" t="e">
        <f>F193-F192/K34</f>
        <v>#REF!</v>
      </c>
      <c r="G195" s="100"/>
      <c r="H195" s="2" t="s">
        <v>10</v>
      </c>
      <c r="O195" s="966" t="s">
        <v>286</v>
      </c>
      <c r="Q195" s="967"/>
    </row>
    <row r="196" spans="1:17" ht="19.899999999999999" customHeight="1">
      <c r="A196" s="2" t="s">
        <v>228</v>
      </c>
      <c r="O196" s="966" t="s">
        <v>287</v>
      </c>
      <c r="Q196" s="967"/>
    </row>
    <row r="197" spans="1:17" ht="19.899999999999999" customHeight="1">
      <c r="B197" s="2" t="s">
        <v>11</v>
      </c>
      <c r="D197" s="6"/>
      <c r="E197" s="4" t="s">
        <v>6</v>
      </c>
      <c r="F197" s="100" t="e">
        <f>(F194*K11)/(F194-F195)</f>
        <v>#REF!</v>
      </c>
      <c r="G197" s="100"/>
      <c r="H197" s="100"/>
      <c r="O197" s="966" t="s">
        <v>288</v>
      </c>
      <c r="Q197" s="967"/>
    </row>
    <row r="198" spans="1:17" ht="19.899999999999999" customHeight="1">
      <c r="A198" s="2" t="s">
        <v>229</v>
      </c>
      <c r="O198" s="966"/>
      <c r="Q198" s="967"/>
    </row>
    <row r="199" spans="1:17" ht="19.899999999999999" customHeight="1">
      <c r="D199" s="6" t="s">
        <v>15</v>
      </c>
      <c r="E199" s="4" t="s">
        <v>6</v>
      </c>
      <c r="F199" s="100" t="e">
        <f>(F194*(F197-G26)/F197)</f>
        <v>#REF!</v>
      </c>
      <c r="H199" s="2" t="s">
        <v>10</v>
      </c>
      <c r="O199" s="966" t="s">
        <v>289</v>
      </c>
      <c r="Q199" s="967"/>
    </row>
    <row r="200" spans="1:17" ht="19.899999999999999" customHeight="1">
      <c r="D200" s="6" t="s">
        <v>16</v>
      </c>
      <c r="E200" s="4" t="s">
        <v>6</v>
      </c>
      <c r="F200" s="100" t="e">
        <f>(F194*(F197-K28-K16)/F197)</f>
        <v>#REF!</v>
      </c>
      <c r="H200" s="2" t="s">
        <v>10</v>
      </c>
      <c r="O200" s="966" t="s">
        <v>290</v>
      </c>
      <c r="Q200" s="967"/>
    </row>
    <row r="201" spans="1:17" ht="19.899999999999999" customHeight="1">
      <c r="D201" s="6" t="s">
        <v>14</v>
      </c>
      <c r="E201" s="4" t="s">
        <v>6</v>
      </c>
      <c r="F201" s="100" t="e">
        <f>-(F195*(K11-F197-K28)/(K11-F197))</f>
        <v>#REF!</v>
      </c>
      <c r="H201" s="2" t="s">
        <v>10</v>
      </c>
      <c r="O201" s="966"/>
      <c r="Q201" s="967"/>
    </row>
    <row r="202" spans="1:17" ht="19.899999999999999" customHeight="1">
      <c r="D202" s="6" t="s">
        <v>13</v>
      </c>
      <c r="E202" s="4" t="s">
        <v>6</v>
      </c>
      <c r="F202" s="100" t="e">
        <f>F195*(F197-K11+K28+K16)/(K11-F197)</f>
        <v>#REF!</v>
      </c>
      <c r="H202" s="2" t="s">
        <v>10</v>
      </c>
      <c r="O202" s="29" t="s">
        <v>299</v>
      </c>
      <c r="P202" s="854"/>
      <c r="Q202" s="969"/>
    </row>
    <row r="203" spans="1:17" ht="19.899999999999999" customHeight="1">
      <c r="D203" s="6" t="s">
        <v>12</v>
      </c>
      <c r="E203" s="4" t="s">
        <v>6</v>
      </c>
      <c r="F203" s="100" t="e">
        <f>F194*(F197-K11/2)/F197</f>
        <v>#REF!</v>
      </c>
      <c r="H203" s="2" t="s">
        <v>10</v>
      </c>
    </row>
    <row r="204" spans="1:17" ht="19.899999999999999" customHeight="1">
      <c r="D204" s="6" t="s">
        <v>22</v>
      </c>
      <c r="E204" s="4" t="s">
        <v>6</v>
      </c>
      <c r="F204" s="970" t="e">
        <f>F194*(F197-K28*2-K16)/F197</f>
        <v>#REF!</v>
      </c>
      <c r="H204" s="2" t="s">
        <v>10</v>
      </c>
    </row>
    <row r="205" spans="1:17" ht="19.899999999999999" customHeight="1">
      <c r="D205" s="6" t="s">
        <v>23</v>
      </c>
      <c r="E205" s="4" t="s">
        <v>6</v>
      </c>
      <c r="F205" s="970" t="e">
        <f>F194*(F197-K11/2+K20/2)/F197</f>
        <v>#REF!</v>
      </c>
      <c r="H205" s="2" t="s">
        <v>10</v>
      </c>
    </row>
    <row r="206" spans="1:17" ht="19.899999999999999" customHeight="1">
      <c r="D206" s="6" t="s">
        <v>154</v>
      </c>
      <c r="E206" s="4" t="s">
        <v>6</v>
      </c>
      <c r="F206" s="970" t="e">
        <f>(F194*(F197-(K11-K10)/2)/F197)</f>
        <v>#REF!</v>
      </c>
      <c r="H206" s="2" t="s">
        <v>10</v>
      </c>
    </row>
    <row r="207" spans="1:17" ht="19.899999999999999" customHeight="1">
      <c r="D207" s="6"/>
      <c r="E207" s="4"/>
      <c r="F207" s="100"/>
      <c r="G207" s="100"/>
      <c r="H207" s="100"/>
    </row>
    <row r="208" spans="1:17" ht="19.899999999999999" customHeight="1">
      <c r="A208" s="6" t="s">
        <v>9</v>
      </c>
      <c r="D208" s="6"/>
      <c r="E208" s="4" t="s">
        <v>12</v>
      </c>
      <c r="F208" s="970" t="s">
        <v>16</v>
      </c>
      <c r="G208" s="100"/>
      <c r="H208" s="100" t="s">
        <v>15</v>
      </c>
    </row>
    <row r="209" spans="1:14" ht="19.899999999999999" customHeight="1">
      <c r="D209" s="6"/>
      <c r="E209" s="4"/>
      <c r="F209" s="100"/>
      <c r="G209" s="100"/>
      <c r="H209" s="100"/>
    </row>
    <row r="210" spans="1:14" ht="19.899999999999999" customHeight="1">
      <c r="A210" s="6"/>
      <c r="B210" s="6" t="s">
        <v>14</v>
      </c>
      <c r="C210" s="4" t="s">
        <v>13</v>
      </c>
      <c r="D210" s="6" t="s">
        <v>41</v>
      </c>
      <c r="E210" s="4" t="s">
        <v>12</v>
      </c>
      <c r="J210" s="2" t="s">
        <v>8</v>
      </c>
    </row>
    <row r="211" spans="1:14" ht="19.899999999999999" customHeight="1">
      <c r="D211" s="6"/>
      <c r="G211" s="2" t="s">
        <v>35</v>
      </c>
    </row>
    <row r="212" spans="1:14" ht="19.899999999999999" customHeight="1">
      <c r="B212" s="6"/>
      <c r="D212" s="4"/>
    </row>
    <row r="213" spans="1:14" ht="19.899999999999999" customHeight="1">
      <c r="E213" s="2" t="s">
        <v>40</v>
      </c>
    </row>
    <row r="214" spans="1:14" ht="19.899999999999999" customHeight="1">
      <c r="A214" s="971" t="s">
        <v>519</v>
      </c>
    </row>
    <row r="215" spans="1:14" ht="19.899999999999999" customHeight="1">
      <c r="B215" s="972" t="s">
        <v>231</v>
      </c>
    </row>
    <row r="216" spans="1:14" ht="19.899999999999999" customHeight="1">
      <c r="B216" s="973" t="s">
        <v>230</v>
      </c>
    </row>
    <row r="217" spans="1:14" ht="19.899999999999999" customHeight="1">
      <c r="B217" s="973" t="s">
        <v>525</v>
      </c>
    </row>
    <row r="218" spans="1:14" ht="19.899999999999999" customHeight="1">
      <c r="B218" s="5" t="s">
        <v>232</v>
      </c>
      <c r="E218" s="4" t="s">
        <v>43</v>
      </c>
      <c r="F218" s="2">
        <f>K28+K16/2</f>
        <v>4</v>
      </c>
      <c r="G218" s="2" t="s">
        <v>0</v>
      </c>
    </row>
    <row r="219" spans="1:14" ht="19.899999999999999" customHeight="1">
      <c r="B219" s="5"/>
      <c r="E219" s="4" t="s">
        <v>44</v>
      </c>
      <c r="F219" s="2">
        <f>K26+K16/2</f>
        <v>3</v>
      </c>
      <c r="G219" s="2" t="s">
        <v>0</v>
      </c>
    </row>
    <row r="220" spans="1:14" ht="19.899999999999999" customHeight="1">
      <c r="B220" s="2" t="s">
        <v>233</v>
      </c>
    </row>
    <row r="221" spans="1:14" ht="19.899999999999999" customHeight="1">
      <c r="B221" s="2" t="s">
        <v>234</v>
      </c>
      <c r="E221" s="4" t="s">
        <v>167</v>
      </c>
      <c r="F221" s="100" t="e">
        <f>F194/(1+F218^4/(F219^4))</f>
        <v>#REF!</v>
      </c>
      <c r="G221" s="2" t="s">
        <v>235</v>
      </c>
      <c r="M221" s="11"/>
      <c r="N221" s="419" t="e">
        <f>+F194/(1+F219^4/F218^4)</f>
        <v>#REF!</v>
      </c>
    </row>
    <row r="222" spans="1:14" ht="19.899999999999999" customHeight="1">
      <c r="E222" s="4" t="s">
        <v>168</v>
      </c>
      <c r="F222" s="100" t="e">
        <f>+F194-F221</f>
        <v>#REF!</v>
      </c>
      <c r="G222" s="2" t="s">
        <v>235</v>
      </c>
      <c r="M222" s="11"/>
      <c r="N222" s="419" t="e">
        <f>+F194-N221</f>
        <v>#REF!</v>
      </c>
    </row>
    <row r="223" spans="1:14" ht="19.899999999999999" customHeight="1">
      <c r="B223" s="2" t="s">
        <v>238</v>
      </c>
      <c r="D223" s="2" t="s">
        <v>169</v>
      </c>
      <c r="J223" s="4"/>
    </row>
    <row r="224" spans="1:14" ht="19.899999999999999" customHeight="1">
      <c r="B224" s="4" t="s">
        <v>170</v>
      </c>
      <c r="C224" s="923" t="e">
        <f>F221*F218^2/2*100000</f>
        <v>#REF!</v>
      </c>
      <c r="D224" s="2" t="s">
        <v>17</v>
      </c>
      <c r="E224" s="6" t="s">
        <v>236</v>
      </c>
      <c r="F224" s="2">
        <f>K19*100</f>
        <v>35</v>
      </c>
      <c r="G224" s="2" t="s">
        <v>18</v>
      </c>
      <c r="I224" s="4">
        <f>+F218</f>
        <v>4</v>
      </c>
      <c r="M224" s="9"/>
    </row>
    <row r="225" spans="2:13" ht="19.899999999999999" customHeight="1">
      <c r="B225" s="4" t="s">
        <v>171</v>
      </c>
      <c r="C225" s="923" t="e">
        <f>F222*F219^2/2*100000</f>
        <v>#REF!</v>
      </c>
      <c r="D225" s="2" t="s">
        <v>17</v>
      </c>
      <c r="E225" s="6" t="s">
        <v>122</v>
      </c>
      <c r="F225" s="962">
        <v>7.5</v>
      </c>
      <c r="G225" s="2" t="s">
        <v>18</v>
      </c>
      <c r="M225" s="9"/>
    </row>
    <row r="226" spans="2:13" ht="19.899999999999999" customHeight="1">
      <c r="E226" s="974" t="s">
        <v>172</v>
      </c>
      <c r="F226" s="2">
        <f>+F224-F225</f>
        <v>27.5</v>
      </c>
      <c r="G226" s="2" t="s">
        <v>18</v>
      </c>
      <c r="M226" s="9"/>
    </row>
    <row r="227" spans="2:13" ht="19.899999999999999" customHeight="1">
      <c r="B227" s="4" t="s">
        <v>173</v>
      </c>
      <c r="C227" s="9" t="e">
        <f>+C224/(E189*100*F226^2)</f>
        <v>#REF!</v>
      </c>
      <c r="D227" s="2" t="s">
        <v>174</v>
      </c>
      <c r="E227" s="974"/>
      <c r="J227" s="4">
        <f>+F219</f>
        <v>3</v>
      </c>
      <c r="M227" s="9"/>
    </row>
    <row r="228" spans="2:13" ht="19.899999999999999" customHeight="1">
      <c r="B228" s="4" t="s">
        <v>175</v>
      </c>
      <c r="C228" s="9" t="e">
        <f>+C225/(E189*100*F226^2)</f>
        <v>#REF!</v>
      </c>
      <c r="D228" s="2" t="s">
        <v>174</v>
      </c>
      <c r="E228" s="974"/>
      <c r="M228" s="9"/>
    </row>
    <row r="229" spans="2:13" ht="19.899999999999999" customHeight="1">
      <c r="B229" s="4" t="s">
        <v>176</v>
      </c>
      <c r="C229" s="10" t="e">
        <f>0.5*(1+SQRT(1-2*C227))</f>
        <v>#REF!</v>
      </c>
      <c r="E229" s="4"/>
      <c r="F229" s="9"/>
      <c r="G229" s="9"/>
      <c r="M229" s="9"/>
    </row>
    <row r="230" spans="2:13" ht="19.899999999999999" customHeight="1">
      <c r="B230" s="4" t="s">
        <v>177</v>
      </c>
      <c r="C230" s="10" t="e">
        <f>0.5*(1+SQRT(1-2*C228))</f>
        <v>#REF!</v>
      </c>
      <c r="E230" s="4"/>
      <c r="F230" s="9"/>
      <c r="G230" s="9"/>
      <c r="M230" s="9"/>
    </row>
    <row r="231" spans="2:13" ht="19.899999999999999" customHeight="1">
      <c r="B231" s="2" t="s">
        <v>239</v>
      </c>
      <c r="M231" s="9"/>
    </row>
    <row r="232" spans="2:13" ht="19.899999999999999" customHeight="1">
      <c r="B232" s="2" t="s">
        <v>244</v>
      </c>
      <c r="D232" s="893" t="str">
        <f>J188</f>
        <v>AIII</v>
      </c>
      <c r="E232" s="4" t="s">
        <v>538</v>
      </c>
      <c r="F232" s="9"/>
      <c r="G232" s="9"/>
      <c r="M232" s="9"/>
    </row>
    <row r="233" spans="2:13" ht="19.899999999999999" customHeight="1">
      <c r="B233" s="2" t="s">
        <v>237</v>
      </c>
      <c r="D233" s="2">
        <f>IF(D232="AI",2250,IF(D232="AII",2800,IF(D232="AIII",3650,"nhóm cốt thép")))</f>
        <v>3650</v>
      </c>
      <c r="E233" s="4" t="s">
        <v>66</v>
      </c>
      <c r="F233" s="9"/>
      <c r="G233" s="9"/>
      <c r="M233" s="9"/>
    </row>
    <row r="234" spans="2:13" ht="19.899999999999999" customHeight="1">
      <c r="B234" s="6" t="s">
        <v>178</v>
      </c>
      <c r="C234" s="975" t="e">
        <f>+C224/(D233*C229*$F$226)</f>
        <v>#REF!</v>
      </c>
      <c r="D234" s="2" t="s">
        <v>20</v>
      </c>
      <c r="E234" s="4"/>
      <c r="F234" s="9"/>
      <c r="G234" s="9"/>
      <c r="M234" s="9"/>
    </row>
    <row r="235" spans="2:13" ht="19.899999999999999" customHeight="1">
      <c r="B235" s="6" t="s">
        <v>179</v>
      </c>
      <c r="C235" s="975" t="e">
        <f>+C225/(D233*C230*F226)</f>
        <v>#REF!</v>
      </c>
      <c r="D235" s="2" t="s">
        <v>20</v>
      </c>
      <c r="E235" s="4"/>
      <c r="F235" s="9"/>
      <c r="G235" s="9"/>
      <c r="M235" s="9"/>
    </row>
    <row r="236" spans="2:13" ht="19.899999999999999" customHeight="1">
      <c r="B236" s="2" t="s">
        <v>240</v>
      </c>
      <c r="C236" s="976" t="str">
        <f>12&amp;D232  &amp;"   a  ="</f>
        <v>12AIII   a  =</v>
      </c>
      <c r="D236" s="963">
        <v>200</v>
      </c>
      <c r="E236" s="903"/>
      <c r="F236" s="9"/>
      <c r="G236" s="9"/>
      <c r="M236" s="9"/>
    </row>
    <row r="237" spans="2:13" ht="19.899999999999999" customHeight="1">
      <c r="C237" s="973" t="s">
        <v>58</v>
      </c>
      <c r="D237" s="442" t="str">
        <f>ROUND(VLOOKUP(VALUE(LEFT(C236,2)),$P$21:$S$41,4,0)*1000/D236,2) &amp;"  (cm²/m dài)"</f>
        <v>5.65  (cm²/m dài)</v>
      </c>
      <c r="E237" s="111"/>
      <c r="F237" s="9"/>
      <c r="G237" s="9"/>
      <c r="M237" s="9"/>
    </row>
    <row r="238" spans="2:13" ht="19.899999999999999" customHeight="1">
      <c r="C238" s="972" t="s">
        <v>111</v>
      </c>
      <c r="E238" s="3" t="str">
        <f>0.1*100*F226/100&amp;" (cm²/m dài)"</f>
        <v>2.75 (cm²/m dài)</v>
      </c>
      <c r="F238" s="9"/>
      <c r="G238" s="9"/>
      <c r="M238" s="9"/>
    </row>
    <row r="239" spans="2:13" ht="19.899999999999999" customHeight="1">
      <c r="B239" s="5" t="s">
        <v>241</v>
      </c>
      <c r="C239" s="972"/>
      <c r="E239" s="4" t="s">
        <v>180</v>
      </c>
      <c r="F239" s="9">
        <f>K7</f>
        <v>4</v>
      </c>
      <c r="G239" s="9"/>
      <c r="M239" s="9"/>
    </row>
    <row r="240" spans="2:13" ht="19.899999999999999" customHeight="1">
      <c r="C240" s="972"/>
      <c r="E240" s="4" t="s">
        <v>181</v>
      </c>
      <c r="F240" s="9">
        <f>K28+K16/2</f>
        <v>4</v>
      </c>
      <c r="G240" s="9"/>
      <c r="M240" s="9"/>
    </row>
    <row r="241" spans="2:13" ht="19.899999999999999" customHeight="1">
      <c r="B241" s="2" t="s">
        <v>279</v>
      </c>
      <c r="C241" s="972"/>
      <c r="D241" s="10">
        <f>+F239/F240</f>
        <v>1</v>
      </c>
      <c r="E241" s="3" t="str">
        <f>IF(D241&lt;2,"&lt; 2  Tính theo bản ngàm 3 cạnh","&gt;= 2 Tính theo bản console")</f>
        <v>&lt; 2  Tính theo bản ngàm 3 cạnh</v>
      </c>
      <c r="F241" s="9"/>
      <c r="G241" s="9"/>
      <c r="I241" s="977">
        <f>+F239</f>
        <v>4</v>
      </c>
      <c r="M241" s="9"/>
    </row>
    <row r="242" spans="2:13" ht="19.899999999999999" customHeight="1">
      <c r="B242" s="978" t="s">
        <v>520</v>
      </c>
      <c r="C242" s="972"/>
      <c r="E242" s="4"/>
      <c r="F242" s="9"/>
      <c r="G242" s="9"/>
      <c r="M242" s="9"/>
    </row>
    <row r="243" spans="2:13" ht="19.899999999999999" customHeight="1">
      <c r="B243" s="2" t="s">
        <v>245</v>
      </c>
      <c r="C243" s="972"/>
      <c r="E243" s="4"/>
      <c r="F243" s="9"/>
      <c r="G243" s="9"/>
      <c r="M243" s="9"/>
    </row>
    <row r="244" spans="2:13" ht="19.899999999999999" customHeight="1">
      <c r="B244" s="6" t="s">
        <v>182</v>
      </c>
      <c r="C244" s="979">
        <f>+IF(D241&lt;=1.5,IF(D241&lt;=1.4,IF(D241&lt;=1.3,IF(D241&lt;=1.2,IF(D241&lt;=1.1,Tra!O$5+(D241-Tra!$L$5)*Tra!S$5,Tra!O$6+(D241-Tra!$L$6)*Tra!S$6),Tra!O$7+(D241-Tra!$L$7)*Tra!S$7),Tra!O$8+(D241-Tra!$L$8)*Tra!S$8),Tra!O$9+(D241-Tra!$L$9)*Tra!S$9),Tra!O$10)</f>
        <v>5.0999999999999997E-2</v>
      </c>
      <c r="D244" s="6" t="s">
        <v>183</v>
      </c>
      <c r="E244" s="979">
        <f>+IF(D241&lt;=1.5,IF(D241&lt;=1.4,IF(D241&lt;=1.3,IF(D241&lt;=1.2,IF(D241&lt;=1.1,Tra!M$5+(D241-Tra!$L$5)*Tra!Q$5,Tra!M$6+(D241-Tra!$L$6)*Tra!Q$6),Tra!M$7+(D241-Tra!$L$7)*Tra!Q$7),Tra!M$8+(D241-Tra!$L$8)*Tra!Q$8),Tra!M$9+(D241-Tra!$L$9)*Tra!Q$9),Tra!M$10)</f>
        <v>9.9000000000000008E-3</v>
      </c>
      <c r="F244" s="9"/>
      <c r="G244" s="977">
        <f>+F240</f>
        <v>4</v>
      </c>
      <c r="M244" s="9"/>
    </row>
    <row r="245" spans="2:13" ht="19.899999999999999" customHeight="1">
      <c r="B245" s="6" t="s">
        <v>184</v>
      </c>
      <c r="C245" s="979">
        <f>+IF(D241&lt;=1.5,IF(D241&lt;=1.4,IF(D241&lt;=1.3,IF(D241&lt;=1.2,IF(D241&lt;=1.1,Tra!P$5+(D241-Tra!$L$5)*Tra!T$5,Tra!P$6+(D241-Tra!$L$6)*Tra!T$6),Tra!P$7+(D241-Tra!$L$7)*Tra!T$7),Tra!P$8+(D241-Tra!$L$8)*Tra!T$8),Tra!P$9+(D241-Tra!$L$9)*Tra!T$9),Tra!P$10)</f>
        <v>8.5300000000000001E-2</v>
      </c>
      <c r="D245" s="6" t="s">
        <v>185</v>
      </c>
      <c r="E245" s="979">
        <f>+IF(D241&lt;=1.5,IF(D241&lt;=1.4,IF(D241&lt;=1.3,IF(D241&lt;=1.2,IF(D241&lt;=1.1,Tra!N$5+(D241-Tra!$L$5)*Tra!R$5,Tra!N$6+(D241-Tra!$L$6)*Tra!R$6),Tra!N$7+(D241-Tra!$L$7)*Tra!R$7),Tra!N$8+(D241-Tra!$L$8)*Tra!R$8),Tra!N$9+(D241-Tra!$L$9)*Tra!R$9),Tra!N$10)</f>
        <v>4.5699999999999998E-2</v>
      </c>
      <c r="F245" s="9"/>
      <c r="G245" s="9"/>
      <c r="M245" s="9"/>
    </row>
    <row r="246" spans="2:13" ht="19.899999999999999" customHeight="1">
      <c r="B246" s="3" t="s">
        <v>242</v>
      </c>
      <c r="D246" s="6"/>
      <c r="E246" s="4" t="s">
        <v>186</v>
      </c>
      <c r="F246" s="9" t="e">
        <f>+F194</f>
        <v>#REF!</v>
      </c>
      <c r="G246" s="2" t="s">
        <v>10</v>
      </c>
      <c r="M246" s="9"/>
    </row>
    <row r="247" spans="2:13" ht="19.899999999999999" customHeight="1">
      <c r="B247" s="6" t="s">
        <v>170</v>
      </c>
      <c r="C247" s="980" t="e">
        <f>+IF(D241&lt;2,C244*F246*F239*F240*1000,0)</f>
        <v>#REF!</v>
      </c>
      <c r="D247" s="3" t="s">
        <v>60</v>
      </c>
      <c r="E247" s="6" t="s">
        <v>187</v>
      </c>
      <c r="F247" s="981" t="e">
        <f>+IF(D241&lt;2,E244*F246*F239*F240*1000,0)</f>
        <v>#REF!</v>
      </c>
      <c r="G247" s="3" t="s">
        <v>60</v>
      </c>
      <c r="M247" s="9"/>
    </row>
    <row r="248" spans="2:13" ht="19.899999999999999" customHeight="1">
      <c r="B248" s="6" t="s">
        <v>171</v>
      </c>
      <c r="C248" s="980" t="e">
        <f>+IF(D241&lt;2,C245*F246*F239*F240*1000,0)</f>
        <v>#REF!</v>
      </c>
      <c r="D248" s="3" t="s">
        <v>60</v>
      </c>
      <c r="E248" s="6" t="s">
        <v>188</v>
      </c>
      <c r="F248" s="981" t="e">
        <f>+IF(D241&lt;2,E245*F246*F239*F240*1000,0)</f>
        <v>#REF!</v>
      </c>
      <c r="G248" s="3" t="s">
        <v>60</v>
      </c>
      <c r="M248" s="9"/>
    </row>
    <row r="249" spans="2:13" ht="19.899999999999999" customHeight="1">
      <c r="B249" s="3" t="s">
        <v>243</v>
      </c>
      <c r="D249" s="982" t="e">
        <f>+MAX(C247,C248,F247,F248)</f>
        <v>#REF!</v>
      </c>
      <c r="E249" s="3" t="s">
        <v>60</v>
      </c>
      <c r="F249" s="9"/>
      <c r="G249" s="9"/>
      <c r="M249" s="9"/>
    </row>
    <row r="250" spans="2:13" ht="19.899999999999999" customHeight="1">
      <c r="B250" s="6" t="s">
        <v>59</v>
      </c>
      <c r="C250" s="10" t="e">
        <f>+D249*100/(E189*100*F226^2)</f>
        <v>#REF!</v>
      </c>
      <c r="D250" s="2" t="s">
        <v>174</v>
      </c>
      <c r="E250" s="903" t="s">
        <v>539</v>
      </c>
      <c r="F250" s="983" t="e">
        <f>0.5*(1+SQRT(1-2*C250))</f>
        <v>#REF!</v>
      </c>
      <c r="G250" s="9"/>
      <c r="M250" s="9"/>
    </row>
    <row r="251" spans="2:13" ht="19.899999999999999" customHeight="1">
      <c r="B251" s="2" t="s">
        <v>239</v>
      </c>
      <c r="E251" s="3"/>
      <c r="F251" s="9"/>
      <c r="G251" s="9"/>
      <c r="M251" s="9"/>
    </row>
    <row r="252" spans="2:13" ht="19.899999999999999" customHeight="1">
      <c r="B252" s="2" t="s">
        <v>244</v>
      </c>
      <c r="D252" s="2" t="str">
        <f>+D232</f>
        <v>AIII</v>
      </c>
      <c r="E252" s="3"/>
      <c r="F252" s="9"/>
      <c r="G252" s="9"/>
      <c r="M252" s="9"/>
    </row>
    <row r="253" spans="2:13" ht="19.899999999999999" customHeight="1">
      <c r="B253" s="2" t="s">
        <v>237</v>
      </c>
      <c r="D253" s="2">
        <f>IF(D252="AI",2250,IF(D252="AII",2800,IF(D252="AIII",3650,"nhóm cốt thép")))</f>
        <v>3650</v>
      </c>
      <c r="E253" s="3" t="s">
        <v>66</v>
      </c>
      <c r="F253" s="9"/>
      <c r="G253" s="9"/>
      <c r="M253" s="9"/>
    </row>
    <row r="254" spans="2:13" ht="19.899999999999999" customHeight="1">
      <c r="B254" s="6" t="s">
        <v>61</v>
      </c>
      <c r="C254" s="984" t="e">
        <f>+D249*100/(D253*F250*F226)</f>
        <v>#REF!</v>
      </c>
      <c r="D254" s="442" t="s">
        <v>62</v>
      </c>
      <c r="E254" s="3"/>
      <c r="F254" s="9"/>
      <c r="G254" s="9"/>
      <c r="M254" s="9"/>
    </row>
    <row r="255" spans="2:13" ht="19.899999999999999" customHeight="1">
      <c r="F255" s="9"/>
      <c r="G255" s="9"/>
      <c r="M255" s="9"/>
    </row>
    <row r="256" spans="2:13" ht="19.899999999999999" customHeight="1">
      <c r="B256" s="978" t="s">
        <v>521</v>
      </c>
      <c r="D256" s="982"/>
      <c r="E256" s="3"/>
      <c r="F256" s="9"/>
      <c r="G256" s="9"/>
      <c r="M256" s="9"/>
    </row>
    <row r="257" spans="1:16" ht="19.899999999999999" customHeight="1">
      <c r="B257" s="2" t="s">
        <v>246</v>
      </c>
      <c r="D257" s="985">
        <f>IF(E241="&gt;= 2 Tính theo bản console",(F199*F240^2/2+(F194-F199)*F240^2/3)*1000,0)</f>
        <v>0</v>
      </c>
      <c r="E257" s="3" t="s">
        <v>247</v>
      </c>
      <c r="F257" s="9"/>
      <c r="G257" s="9"/>
      <c r="M257" s="9"/>
    </row>
    <row r="258" spans="1:16" ht="19.899999999999999" customHeight="1">
      <c r="B258" s="6" t="s">
        <v>42</v>
      </c>
      <c r="C258" s="10">
        <f>+D257*100/(E189*100*F226^2)</f>
        <v>0</v>
      </c>
      <c r="D258" s="2" t="s">
        <v>174</v>
      </c>
      <c r="E258" s="903" t="s">
        <v>539</v>
      </c>
      <c r="F258" s="983">
        <f>0.5*(1+SQRT(1-2*C258))</f>
        <v>1</v>
      </c>
      <c r="G258" s="9"/>
      <c r="M258" s="9"/>
    </row>
    <row r="259" spans="1:16" ht="19.899999999999999" customHeight="1">
      <c r="B259" s="2" t="s">
        <v>239</v>
      </c>
      <c r="E259" s="3"/>
      <c r="F259" s="9"/>
      <c r="G259" s="9"/>
      <c r="M259" s="9"/>
    </row>
    <row r="260" spans="1:16" ht="19.899999999999999" customHeight="1">
      <c r="B260" s="2" t="s">
        <v>244</v>
      </c>
      <c r="D260" s="2" t="str">
        <f>+D252</f>
        <v>AIII</v>
      </c>
      <c r="E260" s="3"/>
      <c r="F260" s="9"/>
      <c r="G260" s="9"/>
      <c r="M260" s="9"/>
    </row>
    <row r="261" spans="1:16" ht="19.899999999999999" customHeight="1">
      <c r="B261" s="2" t="s">
        <v>237</v>
      </c>
      <c r="D261" s="2">
        <f>IF(D260="AI",2250,IF(D260="AII",2800,IF(D260="AIII",3650,"nhóm cốt thép")))</f>
        <v>3650</v>
      </c>
      <c r="E261" s="3" t="s">
        <v>66</v>
      </c>
      <c r="F261" s="9"/>
      <c r="G261" s="9"/>
      <c r="M261" s="9"/>
    </row>
    <row r="262" spans="1:16" ht="19.899999999999999" customHeight="1">
      <c r="B262" s="6" t="s">
        <v>61</v>
      </c>
      <c r="C262" s="984">
        <f>+D257*100/(D261*F258*F226)</f>
        <v>0</v>
      </c>
      <c r="D262" s="442" t="s">
        <v>62</v>
      </c>
      <c r="E262" s="3"/>
      <c r="F262" s="9"/>
      <c r="G262" s="9"/>
      <c r="M262" s="9"/>
    </row>
    <row r="263" spans="1:16" ht="19.899999999999999" customHeight="1">
      <c r="B263" s="6"/>
      <c r="C263" s="10"/>
      <c r="D263" s="442"/>
      <c r="E263" s="3"/>
      <c r="F263" s="9"/>
      <c r="G263" s="9"/>
      <c r="M263" s="9"/>
    </row>
    <row r="264" spans="1:16" ht="19.899999999999999" customHeight="1">
      <c r="B264" s="2" t="s">
        <v>240</v>
      </c>
      <c r="C264" s="2" t="str">
        <f>C236</f>
        <v>12AIII   a  =</v>
      </c>
      <c r="D264" s="986">
        <v>200</v>
      </c>
      <c r="E264" s="3"/>
      <c r="F264" s="9"/>
      <c r="G264" s="9"/>
      <c r="M264" s="9"/>
    </row>
    <row r="265" spans="1:16" ht="19.899999999999999" customHeight="1">
      <c r="B265" s="3"/>
      <c r="C265" s="903" t="s">
        <v>58</v>
      </c>
      <c r="D265" s="442" t="str">
        <f>ROUND(VLOOKUP(VALUE(LEFT(C264,2)),$P$21:$S$41,4,0)*1000/D264,2) &amp;"  (cm²/m dài)"</f>
        <v>5.65  (cm²/m dài)</v>
      </c>
      <c r="E265" s="3"/>
      <c r="F265" s="9"/>
      <c r="G265" s="9"/>
      <c r="M265" s="9"/>
    </row>
    <row r="266" spans="1:16" ht="19.899999999999999" customHeight="1">
      <c r="A266" s="971" t="s">
        <v>518</v>
      </c>
      <c r="I266" s="981" t="e">
        <f>(F194+F204)*(2*K28+K16)/2*1000</f>
        <v>#REF!</v>
      </c>
      <c r="J266" s="4" t="s">
        <v>21</v>
      </c>
    </row>
    <row r="267" spans="1:16" ht="19.899999999999999" customHeight="1">
      <c r="J267" s="981"/>
    </row>
    <row r="268" spans="1:16" ht="19.899999999999999" customHeight="1">
      <c r="J268" s="981"/>
      <c r="M268" s="4" t="s">
        <v>155</v>
      </c>
      <c r="N268" s="977" t="e">
        <f>0.5*(K26+K16/2)^2*F199*2*1000</f>
        <v>#REF!</v>
      </c>
      <c r="O268" s="4" t="s">
        <v>159</v>
      </c>
      <c r="P268" s="11">
        <f>+K28+N272/2</f>
        <v>4.25</v>
      </c>
    </row>
    <row r="269" spans="1:16" ht="19.899999999999999" customHeight="1">
      <c r="J269" s="981"/>
      <c r="M269" s="4" t="s">
        <v>156</v>
      </c>
      <c r="N269" s="987" t="e">
        <f>0.5*(K26+K16/2)^2*0.5*(F194-F199)*2*1000</f>
        <v>#REF!</v>
      </c>
      <c r="O269" s="4" t="s">
        <v>160</v>
      </c>
      <c r="P269" s="11">
        <f>1/2*K28</f>
        <v>1.875</v>
      </c>
    </row>
    <row r="270" spans="1:16" ht="19.899999999999999" customHeight="1">
      <c r="J270" s="981"/>
      <c r="M270" s="4" t="s">
        <v>158</v>
      </c>
      <c r="N270" s="987" t="e">
        <f>+(K26+K16/2)*N272*F206*2*1000</f>
        <v>#REF!</v>
      </c>
      <c r="O270" s="4" t="s">
        <v>161</v>
      </c>
      <c r="P270" s="11">
        <f>2/3*K28</f>
        <v>2.5</v>
      </c>
    </row>
    <row r="271" spans="1:16" ht="19.899999999999999" customHeight="1">
      <c r="J271" s="981"/>
      <c r="L271" s="988"/>
      <c r="M271" s="4" t="s">
        <v>116</v>
      </c>
      <c r="N271" s="923">
        <f>+(K11-K8)/2-K16/2</f>
        <v>3.75</v>
      </c>
    </row>
    <row r="272" spans="1:16" ht="19.899999999999999" customHeight="1">
      <c r="J272" s="981"/>
      <c r="L272" s="988"/>
      <c r="M272" s="4" t="s">
        <v>157</v>
      </c>
      <c r="N272" s="11">
        <f>+K28-K26</f>
        <v>1</v>
      </c>
    </row>
    <row r="273" spans="2:14" ht="19.899999999999999" customHeight="1">
      <c r="J273" s="981"/>
      <c r="L273" s="988"/>
      <c r="M273" s="4" t="s">
        <v>162</v>
      </c>
      <c r="N273" s="977" t="e">
        <f>L277*L280^2*100*2/3</f>
        <v>#REF!</v>
      </c>
    </row>
    <row r="274" spans="2:14" ht="19.899999999999999" customHeight="1">
      <c r="J274" s="981"/>
      <c r="L274" s="988"/>
      <c r="M274" s="4" t="s">
        <v>162</v>
      </c>
      <c r="N274" s="989" t="e">
        <f>+(N268*P268+N269*P269+N270*P270)*100</f>
        <v>#REF!</v>
      </c>
    </row>
    <row r="275" spans="2:14" ht="19.899999999999999" customHeight="1">
      <c r="I275" s="981" t="e">
        <f>(F194+F205)*(K11-K20)*1000/4</f>
        <v>#REF!</v>
      </c>
      <c r="J275" s="4" t="s">
        <v>21</v>
      </c>
      <c r="L275" s="988"/>
    </row>
    <row r="276" spans="2:14" ht="19.899999999999999" customHeight="1">
      <c r="L276" s="988"/>
    </row>
    <row r="277" spans="2:14" ht="19.899999999999999" customHeight="1">
      <c r="J277" s="981"/>
      <c r="K277" s="4" t="s">
        <v>32</v>
      </c>
      <c r="L277" s="988" t="e">
        <f>I285</f>
        <v>#REF!</v>
      </c>
    </row>
    <row r="278" spans="2:14" ht="19.899999999999999" customHeight="1">
      <c r="J278" s="981"/>
      <c r="K278" s="4" t="s">
        <v>33</v>
      </c>
      <c r="L278" s="988" t="e">
        <f>I275</f>
        <v>#REF!</v>
      </c>
    </row>
    <row r="279" spans="2:14" ht="19.899999999999999" customHeight="1">
      <c r="J279" s="981"/>
      <c r="K279" s="4" t="s">
        <v>526</v>
      </c>
      <c r="L279" s="988">
        <f>K7</f>
        <v>4</v>
      </c>
    </row>
    <row r="280" spans="2:14" ht="19.899999999999999" customHeight="1">
      <c r="J280" s="981"/>
      <c r="K280" s="4" t="s">
        <v>527</v>
      </c>
      <c r="L280" s="988">
        <f>(K10-K7)/2</f>
        <v>3</v>
      </c>
    </row>
    <row r="281" spans="2:14" ht="19.899999999999999" customHeight="1">
      <c r="J281" s="981"/>
      <c r="K281" s="4" t="s">
        <v>34</v>
      </c>
      <c r="L281" s="988" t="e">
        <f>0.5*(L277*L280+L279*L278-L280*L278)</f>
        <v>#REF!</v>
      </c>
    </row>
    <row r="282" spans="2:14" ht="19.899999999999999" customHeight="1">
      <c r="J282" s="981"/>
    </row>
    <row r="283" spans="2:14" ht="19.899999999999999" customHeight="1">
      <c r="J283" s="981"/>
    </row>
    <row r="285" spans="2:14" ht="19.899999999999999" customHeight="1">
      <c r="E285" s="4"/>
      <c r="I285" s="981" t="e">
        <f>I266</f>
        <v>#REF!</v>
      </c>
      <c r="J285" s="4" t="s">
        <v>21</v>
      </c>
    </row>
    <row r="286" spans="2:14" ht="19.899999999999999" customHeight="1">
      <c r="B286" s="2" t="s">
        <v>238</v>
      </c>
      <c r="D286" s="4" t="s">
        <v>67</v>
      </c>
      <c r="E286" s="990" t="e">
        <f>+N274</f>
        <v>#REF!</v>
      </c>
      <c r="F286" s="2" t="s">
        <v>17</v>
      </c>
      <c r="H286" s="100"/>
      <c r="M286" s="977"/>
    </row>
    <row r="287" spans="2:14" ht="19.899999999999999" customHeight="1">
      <c r="B287" s="2" t="s">
        <v>248</v>
      </c>
      <c r="D287" s="4" t="s">
        <v>67</v>
      </c>
      <c r="E287" s="990" t="e">
        <f>(0.5*L281*L279-0.5*L277*L280*(2*L280/3+L279/2)-L278*(L280/2*(L280/3-L280+L279/2))-L278*(L279-2*L280)^2/8)*100</f>
        <v>#REF!</v>
      </c>
      <c r="F287" s="2" t="s">
        <v>17</v>
      </c>
      <c r="H287" s="100"/>
    </row>
    <row r="288" spans="2:14" ht="19.899999999999999" customHeight="1">
      <c r="B288" s="2" t="s">
        <v>249</v>
      </c>
      <c r="D288" s="4" t="s">
        <v>68</v>
      </c>
      <c r="E288" s="2">
        <f>100*K16</f>
        <v>50</v>
      </c>
      <c r="F288" s="2" t="s">
        <v>18</v>
      </c>
      <c r="G288" s="4"/>
      <c r="H288" s="4"/>
      <c r="I288" s="2" t="s">
        <v>189</v>
      </c>
      <c r="J288" s="2">
        <f>F225</f>
        <v>7.5</v>
      </c>
      <c r="K288" s="4" t="s">
        <v>18</v>
      </c>
    </row>
    <row r="289" spans="2:11" ht="19.899999999999999" customHeight="1">
      <c r="D289" s="4" t="s">
        <v>69</v>
      </c>
      <c r="E289" s="2">
        <f>100*K17</f>
        <v>100</v>
      </c>
      <c r="F289" s="2" t="s">
        <v>18</v>
      </c>
      <c r="G289" s="4"/>
      <c r="H289" s="4"/>
      <c r="I289" s="2" t="s">
        <v>70</v>
      </c>
      <c r="J289" s="2">
        <f>E289-J288-4</f>
        <v>88.5</v>
      </c>
      <c r="K289" s="4" t="s">
        <v>18</v>
      </c>
    </row>
    <row r="290" spans="2:11" ht="19.899999999999999" customHeight="1">
      <c r="B290" s="978" t="s">
        <v>250</v>
      </c>
      <c r="D290" s="4" t="s">
        <v>67</v>
      </c>
      <c r="E290" s="991" t="e">
        <f>+E286</f>
        <v>#REF!</v>
      </c>
      <c r="F290" s="2" t="s">
        <v>17</v>
      </c>
      <c r="G290" s="4"/>
      <c r="H290" s="4"/>
    </row>
    <row r="291" spans="2:11" ht="19.899999999999999" customHeight="1">
      <c r="D291" s="903" t="s">
        <v>544</v>
      </c>
      <c r="E291" s="419" t="e">
        <f>E286/($E$189*$E$288*$J$289^2)</f>
        <v>#REF!</v>
      </c>
      <c r="F291" s="2" t="s">
        <v>19</v>
      </c>
    </row>
    <row r="292" spans="2:11" ht="19.899999999999999" customHeight="1">
      <c r="D292" s="903" t="s">
        <v>545</v>
      </c>
      <c r="E292" s="992" t="e">
        <f>0.5*(1+SQRT(1-2*E291))</f>
        <v>#REF!</v>
      </c>
    </row>
    <row r="293" spans="2:11" ht="19.899999999999999" customHeight="1">
      <c r="E293" s="419"/>
    </row>
    <row r="294" spans="2:11" ht="19.899999999999999" customHeight="1">
      <c r="B294" s="2" t="s">
        <v>253</v>
      </c>
      <c r="D294" s="2" t="s">
        <v>56</v>
      </c>
    </row>
    <row r="295" spans="2:11" ht="19.899999999999999" customHeight="1">
      <c r="B295" s="2" t="s">
        <v>237</v>
      </c>
      <c r="D295" s="2">
        <f>IF(D294="AI",2250,IF(D294="AII",2800,IF(D294="AIII",3650,"nhóm cốt thép")))</f>
        <v>3650</v>
      </c>
      <c r="E295" s="419" t="s">
        <v>66</v>
      </c>
    </row>
    <row r="296" spans="2:11" ht="19.899999999999999" customHeight="1">
      <c r="C296" s="903" t="s">
        <v>58</v>
      </c>
      <c r="D296" s="993" t="e">
        <f>+E290/(D295*E292*$J$289)</f>
        <v>#REF!</v>
      </c>
      <c r="E296" s="2" t="s">
        <v>20</v>
      </c>
    </row>
    <row r="297" spans="2:11" ht="19.899999999999999" customHeight="1">
      <c r="D297" s="4"/>
      <c r="E297" s="419"/>
    </row>
    <row r="298" spans="2:11" ht="19.899999999999999" customHeight="1">
      <c r="B298" s="978" t="s">
        <v>252</v>
      </c>
      <c r="D298" s="4" t="s">
        <v>67</v>
      </c>
      <c r="E298" s="994" t="e">
        <f>+ABS(E287)</f>
        <v>#REF!</v>
      </c>
      <c r="F298" s="2" t="s">
        <v>17</v>
      </c>
    </row>
    <row r="299" spans="2:11" ht="19.899999999999999" customHeight="1">
      <c r="D299" s="903" t="s">
        <v>544</v>
      </c>
      <c r="E299" s="419" t="e">
        <f>E298/($E$189*$E$288*$J$289^2)</f>
        <v>#REF!</v>
      </c>
      <c r="F299" s="2" t="s">
        <v>19</v>
      </c>
    </row>
    <row r="300" spans="2:11" ht="19.899999999999999" customHeight="1">
      <c r="D300" s="903" t="s">
        <v>545</v>
      </c>
      <c r="E300" s="992" t="e">
        <f>0.5*(1+SQRT(1-2*E299))</f>
        <v>#REF!</v>
      </c>
    </row>
    <row r="301" spans="2:11" ht="19.899999999999999" customHeight="1">
      <c r="D301" s="903"/>
      <c r="E301" s="442"/>
    </row>
    <row r="302" spans="2:11" ht="19.899999999999999" customHeight="1">
      <c r="B302" s="2" t="s">
        <v>253</v>
      </c>
      <c r="D302" s="8" t="str">
        <f>J188</f>
        <v>AIII</v>
      </c>
      <c r="E302" s="442"/>
    </row>
    <row r="303" spans="2:11" ht="19.899999999999999" customHeight="1">
      <c r="B303" s="2" t="s">
        <v>237</v>
      </c>
      <c r="D303" s="2">
        <f>IF(D302="AI",2250,IF(D302="AII",2800,IF(D302="AIII",3650,"nhóm cốt thép")))</f>
        <v>3650</v>
      </c>
      <c r="E303" s="419" t="s">
        <v>66</v>
      </c>
    </row>
    <row r="304" spans="2:11" ht="19.899999999999999" customHeight="1">
      <c r="C304" s="903" t="s">
        <v>58</v>
      </c>
      <c r="D304" s="993" t="e">
        <f>+E298/(D303*E300*$J$289)</f>
        <v>#REF!</v>
      </c>
      <c r="E304" s="2" t="s">
        <v>20</v>
      </c>
    </row>
    <row r="305" spans="1:11" ht="19.899999999999999" customHeight="1">
      <c r="B305" s="2" t="s">
        <v>251</v>
      </c>
      <c r="C305" s="995" t="str">
        <f>"06"&amp;"Ø"&amp;20&amp;D302</f>
        <v>06Ø20AIII</v>
      </c>
      <c r="D305" s="903" t="s">
        <v>58</v>
      </c>
      <c r="E305" s="442" t="str">
        <f>+ROUND(LEFT(C305,2)*VLOOKUP(VALUE(MID(C305,4,2)),$P$21:$S$41,4,0),2)&amp;"  cm²"</f>
        <v>18.84  cm²</v>
      </c>
    </row>
    <row r="306" spans="1:11" ht="19.899999999999999" customHeight="1">
      <c r="B306" s="978" t="s">
        <v>291</v>
      </c>
      <c r="D306" s="903"/>
      <c r="E306" s="996"/>
    </row>
    <row r="307" spans="1:11" ht="19.899999999999999" customHeight="1">
      <c r="B307" s="2" t="s">
        <v>292</v>
      </c>
      <c r="D307" s="903"/>
      <c r="E307" s="996"/>
    </row>
    <row r="308" spans="1:11" ht="19.899999999999999" customHeight="1">
      <c r="C308" s="6" t="s">
        <v>79</v>
      </c>
      <c r="D308" s="997" t="e">
        <f>1/2*N270*G26</f>
        <v>#REF!</v>
      </c>
      <c r="E308" s="996" t="s">
        <v>21</v>
      </c>
    </row>
    <row r="309" spans="1:11" ht="19.899999999999999" customHeight="1">
      <c r="B309" s="2" t="s">
        <v>277</v>
      </c>
      <c r="C309" s="6"/>
      <c r="D309" s="997"/>
      <c r="E309" s="996"/>
    </row>
    <row r="310" spans="1:11" ht="19.899999999999999" customHeight="1">
      <c r="C310" s="6" t="s">
        <v>293</v>
      </c>
      <c r="D310" s="997">
        <f>0.6*E190*E288*J289</f>
        <v>19912.5</v>
      </c>
      <c r="E310" s="2" t="s">
        <v>300</v>
      </c>
      <c r="F310" s="8" t="e">
        <f>+IF(D310&gt;D308, "Bêtông đủ khả năng chịu cắt","Qc &lt; Q ==&gt; Tính cốt đai")</f>
        <v>#REF!</v>
      </c>
      <c r="G310" s="8"/>
      <c r="H310" s="8"/>
    </row>
    <row r="311" spans="1:11" ht="19.899999999999999" customHeight="1">
      <c r="B311" s="2" t="s">
        <v>294</v>
      </c>
      <c r="C311" s="998">
        <v>10</v>
      </c>
      <c r="D311" s="982" t="s">
        <v>295</v>
      </c>
      <c r="E311" s="2">
        <f>+C311*C311*3.14/4/100</f>
        <v>0.78500000000000003</v>
      </c>
      <c r="F311" s="2" t="s">
        <v>20</v>
      </c>
    </row>
    <row r="312" spans="1:11" ht="19.899999999999999" customHeight="1">
      <c r="B312" s="6" t="s">
        <v>296</v>
      </c>
      <c r="C312" s="998">
        <v>2</v>
      </c>
      <c r="D312" s="982" t="s">
        <v>297</v>
      </c>
      <c r="E312" s="8">
        <v>30</v>
      </c>
      <c r="F312" s="2" t="s">
        <v>18</v>
      </c>
    </row>
    <row r="313" spans="1:11" ht="19.899999999999999" customHeight="1">
      <c r="B313" s="6"/>
      <c r="C313" s="998"/>
      <c r="D313"/>
    </row>
    <row r="314" spans="1:11" ht="19.899999999999999" customHeight="1">
      <c r="B314" s="6"/>
      <c r="E314" s="999">
        <f>0.8*2300*C312*E311/E312</f>
        <v>96.293333333333337</v>
      </c>
      <c r="F314" s="442" t="s">
        <v>21</v>
      </c>
    </row>
    <row r="315" spans="1:11" ht="19.899999999999999" customHeight="1">
      <c r="B315" s="6"/>
      <c r="C315" s="998"/>
      <c r="D315" s="982"/>
    </row>
    <row r="316" spans="1:11" ht="19.899999999999999" customHeight="1">
      <c r="B316" s="6"/>
      <c r="C316" s="998"/>
      <c r="D316" s="982"/>
      <c r="E316" s="1000">
        <f>2.8*J289*SQRT(E190*E288*E314)</f>
        <v>47088.520601097669</v>
      </c>
      <c r="F316" s="442" t="s">
        <v>298</v>
      </c>
    </row>
    <row r="317" spans="1:11" ht="19.899999999999999" customHeight="1">
      <c r="C317" s="998"/>
      <c r="D317" s="982"/>
    </row>
    <row r="318" spans="1:11" ht="19.899999999999999" customHeight="1">
      <c r="B318" s="3" t="str">
        <f>+"Bố trí cốt đai Ø = "&amp;C311&amp;" ,n = "&amp;C312&amp;" nhánh, u =  "&amp;E312&amp;" cm"</f>
        <v>Bố trí cốt đai Ø = 10 ,n = 2 nhánh, u =  30 cm</v>
      </c>
      <c r="C318" s="998"/>
      <c r="D318" s="982"/>
    </row>
    <row r="319" spans="1:11" ht="19.899999999999999" customHeight="1">
      <c r="A319" s="971" t="s">
        <v>517</v>
      </c>
    </row>
    <row r="320" spans="1:11" ht="19.899999999999999" customHeight="1">
      <c r="B320" s="5" t="s">
        <v>258</v>
      </c>
      <c r="J320" s="100" t="e">
        <f>+ROUND(C322,2)</f>
        <v>#REF!</v>
      </c>
      <c r="K320" s="2" t="s">
        <v>3</v>
      </c>
    </row>
    <row r="321" spans="2:11" ht="19.899999999999999" customHeight="1">
      <c r="B321" s="2" t="s">
        <v>254</v>
      </c>
      <c r="E321" s="2" t="s">
        <v>255</v>
      </c>
    </row>
    <row r="322" spans="2:11" ht="19.899999999999999" customHeight="1">
      <c r="B322" s="6" t="s">
        <v>78</v>
      </c>
      <c r="C322" s="981" t="e">
        <f>#REF!</f>
        <v>#REF!</v>
      </c>
      <c r="D322" s="2" t="s">
        <v>3</v>
      </c>
      <c r="E322" s="6" t="s">
        <v>74</v>
      </c>
      <c r="F322" s="2">
        <f>K23*100</f>
        <v>70</v>
      </c>
      <c r="G322" s="3" t="s">
        <v>18</v>
      </c>
      <c r="I322" s="982" t="e">
        <f>+ROUND(C323,2)</f>
        <v>#REF!</v>
      </c>
      <c r="J322" s="2" t="s">
        <v>3</v>
      </c>
    </row>
    <row r="323" spans="2:11" ht="19.899999999999999" customHeight="1">
      <c r="B323" s="6" t="s">
        <v>79</v>
      </c>
      <c r="C323" s="981" t="e">
        <f>+#REF!</f>
        <v>#REF!</v>
      </c>
      <c r="D323" s="2" t="s">
        <v>3</v>
      </c>
      <c r="E323" s="6" t="s">
        <v>69</v>
      </c>
      <c r="F323" s="2">
        <f>+F322</f>
        <v>70</v>
      </c>
      <c r="G323" s="3" t="s">
        <v>18</v>
      </c>
      <c r="K323" s="1560">
        <f>F324</f>
        <v>250</v>
      </c>
    </row>
    <row r="324" spans="2:11" ht="19.899999999999999" customHeight="1">
      <c r="B324" s="2" t="s">
        <v>256</v>
      </c>
      <c r="E324" s="6" t="s">
        <v>75</v>
      </c>
      <c r="F324" s="2">
        <f>(K14-K17)*100</f>
        <v>250</v>
      </c>
      <c r="G324" s="3" t="s">
        <v>18</v>
      </c>
      <c r="K324" s="1560"/>
    </row>
    <row r="325" spans="2:11" ht="19.899999999999999" customHeight="1">
      <c r="B325" s="6" t="s">
        <v>67</v>
      </c>
      <c r="C325" s="981" t="e">
        <f>I322*F324/100</f>
        <v>#REF!</v>
      </c>
      <c r="D325" s="2" t="s">
        <v>4</v>
      </c>
      <c r="E325" s="6" t="s">
        <v>190</v>
      </c>
      <c r="F325" s="962">
        <v>7.5</v>
      </c>
      <c r="G325" s="2" t="s">
        <v>18</v>
      </c>
      <c r="I325" s="6"/>
      <c r="J325" s="6"/>
      <c r="K325" s="1560"/>
    </row>
    <row r="326" spans="2:11" ht="19.899999999999999" customHeight="1">
      <c r="B326" s="6" t="s">
        <v>191</v>
      </c>
      <c r="C326" s="981" t="e">
        <f>+C322*0.8</f>
        <v>#REF!</v>
      </c>
      <c r="D326" s="2" t="s">
        <v>3</v>
      </c>
      <c r="E326" s="6" t="s">
        <v>70</v>
      </c>
      <c r="F326" s="2">
        <f>F323-F325</f>
        <v>62.5</v>
      </c>
      <c r="G326" s="2" t="s">
        <v>18</v>
      </c>
      <c r="I326" s="6"/>
      <c r="J326" s="6"/>
      <c r="K326" s="1560"/>
    </row>
    <row r="327" spans="2:11" ht="19.899999999999999" customHeight="1">
      <c r="B327" s="6" t="s">
        <v>192</v>
      </c>
      <c r="C327" s="981" t="e">
        <f>+C325*0.8</f>
        <v>#REF!</v>
      </c>
      <c r="D327" s="2" t="s">
        <v>4</v>
      </c>
      <c r="E327" s="6"/>
      <c r="I327" s="6"/>
      <c r="J327" s="6"/>
      <c r="K327" s="1560"/>
    </row>
    <row r="328" spans="2:11" ht="19.899999999999999" customHeight="1">
      <c r="B328" s="3" t="s">
        <v>257</v>
      </c>
      <c r="F328" s="6"/>
      <c r="J328" s="6"/>
      <c r="K328" s="1560"/>
    </row>
    <row r="329" spans="2:11" ht="19.899999999999999" customHeight="1">
      <c r="B329" s="6" t="s">
        <v>193</v>
      </c>
      <c r="C329" s="2">
        <f>+MAX(F323/25,2)</f>
        <v>2.8</v>
      </c>
      <c r="D329" s="2" t="s">
        <v>18</v>
      </c>
      <c r="F329" s="6"/>
      <c r="J329" s="1561" t="s">
        <v>546</v>
      </c>
      <c r="K329" s="1561"/>
    </row>
    <row r="330" spans="2:11" ht="19.899999999999999" customHeight="1">
      <c r="B330" s="6"/>
      <c r="F330" s="6"/>
      <c r="J330" s="6"/>
    </row>
    <row r="331" spans="2:11" ht="19.899999999999999" customHeight="1">
      <c r="B331" s="6"/>
      <c r="F331" s="6"/>
      <c r="J331" s="6"/>
    </row>
    <row r="332" spans="2:11" ht="19.899999999999999" customHeight="1">
      <c r="B332" s="3" t="s">
        <v>259</v>
      </c>
      <c r="F332" s="4"/>
    </row>
    <row r="333" spans="2:11" ht="19.899999999999999" customHeight="1">
      <c r="B333" s="6" t="s">
        <v>194</v>
      </c>
      <c r="C333" s="981" t="e">
        <f>C325*100000/(C322*1000)</f>
        <v>#REF!</v>
      </c>
      <c r="D333" s="2" t="s">
        <v>18</v>
      </c>
    </row>
    <row r="334" spans="2:11" ht="19.899999999999999" customHeight="1">
      <c r="B334" s="2" t="s">
        <v>260</v>
      </c>
    </row>
    <row r="335" spans="2:11" ht="19.899999999999999" customHeight="1">
      <c r="B335" s="6" t="s">
        <v>195</v>
      </c>
      <c r="C335" s="100" t="e">
        <f>+C333+C329</f>
        <v>#REF!</v>
      </c>
      <c r="D335" s="2" t="s">
        <v>18</v>
      </c>
      <c r="E335" s="4"/>
    </row>
    <row r="336" spans="2:11" ht="19.899999999999999" customHeight="1">
      <c r="B336" s="6" t="s">
        <v>196</v>
      </c>
      <c r="C336" s="981" t="e">
        <f>+C335/F323</f>
        <v>#REF!</v>
      </c>
      <c r="F336" s="4"/>
    </row>
    <row r="337" spans="2:9" ht="19.899999999999999" customHeight="1">
      <c r="B337" s="3" t="s">
        <v>261</v>
      </c>
    </row>
    <row r="338" spans="2:9" ht="19.899999999999999" customHeight="1">
      <c r="B338" s="6" t="s">
        <v>80</v>
      </c>
      <c r="C338" s="10" t="e">
        <f>+IF(C336&lt;=0.05,0.84,IF(C336&gt;=5,0.122,0.11/(0.1+C336)+0.1))</f>
        <v>#REF!</v>
      </c>
    </row>
    <row r="339" spans="2:9" ht="19.899999999999999" customHeight="1">
      <c r="B339" s="3" t="s">
        <v>262</v>
      </c>
      <c r="F339" s="4"/>
    </row>
    <row r="340" spans="2:9" ht="19.899999999999999" customHeight="1">
      <c r="B340" s="6" t="s">
        <v>197</v>
      </c>
      <c r="C340" s="981" t="e">
        <f>1+(C327+C326*F323/(2*100))/(C325+C322*F323/(2*100))</f>
        <v>#REF!</v>
      </c>
      <c r="F340" s="4"/>
    </row>
    <row r="341" spans="2:9" ht="19.899999999999999" customHeight="1">
      <c r="B341" s="3" t="s">
        <v>263</v>
      </c>
      <c r="C341" s="6" t="s">
        <v>81</v>
      </c>
      <c r="D341" s="995">
        <v>2E-3</v>
      </c>
      <c r="I341" s="4"/>
    </row>
    <row r="342" spans="2:9" ht="19.899999999999999" customHeight="1">
      <c r="B342" s="2" t="s">
        <v>82</v>
      </c>
      <c r="C342" s="6" t="s">
        <v>198</v>
      </c>
      <c r="D342" s="991">
        <f>+D341*F322*F326*(0.5*F323-F325)^2</f>
        <v>6617.1875</v>
      </c>
      <c r="E342" s="2" t="s">
        <v>199</v>
      </c>
      <c r="F342" s="3" t="s">
        <v>200</v>
      </c>
      <c r="I342" s="4"/>
    </row>
    <row r="343" spans="2:9" ht="19.899999999999999" customHeight="1">
      <c r="C343" s="6" t="s">
        <v>201</v>
      </c>
      <c r="D343" s="991">
        <f>+(F322*F323^3)/12</f>
        <v>2000833.3333333333</v>
      </c>
      <c r="E343" s="2" t="s">
        <v>199</v>
      </c>
      <c r="F343" s="3" t="s">
        <v>202</v>
      </c>
      <c r="I343" s="4"/>
    </row>
    <row r="344" spans="2:9" ht="19.899999999999999" customHeight="1">
      <c r="C344" s="1001" t="s">
        <v>83</v>
      </c>
      <c r="D344" s="8">
        <f>2.1*1000000</f>
        <v>2100000</v>
      </c>
      <c r="E344" s="2" t="s">
        <v>85</v>
      </c>
      <c r="I344" s="4"/>
    </row>
    <row r="345" spans="2:9" ht="19.899999999999999" customHeight="1">
      <c r="C345" s="1001" t="s">
        <v>84</v>
      </c>
      <c r="D345" s="8">
        <v>240000</v>
      </c>
      <c r="E345" s="2" t="s">
        <v>85</v>
      </c>
      <c r="I345" s="4"/>
    </row>
    <row r="346" spans="2:9" ht="19.899999999999999" customHeight="1">
      <c r="B346" s="2" t="s">
        <v>264</v>
      </c>
      <c r="I346" s="4"/>
    </row>
    <row r="347" spans="2:9" ht="19.899999999999999" customHeight="1">
      <c r="I347" s="4"/>
    </row>
    <row r="348" spans="2:9" ht="19.899999999999999" customHeight="1">
      <c r="D348" s="6" t="s">
        <v>6</v>
      </c>
      <c r="E348" s="981" t="e">
        <f>+(6.4/F324^2)*((C338/C340)*D345*D343+D344*D342)/1000</f>
        <v>#REF!</v>
      </c>
      <c r="F348" s="2" t="s">
        <v>3</v>
      </c>
      <c r="I348" s="4"/>
    </row>
    <row r="349" spans="2:9" ht="19.899999999999999" customHeight="1">
      <c r="I349" s="4"/>
    </row>
    <row r="350" spans="2:9" ht="19.899999999999999" customHeight="1">
      <c r="B350" s="2" t="s">
        <v>265</v>
      </c>
      <c r="D350" s="6" t="s">
        <v>6</v>
      </c>
      <c r="E350" s="1002" t="e">
        <f>1/(1-C322/E348)</f>
        <v>#REF!</v>
      </c>
      <c r="I350" s="4"/>
    </row>
    <row r="351" spans="2:9" ht="19.899999999999999" customHeight="1">
      <c r="I351" s="4"/>
    </row>
    <row r="352" spans="2:9" ht="19.899999999999999" customHeight="1">
      <c r="I352" s="4"/>
    </row>
    <row r="353" spans="2:18" ht="19.899999999999999" customHeight="1">
      <c r="B353" s="2" t="s">
        <v>266</v>
      </c>
      <c r="D353" s="6" t="s">
        <v>76</v>
      </c>
      <c r="E353" s="100" t="e">
        <f>+E350*C335+F323/2-F325</f>
        <v>#REF!</v>
      </c>
      <c r="F353" s="2" t="s">
        <v>18</v>
      </c>
      <c r="G353" s="2" t="s">
        <v>203</v>
      </c>
      <c r="I353" s="4"/>
    </row>
    <row r="354" spans="2:18" ht="19.899999999999999" customHeight="1">
      <c r="D354" s="6" t="s">
        <v>77</v>
      </c>
      <c r="E354" s="100" t="e">
        <f>ABS(E350*C335-F323/2+F325)</f>
        <v>#REF!</v>
      </c>
      <c r="G354" s="2" t="s">
        <v>204</v>
      </c>
    </row>
    <row r="355" spans="2:18" ht="19.899999999999999" customHeight="1">
      <c r="B355" s="2" t="s">
        <v>267</v>
      </c>
      <c r="D355" s="6" t="s">
        <v>86</v>
      </c>
      <c r="E355" s="981" t="e">
        <f>+C322*1000/(E189*F322)</f>
        <v>#REF!</v>
      </c>
      <c r="F355" s="2" t="s">
        <v>18</v>
      </c>
      <c r="H355" s="100"/>
    </row>
    <row r="356" spans="2:18" ht="19.899999999999999" customHeight="1">
      <c r="D356" s="6" t="s">
        <v>205</v>
      </c>
      <c r="E356" s="100">
        <f>0.62*F326</f>
        <v>38.75</v>
      </c>
      <c r="F356" s="2" t="s">
        <v>18</v>
      </c>
      <c r="G356" s="973" t="s">
        <v>65</v>
      </c>
      <c r="H356" s="3" t="e">
        <f>+IF(E355&lt;=E356,"x&lt;αoho ","x&gt;αoho")</f>
        <v>#REF!</v>
      </c>
    </row>
    <row r="357" spans="2:18" ht="19.899999999999999" customHeight="1">
      <c r="C357" s="974" t="s">
        <v>65</v>
      </c>
      <c r="D357" s="3" t="e">
        <f>+IF(E355&lt;=E356,"Xảy ra trường hợp nén lệch tâm lớn","Xảy ra trường hợp nén lệch tâm bé ")</f>
        <v>#REF!</v>
      </c>
      <c r="E357" s="100"/>
      <c r="H357" s="100"/>
    </row>
    <row r="358" spans="2:18" ht="19.899999999999999" customHeight="1">
      <c r="B358" s="429" t="s">
        <v>268</v>
      </c>
      <c r="C358" s="974"/>
      <c r="D358" s="3"/>
      <c r="E358" s="100"/>
      <c r="H358" s="100"/>
      <c r="K358" s="111"/>
      <c r="L358" s="1003"/>
      <c r="N358" s="11"/>
      <c r="Q358" s="11"/>
      <c r="R358" s="11"/>
    </row>
    <row r="359" spans="2:18" ht="19.899999999999999" customHeight="1">
      <c r="B359" s="2" t="s">
        <v>272</v>
      </c>
      <c r="D359" s="2" t="str">
        <f>+D302</f>
        <v>AIII</v>
      </c>
      <c r="E359" s="100"/>
      <c r="H359" s="100"/>
      <c r="N359" s="11"/>
      <c r="Q359" s="11"/>
      <c r="R359" s="11"/>
    </row>
    <row r="360" spans="2:18" ht="19.899999999999999" customHeight="1">
      <c r="B360" s="2" t="s">
        <v>237</v>
      </c>
      <c r="D360" s="2">
        <f>IF(D359="AI",2250,IF(D359="AII",2800,IF(D359="AIII",3650,"nhóm cốt thép")))</f>
        <v>3650</v>
      </c>
      <c r="E360" s="100" t="s">
        <v>66</v>
      </c>
      <c r="H360" s="100"/>
      <c r="N360" s="11"/>
      <c r="Q360" s="11"/>
      <c r="R360" s="11"/>
    </row>
    <row r="361" spans="2:18" ht="19.899999999999999" customHeight="1">
      <c r="C361" s="2" t="e">
        <f>+IF(E355&gt;2*F325,"x&gt;2a' ==&gt;","x&lt;2a' ==&gt;")</f>
        <v>#REF!</v>
      </c>
      <c r="D361" s="3" t="e">
        <f>+IF(E355&gt;2*F325,"Fa = F'a = N(e-ho+0.5x)/(R'a(ho-a'))","Fa = F'a = Ne'/(Ra(ho-a'))")</f>
        <v>#REF!</v>
      </c>
      <c r="E361" s="100"/>
      <c r="H361" s="100"/>
      <c r="N361" s="11"/>
      <c r="Q361" s="11"/>
      <c r="R361" s="11"/>
    </row>
    <row r="362" spans="2:18" ht="19.899999999999999" customHeight="1">
      <c r="D362" s="6" t="s">
        <v>87</v>
      </c>
      <c r="E362" s="1004" t="e">
        <f>+IF(E355&gt;2*F325,C322*1000*(E353-F326+0.5*E355)/(D360*(F326-F325)),C322*1000*E354/(D360*(F326-F325)))</f>
        <v>#REF!</v>
      </c>
      <c r="F362" s="2" t="s">
        <v>20</v>
      </c>
      <c r="H362" s="100"/>
      <c r="N362" s="11"/>
      <c r="Q362" s="11"/>
      <c r="R362" s="11"/>
    </row>
    <row r="363" spans="2:18" ht="19.899999999999999" customHeight="1">
      <c r="B363" s="1005" t="s">
        <v>269</v>
      </c>
      <c r="C363" s="1006" t="s">
        <v>88</v>
      </c>
      <c r="D363" s="1007" t="e">
        <f>+E362*2/(F322*F326)</f>
        <v>#REF!</v>
      </c>
      <c r="E363" s="1008" t="s">
        <v>270</v>
      </c>
      <c r="F363" s="1005"/>
      <c r="G363" s="1009" t="s">
        <v>81</v>
      </c>
      <c r="H363" s="1007" t="e">
        <f>+D363/2+D341/2</f>
        <v>#REF!</v>
      </c>
      <c r="L363" s="1003"/>
      <c r="M363" s="1010"/>
      <c r="N363" s="1011"/>
      <c r="P363" s="11"/>
      <c r="Q363" s="1010"/>
      <c r="R363" s="1010"/>
    </row>
    <row r="364" spans="2:18" ht="19.899999999999999" customHeight="1">
      <c r="B364" s="1012" t="s">
        <v>271</v>
      </c>
      <c r="C364" s="1013"/>
      <c r="D364" s="1014"/>
      <c r="E364" s="1015"/>
      <c r="F364" s="1016"/>
      <c r="G364" s="1016"/>
      <c r="H364" s="1015"/>
      <c r="K364" s="111"/>
      <c r="L364" s="1003"/>
      <c r="N364" s="11"/>
      <c r="Q364" s="11"/>
      <c r="R364" s="11"/>
    </row>
    <row r="365" spans="2:18" ht="19.899999999999999" customHeight="1">
      <c r="B365" s="1016" t="s">
        <v>272</v>
      </c>
      <c r="C365" s="1016"/>
      <c r="D365" s="1016" t="str">
        <f>+D359</f>
        <v>AIII</v>
      </c>
      <c r="E365" s="1015"/>
      <c r="F365" s="1016"/>
      <c r="G365" s="1016"/>
      <c r="H365" s="1015"/>
      <c r="N365" s="11"/>
      <c r="Q365" s="11"/>
      <c r="R365" s="11"/>
    </row>
    <row r="366" spans="2:18" ht="19.899999999999999" customHeight="1">
      <c r="B366" s="1016" t="s">
        <v>237</v>
      </c>
      <c r="C366" s="1016"/>
      <c r="D366" s="2">
        <f>IF(D365="AI",2250,IF(D365="AII",2800,IF(D365="AIII",3650,"Nhóm cốt thép")))</f>
        <v>3650</v>
      </c>
      <c r="E366" s="1015" t="s">
        <v>66</v>
      </c>
      <c r="F366" s="1016"/>
      <c r="G366" s="1016"/>
      <c r="H366" s="1015"/>
      <c r="N366" s="11"/>
      <c r="Q366" s="11"/>
      <c r="R366" s="11"/>
    </row>
    <row r="367" spans="2:18" ht="19.899999999999999" customHeight="1">
      <c r="B367" s="1016"/>
      <c r="C367" s="1017" t="s">
        <v>206</v>
      </c>
      <c r="D367" s="1014">
        <f>0.4*(1.25*F323-0.62*F326)</f>
        <v>19.5</v>
      </c>
      <c r="E367" s="1015" t="s">
        <v>18</v>
      </c>
      <c r="F367" s="1016" t="s">
        <v>207</v>
      </c>
      <c r="G367" s="1016"/>
      <c r="H367" s="1015"/>
      <c r="N367" s="11"/>
      <c r="Q367" s="11"/>
      <c r="R367" s="11"/>
    </row>
    <row r="368" spans="2:18" ht="19.899999999999999" customHeight="1">
      <c r="B368" s="1016"/>
      <c r="C368" s="1017" t="s">
        <v>208</v>
      </c>
      <c r="D368" s="1018" t="e">
        <f>+E350*C335</f>
        <v>#REF!</v>
      </c>
      <c r="E368" s="1015" t="s">
        <v>18</v>
      </c>
      <c r="F368" s="1016"/>
      <c r="G368" s="1016"/>
      <c r="H368" s="1015"/>
      <c r="M368" s="9"/>
      <c r="N368" s="11"/>
      <c r="Q368" s="11"/>
      <c r="R368" s="11"/>
    </row>
    <row r="369" spans="2:18" ht="19.899999999999999" customHeight="1">
      <c r="B369" s="1016"/>
      <c r="C369" s="1017" t="s">
        <v>209</v>
      </c>
      <c r="D369" s="1018">
        <f>0.2*F326</f>
        <v>12.5</v>
      </c>
      <c r="E369" s="1015" t="s">
        <v>18</v>
      </c>
      <c r="F369" s="1016"/>
      <c r="G369" s="1015"/>
      <c r="H369" s="1019"/>
      <c r="M369" s="9"/>
      <c r="N369" s="11"/>
      <c r="P369" s="11"/>
      <c r="Q369" s="1010"/>
      <c r="R369" s="1010"/>
    </row>
    <row r="370" spans="2:18" ht="19.899999999999999" customHeight="1">
      <c r="B370" s="1016" t="s">
        <v>89</v>
      </c>
      <c r="C370" s="1016" t="e">
        <f>+IF(D368&lt;=D369," ηeo &lt;0.2ho ","ηeo &gt; 0.2ho ")</f>
        <v>#REF!</v>
      </c>
      <c r="D370" s="1013" t="s">
        <v>65</v>
      </c>
      <c r="E370" s="1020" t="e">
        <f>+IF(D368&lt;=D369,"x' = h-(1.8+0.5h/ho-1.4αo)ηαo","x' = 1.8(eogh-ηeo)+αoho")</f>
        <v>#REF!</v>
      </c>
      <c r="F370" s="1016"/>
      <c r="G370" s="1015"/>
      <c r="H370" s="1019"/>
      <c r="M370" s="903"/>
      <c r="N370" s="903"/>
      <c r="P370" s="11"/>
      <c r="Q370" s="1010"/>
      <c r="R370" s="1010"/>
    </row>
    <row r="371" spans="2:18" ht="19.899999999999999" customHeight="1">
      <c r="B371" s="1016"/>
      <c r="C371" s="1017" t="s">
        <v>90</v>
      </c>
      <c r="D371" s="1021" t="e">
        <f>+IF(D368&lt;=D369,F323-(1.8+0.5*F323/F326-1.4*0.62)*E350*C335,1.8*(D367-D368)+0.62*F326)</f>
        <v>#REF!</v>
      </c>
      <c r="E371" s="1015" t="s">
        <v>18</v>
      </c>
      <c r="F371" s="1016"/>
      <c r="G371" s="1015"/>
      <c r="H371" s="1019"/>
      <c r="M371" s="997"/>
      <c r="N371" s="11"/>
      <c r="P371" s="11"/>
      <c r="Q371" s="1010"/>
      <c r="R371" s="1010"/>
    </row>
    <row r="372" spans="2:18" ht="19.899999999999999" customHeight="1">
      <c r="B372" s="1016" t="s">
        <v>91</v>
      </c>
      <c r="C372" s="1562" t="s">
        <v>92</v>
      </c>
      <c r="D372" s="1563" t="s">
        <v>93</v>
      </c>
      <c r="E372" s="1563"/>
      <c r="F372" s="1022"/>
      <c r="G372" s="1015"/>
      <c r="H372" s="1019"/>
      <c r="L372" s="1554"/>
      <c r="M372" s="1564"/>
      <c r="N372" s="1564"/>
      <c r="P372" s="11"/>
      <c r="Q372" s="1010"/>
      <c r="R372" s="1010"/>
    </row>
    <row r="373" spans="2:18" ht="19.899999999999999" customHeight="1">
      <c r="B373" s="1016"/>
      <c r="C373" s="1562"/>
      <c r="D373" s="1565" t="s">
        <v>94</v>
      </c>
      <c r="E373" s="1565"/>
      <c r="F373" s="1016"/>
      <c r="G373" s="1015"/>
      <c r="H373" s="1019"/>
      <c r="L373" s="1554"/>
      <c r="M373" s="1564"/>
      <c r="N373" s="1564"/>
      <c r="P373" s="11"/>
      <c r="Q373" s="1010"/>
      <c r="R373" s="1010"/>
    </row>
    <row r="374" spans="2:18" ht="19.899999999999999" customHeight="1">
      <c r="B374" s="1016"/>
      <c r="C374" s="1023" t="s">
        <v>92</v>
      </c>
      <c r="D374" s="1024" t="e">
        <f>+(C322*1000*E353-E189*F322*D371*(F326-0.5*D371))/(D366*(F326-F325))</f>
        <v>#REF!</v>
      </c>
      <c r="E374" s="1022" t="s">
        <v>20</v>
      </c>
      <c r="F374" s="1015"/>
      <c r="G374" s="1015"/>
      <c r="H374" s="1015"/>
      <c r="J374" s="4"/>
      <c r="L374" s="448"/>
      <c r="M374" s="9"/>
      <c r="O374" s="11"/>
      <c r="P374" s="11"/>
      <c r="Q374" s="11"/>
      <c r="R374" s="11"/>
    </row>
    <row r="375" spans="2:18" ht="19.899999999999999" customHeight="1">
      <c r="B375" s="1016"/>
      <c r="C375" s="1013" t="s">
        <v>88</v>
      </c>
      <c r="D375" s="1025" t="e">
        <f>+D374*2/(F322*F326)</f>
        <v>#REF!</v>
      </c>
      <c r="E375" s="1026" t="s">
        <v>270</v>
      </c>
      <c r="F375" s="1016"/>
      <c r="G375" s="1027" t="s">
        <v>81</v>
      </c>
      <c r="H375" s="1028" t="e">
        <f>+D375/2+D341/2</f>
        <v>#REF!</v>
      </c>
      <c r="J375" s="4"/>
      <c r="L375" s="1003"/>
      <c r="M375" s="1010"/>
      <c r="N375" s="1011"/>
      <c r="P375" s="11"/>
      <c r="Q375" s="1010"/>
      <c r="R375" s="1010"/>
    </row>
    <row r="376" spans="2:18" ht="19.899999999999999" customHeight="1">
      <c r="B376" s="1016"/>
      <c r="C376" s="1013"/>
      <c r="D376" s="1025"/>
      <c r="E376" s="1026"/>
      <c r="F376" s="1016"/>
      <c r="G376" s="1027"/>
      <c r="H376" s="1028"/>
      <c r="J376" s="4"/>
      <c r="L376" s="1003"/>
      <c r="M376" s="1010"/>
      <c r="N376" s="1011"/>
      <c r="P376" s="11"/>
      <c r="Q376" s="1010"/>
      <c r="R376" s="1010"/>
    </row>
    <row r="377" spans="2:18" ht="19.899999999999999" customHeight="1">
      <c r="B377" s="1016"/>
      <c r="C377" s="1013"/>
      <c r="D377" s="1025"/>
      <c r="E377" s="1026"/>
      <c r="F377" s="1016"/>
      <c r="G377" s="1027"/>
      <c r="H377" s="1028"/>
      <c r="J377" s="4"/>
      <c r="L377" s="1003"/>
      <c r="M377" s="1010"/>
      <c r="N377" s="1011"/>
      <c r="P377" s="11"/>
      <c r="Q377" s="1010"/>
      <c r="R377" s="1010"/>
    </row>
    <row r="378" spans="2:18" ht="19.899999999999999" customHeight="1">
      <c r="B378" s="1016"/>
      <c r="C378" s="1013"/>
      <c r="D378" s="1025"/>
      <c r="E378" s="1026"/>
      <c r="F378" s="1016"/>
      <c r="G378" s="1027"/>
      <c r="H378" s="1028"/>
      <c r="J378" s="4"/>
      <c r="L378" s="1003"/>
      <c r="M378" s="1010"/>
      <c r="N378" s="1011"/>
      <c r="P378" s="11"/>
      <c r="Q378" s="1010"/>
      <c r="R378" s="1010"/>
    </row>
    <row r="379" spans="2:18" ht="19.899999999999999" customHeight="1">
      <c r="B379" s="1016"/>
      <c r="C379" s="1013"/>
      <c r="D379" s="1025"/>
      <c r="E379" s="1026"/>
      <c r="F379" s="1016"/>
      <c r="G379" s="1027"/>
      <c r="H379" s="1028"/>
      <c r="J379" s="4"/>
      <c r="L379" s="1003"/>
      <c r="M379" s="1010"/>
      <c r="N379" s="1011"/>
      <c r="P379" s="11"/>
      <c r="Q379" s="1010"/>
      <c r="R379" s="1010"/>
    </row>
    <row r="380" spans="2:18" ht="19.899999999999999" customHeight="1">
      <c r="B380" s="5" t="s">
        <v>273</v>
      </c>
      <c r="J380" s="970" t="e">
        <f>+ROUND(C382,2) &amp;" (T)"</f>
        <v>#REF!</v>
      </c>
    </row>
    <row r="381" spans="2:18" ht="19.899999999999999" customHeight="1">
      <c r="B381" s="2" t="s">
        <v>254</v>
      </c>
    </row>
    <row r="382" spans="2:18" ht="19.899999999999999" customHeight="1">
      <c r="B382" s="6" t="s">
        <v>78</v>
      </c>
      <c r="C382" s="100" t="e">
        <f>#REF!</f>
        <v>#REF!</v>
      </c>
      <c r="D382" s="2" t="s">
        <v>3</v>
      </c>
      <c r="E382" s="6"/>
      <c r="I382" s="4" t="e">
        <f>ROUND(I322,2)&amp;" (T)"</f>
        <v>#REF!</v>
      </c>
    </row>
    <row r="383" spans="2:18" ht="19.899999999999999" customHeight="1">
      <c r="B383" s="6" t="s">
        <v>79</v>
      </c>
      <c r="C383" s="2" t="e">
        <f>+#REF!</f>
        <v>#REF!</v>
      </c>
      <c r="D383" s="2" t="s">
        <v>3</v>
      </c>
      <c r="E383" s="6"/>
      <c r="J383" s="1558">
        <f>K323</f>
        <v>250</v>
      </c>
    </row>
    <row r="384" spans="2:18" ht="19.899999999999999" customHeight="1">
      <c r="B384" s="2" t="s">
        <v>256</v>
      </c>
      <c r="E384" s="6"/>
      <c r="J384" s="1558"/>
    </row>
    <row r="385" spans="2:10" ht="19.899999999999999" customHeight="1">
      <c r="B385" s="6" t="s">
        <v>67</v>
      </c>
      <c r="C385" s="994" t="e">
        <f>+C383*F324/100</f>
        <v>#REF!</v>
      </c>
      <c r="D385" s="2" t="s">
        <v>4</v>
      </c>
      <c r="E385" s="6"/>
      <c r="J385" s="1558"/>
    </row>
    <row r="386" spans="2:10" ht="19.899999999999999" customHeight="1">
      <c r="B386" s="2" t="s">
        <v>274</v>
      </c>
      <c r="J386" s="1558"/>
    </row>
    <row r="387" spans="2:10" ht="19.899999999999999" customHeight="1">
      <c r="C387" s="6" t="s">
        <v>95</v>
      </c>
      <c r="D387" s="981" t="e">
        <f>+C385/C382*100</f>
        <v>#REF!</v>
      </c>
      <c r="E387" s="2" t="s">
        <v>18</v>
      </c>
      <c r="F387" s="3" t="s">
        <v>96</v>
      </c>
      <c r="J387" s="1558"/>
    </row>
    <row r="388" spans="2:10" ht="19.899999999999999" customHeight="1">
      <c r="C388" s="6" t="s">
        <v>97</v>
      </c>
      <c r="D388" s="2">
        <f>0.5*F323-F325</f>
        <v>27.5</v>
      </c>
      <c r="E388" s="2" t="s">
        <v>18</v>
      </c>
    </row>
    <row r="389" spans="2:10" ht="19.899999999999999" customHeight="1">
      <c r="C389" s="974" t="s">
        <v>65</v>
      </c>
      <c r="D389" s="2" t="e">
        <f>+IF(D387&lt;=D388,"eo &lt; 0.5h-a  Lệch tâm bé","eo &gt; ho-a  Lệch tâm lớn")</f>
        <v>#REF!</v>
      </c>
      <c r="J389" s="4" t="s">
        <v>546</v>
      </c>
    </row>
    <row r="390" spans="2:10" ht="19.899999999999999" customHeight="1">
      <c r="B390" s="429" t="s">
        <v>275</v>
      </c>
    </row>
    <row r="391" spans="2:10" ht="19.899999999999999" customHeight="1">
      <c r="B391" s="429"/>
      <c r="C391" s="6" t="s">
        <v>98</v>
      </c>
      <c r="D391" s="981" t="e">
        <f>0.5*F323-D387-F325</f>
        <v>#REF!</v>
      </c>
      <c r="E391" s="2" t="s">
        <v>18</v>
      </c>
      <c r="F391" s="2" t="s">
        <v>105</v>
      </c>
    </row>
    <row r="392" spans="2:10" ht="19.899999999999999" customHeight="1">
      <c r="B392" s="429"/>
      <c r="C392" s="6" t="s">
        <v>99</v>
      </c>
      <c r="D392" s="981" t="e">
        <f>0.5*F323+D387-F325</f>
        <v>#REF!</v>
      </c>
      <c r="E392" s="2" t="s">
        <v>18</v>
      </c>
      <c r="F392" s="2" t="s">
        <v>106</v>
      </c>
    </row>
    <row r="393" spans="2:10" ht="19.899999999999999" customHeight="1">
      <c r="B393" s="2" t="s">
        <v>272</v>
      </c>
      <c r="D393" s="2" t="str">
        <f>+D365</f>
        <v>AIII</v>
      </c>
      <c r="E393" s="100"/>
    </row>
    <row r="394" spans="2:10" ht="19.899999999999999" customHeight="1">
      <c r="B394" s="2" t="s">
        <v>237</v>
      </c>
      <c r="D394" s="2">
        <f>IF(D393="AI",2250,IF(D393="AII",2800,IF(D393="AIII",3650,"Nhoùm coát theùp")))</f>
        <v>3650</v>
      </c>
      <c r="E394" s="100" t="s">
        <v>66</v>
      </c>
    </row>
    <row r="395" spans="2:10" ht="19.899999999999999" customHeight="1">
      <c r="B395" s="429"/>
      <c r="C395" s="1551" t="s">
        <v>100</v>
      </c>
      <c r="D395" s="854" t="s">
        <v>101</v>
      </c>
      <c r="E395" s="1552" t="s">
        <v>6</v>
      </c>
      <c r="F395" s="1553" t="e">
        <f>+C382*1000*D391/(D394*(F326-F325))</f>
        <v>#REF!</v>
      </c>
      <c r="G395" s="1554" t="s">
        <v>20</v>
      </c>
      <c r="H395" s="1554"/>
    </row>
    <row r="396" spans="2:10" ht="19.899999999999999" customHeight="1">
      <c r="C396" s="1551"/>
      <c r="D396" s="4" t="s">
        <v>94</v>
      </c>
      <c r="E396" s="1552"/>
      <c r="F396" s="1553"/>
      <c r="G396" s="1554"/>
      <c r="H396" s="1554"/>
    </row>
    <row r="397" spans="2:10" ht="19.899999999999999" customHeight="1">
      <c r="C397" s="1551" t="s">
        <v>102</v>
      </c>
      <c r="D397" s="854" t="s">
        <v>103</v>
      </c>
      <c r="E397" s="1552" t="s">
        <v>6</v>
      </c>
      <c r="F397" s="1553" t="e">
        <f>+C382*1000*D392/(D394*(F326-F325))*1.05</f>
        <v>#REF!</v>
      </c>
      <c r="G397" s="1554" t="s">
        <v>20</v>
      </c>
      <c r="H397" s="448"/>
    </row>
    <row r="398" spans="2:10" ht="19.899999999999999" customHeight="1">
      <c r="C398" s="1551"/>
      <c r="D398" s="4" t="s">
        <v>104</v>
      </c>
      <c r="E398" s="1552"/>
      <c r="F398" s="1553"/>
      <c r="G398" s="1554"/>
      <c r="H398" s="448"/>
    </row>
    <row r="399" spans="2:10" ht="19.899999999999999" customHeight="1">
      <c r="B399" s="1029" t="s">
        <v>278</v>
      </c>
      <c r="C399" s="1030"/>
      <c r="D399" s="1031"/>
      <c r="E399" s="1032"/>
      <c r="F399" s="1032"/>
      <c r="G399" s="1033"/>
      <c r="H399" s="1033"/>
    </row>
    <row r="400" spans="2:10" ht="19.899999999999999" customHeight="1">
      <c r="B400" s="1029"/>
      <c r="C400" s="1030" t="s">
        <v>98</v>
      </c>
      <c r="D400" s="1034" t="e">
        <f>+D387-0.5*F323+F325</f>
        <v>#REF!</v>
      </c>
      <c r="E400" s="1033" t="s">
        <v>18</v>
      </c>
      <c r="F400" s="1035" t="s">
        <v>107</v>
      </c>
      <c r="G400" s="1033"/>
      <c r="H400" s="1033"/>
    </row>
    <row r="401" spans="1:22" ht="19.899999999999999" customHeight="1">
      <c r="B401" s="1035"/>
      <c r="C401" s="1036" t="s">
        <v>99</v>
      </c>
      <c r="D401" s="1037" t="e">
        <f>+D387+0.5*F326-F325</f>
        <v>#REF!</v>
      </c>
      <c r="E401" s="1033" t="s">
        <v>18</v>
      </c>
      <c r="F401" s="1035" t="s">
        <v>109</v>
      </c>
      <c r="G401" s="1035"/>
      <c r="H401" s="1033"/>
    </row>
    <row r="402" spans="1:22" ht="19.899999999999999" customHeight="1">
      <c r="B402" s="1035" t="s">
        <v>272</v>
      </c>
      <c r="C402" s="1035"/>
      <c r="D402" s="1035" t="str">
        <f>+D294</f>
        <v>AIII</v>
      </c>
      <c r="E402" s="1035"/>
      <c r="F402" s="1035"/>
      <c r="G402" s="1035"/>
      <c r="H402" s="1033"/>
    </row>
    <row r="403" spans="1:22" ht="19.899999999999999" customHeight="1">
      <c r="B403" s="1035" t="s">
        <v>237</v>
      </c>
      <c r="C403" s="1035"/>
      <c r="D403" s="2">
        <f>IF(D402="AI",2250,IF(D402="AII",2800,IF(D402="AIII",3650,"Nhoùm coát theùp")))</f>
        <v>3650</v>
      </c>
      <c r="E403" s="1038" t="s">
        <v>66</v>
      </c>
      <c r="F403" s="1035"/>
      <c r="G403" s="1035"/>
      <c r="H403" s="1033"/>
    </row>
    <row r="404" spans="1:22" ht="19.899999999999999" customHeight="1">
      <c r="B404" s="1035"/>
      <c r="C404" s="1555" t="s">
        <v>108</v>
      </c>
      <c r="D404" s="1039" t="s">
        <v>103</v>
      </c>
      <c r="E404" s="1555" t="s">
        <v>6</v>
      </c>
      <c r="F404" s="1556" t="e">
        <f>+C382*1000*D401/(D403*(F326-F325))</f>
        <v>#REF!</v>
      </c>
      <c r="G404" s="1555" t="s">
        <v>20</v>
      </c>
      <c r="H404" s="1033"/>
    </row>
    <row r="405" spans="1:22" ht="19.899999999999999" customHeight="1">
      <c r="B405" s="1035"/>
      <c r="C405" s="1555"/>
      <c r="D405" s="1031" t="s">
        <v>110</v>
      </c>
      <c r="E405" s="1555"/>
      <c r="F405" s="1557"/>
      <c r="G405" s="1555"/>
      <c r="H405" s="1033"/>
    </row>
    <row r="406" spans="1:22" ht="19.899999999999999" customHeight="1">
      <c r="B406" s="2" t="s">
        <v>251</v>
      </c>
      <c r="C406" s="8" t="str">
        <f>"08"&amp;"Ø"&amp;20&amp;D402</f>
        <v>08Ø20AIII</v>
      </c>
      <c r="D406" s="903" t="s">
        <v>547</v>
      </c>
      <c r="E406" s="9" t="str">
        <f>+ROUND(LEFT(C406,2)*VLOOKUP(VALUE(MID(C406,4,2)),$P$21:$S$41,4,0),2)&amp;"  cm²"</f>
        <v>25.12  cm²</v>
      </c>
    </row>
    <row r="407" spans="1:22" ht="19.899999999999999" customHeight="1">
      <c r="A407" s="971" t="s">
        <v>516</v>
      </c>
    </row>
    <row r="408" spans="1:22" ht="19.899999999999999" customHeight="1">
      <c r="B408" s="2" t="s">
        <v>276</v>
      </c>
      <c r="C408" s="100" t="e">
        <f>+C323</f>
        <v>#REF!</v>
      </c>
      <c r="D408" s="2" t="s">
        <v>3</v>
      </c>
    </row>
    <row r="409" spans="1:22" ht="19.899999999999999" customHeight="1">
      <c r="B409" s="2" t="s">
        <v>277</v>
      </c>
    </row>
    <row r="410" spans="1:22" ht="19.899999999999999" customHeight="1">
      <c r="B410" s="6" t="s">
        <v>210</v>
      </c>
      <c r="C410" s="100">
        <f>0.6*E190*F322*F326/1000</f>
        <v>19.6875</v>
      </c>
      <c r="D410" s="2" t="s">
        <v>3</v>
      </c>
    </row>
    <row r="411" spans="1:22" ht="19.899999999999999" customHeight="1">
      <c r="B411" s="974" t="s">
        <v>65</v>
      </c>
      <c r="C411" s="2" t="e">
        <f>+IF(C410&gt;C408, "Qc &gt; Q  ==&gt; Bêtông đủ khả năng chịu cắt","Qc &lt; Q ==&gt; Tính cốt đai")</f>
        <v>#REF!</v>
      </c>
    </row>
    <row r="412" spans="1:22" ht="19.899999999999999" customHeight="1">
      <c r="C412" s="2" t="e">
        <f>+IF(C410&gt;C408," Chỉ đặt cốt đai theo cấu tạo","Tính cột đai")</f>
        <v>#REF!</v>
      </c>
    </row>
    <row r="414" spans="1:22" ht="19.899999999999999" customHeight="1">
      <c r="I414" s="437"/>
    </row>
    <row r="415" spans="1:22" ht="19.899999999999999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7"/>
      <c r="L415" s="25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1:22" ht="19.899999999999999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7"/>
      <c r="L416" s="25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1:22" ht="19.899999999999999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7"/>
      <c r="L417" s="25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1:22" ht="19.899999999999999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7"/>
      <c r="L418" s="25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1:22" ht="19.899999999999999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7"/>
      <c r="L419" s="25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1:22" ht="19.899999999999999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7"/>
      <c r="L420" s="25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1:22" ht="19.899999999999999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7"/>
      <c r="L421" s="25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1:22" ht="19.899999999999999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7"/>
      <c r="L422" s="25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1:22" ht="19.899999999999999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7"/>
      <c r="L423" s="25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1:22" ht="19.899999999999999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7"/>
      <c r="L424" s="25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1:22" ht="19.899999999999999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7"/>
      <c r="L425" s="25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1:22" ht="19.899999999999999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7"/>
      <c r="L426" s="25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1:22" ht="19.899999999999999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7"/>
      <c r="L427" s="25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1:22" ht="19.899999999999999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7"/>
      <c r="L428" s="25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1:22" ht="19.899999999999999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7"/>
      <c r="L429" s="25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1:22" ht="19.899999999999999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7"/>
      <c r="L430" s="25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1:22" ht="19.899999999999999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7"/>
      <c r="L431" s="25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1:22" ht="19.899999999999999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7"/>
      <c r="L432" s="25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1:22" ht="19.899999999999999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7"/>
      <c r="L433" s="25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1:22" ht="19.899999999999999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7"/>
      <c r="L434" s="25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1:22" ht="19.899999999999999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7"/>
      <c r="L435" s="25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1:22" ht="19.899999999999999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7"/>
      <c r="L436" s="25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1:22" ht="19.899999999999999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7"/>
      <c r="L437" s="25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1:22" ht="19.899999999999999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7"/>
      <c r="L438" s="25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1:22" ht="19.899999999999999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7"/>
      <c r="L439" s="25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1:22" ht="19.899999999999999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7"/>
      <c r="L440" s="25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1:22" ht="19.899999999999999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7"/>
      <c r="L441" s="25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1:22" ht="19.899999999999999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7"/>
      <c r="L442" s="25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1:22" ht="19.899999999999999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7"/>
      <c r="L443" s="25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1:22" ht="19.899999999999999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7"/>
      <c r="L444" s="25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1:22" ht="19.899999999999999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7"/>
      <c r="L445" s="25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1:22" ht="19.899999999999999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7"/>
      <c r="L446" s="25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1:22" ht="19.899999999999999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7"/>
      <c r="L447" s="25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1:22" ht="19.899999999999999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7"/>
      <c r="L448" s="25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1:41" ht="19.899999999999999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7"/>
      <c r="L449" s="25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1:41" ht="19.899999999999999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7"/>
      <c r="L450" s="25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1:41" ht="19.899999999999999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7"/>
      <c r="L451" s="25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1:41" ht="19.899999999999999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7"/>
      <c r="L452" s="25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1:41" ht="19.899999999999999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7"/>
      <c r="L453" s="25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1:41" ht="19.899999999999999" customHeight="1" thickBo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7"/>
      <c r="L454" s="25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1:41" ht="19.899999999999999" customHeight="1" thickBo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7"/>
      <c r="M455" s="62"/>
      <c r="N455" s="1040"/>
      <c r="O455" s="41"/>
      <c r="P455" s="41"/>
      <c r="Q455" s="41"/>
      <c r="R455" s="41"/>
      <c r="S455" s="41"/>
      <c r="T455" s="41"/>
      <c r="U455" s="41"/>
      <c r="V455" s="41"/>
      <c r="W455" s="1041" t="s">
        <v>422</v>
      </c>
      <c r="X455" s="1041" t="s">
        <v>423</v>
      </c>
      <c r="Y455" s="1042" t="s">
        <v>303</v>
      </c>
      <c r="Z455" s="1042" t="s">
        <v>424</v>
      </c>
      <c r="AA455" s="1534" t="s">
        <v>425</v>
      </c>
      <c r="AB455" s="1535"/>
      <c r="AC455" s="1536"/>
      <c r="AD455" s="63"/>
      <c r="AE455" s="41"/>
      <c r="AF455" s="41"/>
      <c r="AG455" s="64"/>
      <c r="AH455" s="17"/>
      <c r="AI455" s="13"/>
      <c r="AJ455" s="13"/>
      <c r="AK455" s="13"/>
      <c r="AL455" s="13"/>
      <c r="AM455" s="13"/>
      <c r="AN455" s="13"/>
      <c r="AO455" s="13"/>
    </row>
    <row r="456" spans="1:41" ht="19.899999999999999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7"/>
      <c r="M456" s="65"/>
      <c r="N456" s="1043"/>
      <c r="O456" s="17"/>
      <c r="P456" s="1044"/>
      <c r="Q456" s="17"/>
      <c r="R456" s="17"/>
      <c r="S456" s="1045" t="s">
        <v>436</v>
      </c>
      <c r="T456" s="1046"/>
      <c r="U456" s="17"/>
      <c r="V456" s="17"/>
      <c r="W456" s="1047"/>
      <c r="X456" s="1047"/>
      <c r="Y456" s="1048"/>
      <c r="Z456" s="1049"/>
      <c r="AA456" s="1049" t="s">
        <v>426</v>
      </c>
      <c r="AB456" s="1049" t="s">
        <v>427</v>
      </c>
      <c r="AC456" s="1049" t="s">
        <v>428</v>
      </c>
      <c r="AE456" s="17"/>
      <c r="AF456" s="17"/>
      <c r="AG456" s="31"/>
      <c r="AH456" s="17"/>
      <c r="AI456" s="13"/>
      <c r="AJ456" s="13"/>
      <c r="AK456" s="13"/>
      <c r="AL456" s="13"/>
      <c r="AM456" s="13"/>
      <c r="AN456" s="13"/>
      <c r="AO456" s="13"/>
    </row>
    <row r="457" spans="1:41" ht="19.899999999999999" customHeight="1" thickBo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7"/>
      <c r="M457" s="65"/>
      <c r="N457" s="1043" t="s">
        <v>301</v>
      </c>
      <c r="O457" s="17"/>
      <c r="P457" s="1050" t="str">
        <f>+O459&amp;" - "&amp;O460&amp;" x "&amp;Q460</f>
        <v>4 - 10 x 12</v>
      </c>
      <c r="Q457" s="17"/>
      <c r="R457" s="1051"/>
      <c r="S457" s="1052">
        <f>+D236</f>
        <v>200</v>
      </c>
      <c r="T457" s="1053">
        <f>+D264</f>
        <v>200</v>
      </c>
      <c r="U457" s="17"/>
      <c r="V457" s="17"/>
      <c r="W457" s="1047">
        <v>160</v>
      </c>
      <c r="X457" s="1047">
        <v>140</v>
      </c>
      <c r="Y457" s="1054" t="s">
        <v>429</v>
      </c>
      <c r="Z457" s="1055">
        <v>21.43</v>
      </c>
      <c r="AA457" s="1055">
        <f t="shared" ref="AA457:AA463" si="24">Z457*8</f>
        <v>171.44</v>
      </c>
      <c r="AB457" s="1055">
        <f>+AA457*2</f>
        <v>342.88</v>
      </c>
      <c r="AC457" s="1055">
        <f>AA457*3</f>
        <v>514.31999999999994</v>
      </c>
      <c r="AE457" s="17"/>
      <c r="AF457" s="17"/>
      <c r="AG457" s="31"/>
      <c r="AH457" s="17"/>
      <c r="AI457" s="13"/>
      <c r="AJ457" s="13"/>
      <c r="AK457" s="13"/>
      <c r="AL457" s="13"/>
      <c r="AM457" s="13"/>
      <c r="AN457" s="13"/>
      <c r="AO457" s="13"/>
    </row>
    <row r="458" spans="1:41" ht="19.899999999999999" customHeight="1" thickBo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7"/>
      <c r="M458" s="65"/>
      <c r="N458" s="17"/>
      <c r="O458" s="17"/>
      <c r="P458" s="17"/>
      <c r="Q458" s="17"/>
      <c r="R458" s="17"/>
      <c r="S458" s="17"/>
      <c r="T458" s="17"/>
      <c r="U458" s="17"/>
      <c r="V458" s="17"/>
      <c r="W458" s="1047"/>
      <c r="X458" s="1047"/>
      <c r="Y458" s="1054" t="s">
        <v>430</v>
      </c>
      <c r="Z458" s="1055">
        <v>21.65</v>
      </c>
      <c r="AA458" s="1055">
        <f>Z458*4</f>
        <v>86.6</v>
      </c>
      <c r="AB458" s="1055">
        <f t="shared" ref="AB458:AB467" si="25">+AA458*2</f>
        <v>173.2</v>
      </c>
      <c r="AC458" s="1055">
        <f t="shared" ref="AC458:AC467" si="26">AA458*3</f>
        <v>259.79999999999995</v>
      </c>
      <c r="AE458" s="17"/>
      <c r="AF458" s="17"/>
      <c r="AG458" s="31"/>
      <c r="AH458" s="17"/>
      <c r="AI458" s="13"/>
      <c r="AJ458" s="13"/>
      <c r="AK458" s="13"/>
      <c r="AL458" s="13"/>
      <c r="AM458" s="13"/>
      <c r="AN458" s="13"/>
      <c r="AO458" s="13"/>
    </row>
    <row r="459" spans="1:41" ht="19.899999999999999" customHeight="1" thickBo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7"/>
      <c r="M459" s="65"/>
      <c r="N459" s="1537" t="s">
        <v>302</v>
      </c>
      <c r="O459" s="1056">
        <f>+K7</f>
        <v>4</v>
      </c>
      <c r="P459" s="1057" t="s">
        <v>35</v>
      </c>
      <c r="Q459" s="1058">
        <f>+O459</f>
        <v>4</v>
      </c>
      <c r="R459" s="64" t="s">
        <v>0</v>
      </c>
      <c r="S459" s="17"/>
      <c r="T459" s="30" t="s">
        <v>303</v>
      </c>
      <c r="U459" s="30" t="s">
        <v>304</v>
      </c>
      <c r="V459" s="17"/>
      <c r="W459" s="1047">
        <v>180</v>
      </c>
      <c r="X459" s="1047">
        <v>160</v>
      </c>
      <c r="Y459" s="1054" t="s">
        <v>431</v>
      </c>
      <c r="Z459" s="1055">
        <v>30.44</v>
      </c>
      <c r="AA459" s="1055">
        <f t="shared" si="24"/>
        <v>243.52</v>
      </c>
      <c r="AB459" s="1055">
        <f t="shared" si="25"/>
        <v>487.04</v>
      </c>
      <c r="AC459" s="1055">
        <f t="shared" si="26"/>
        <v>730.56000000000006</v>
      </c>
      <c r="AE459" s="17"/>
      <c r="AF459" s="17"/>
      <c r="AG459" s="66"/>
      <c r="AH459" s="17"/>
      <c r="AI459" s="13"/>
      <c r="AJ459" s="13"/>
      <c r="AK459" s="13"/>
      <c r="AL459" s="13"/>
      <c r="AM459" s="13"/>
      <c r="AN459" s="13"/>
      <c r="AO459" s="13"/>
    </row>
    <row r="460" spans="1:41" ht="19.899999999999999" customHeight="1" thickBo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7"/>
      <c r="M460" s="65"/>
      <c r="N460" s="1538"/>
      <c r="O460" s="1056">
        <f>+K10</f>
        <v>10</v>
      </c>
      <c r="P460" s="1057" t="s">
        <v>35</v>
      </c>
      <c r="Q460" s="1059">
        <f>+K11</f>
        <v>12</v>
      </c>
      <c r="R460" s="31" t="s">
        <v>0</v>
      </c>
      <c r="S460" s="17"/>
      <c r="T460" s="1051" t="s">
        <v>420</v>
      </c>
      <c r="U460" s="1060">
        <f>+SUMIF(Y457:Y467,T460,AA457:AA467)</f>
        <v>356.16</v>
      </c>
      <c r="V460" s="17"/>
      <c r="W460" s="1047"/>
      <c r="X460" s="1047"/>
      <c r="Y460" s="1054" t="s">
        <v>432</v>
      </c>
      <c r="Z460" s="1055">
        <v>30.55</v>
      </c>
      <c r="AA460" s="1055">
        <f>Z460*4</f>
        <v>122.2</v>
      </c>
      <c r="AB460" s="1055">
        <f t="shared" si="25"/>
        <v>244.4</v>
      </c>
      <c r="AC460" s="1055">
        <f t="shared" si="26"/>
        <v>366.6</v>
      </c>
      <c r="AD460" s="17"/>
      <c r="AE460" s="17"/>
      <c r="AF460" s="17"/>
      <c r="AG460" s="67"/>
      <c r="AH460" s="17"/>
      <c r="AI460" s="13"/>
      <c r="AJ460" s="13"/>
      <c r="AK460" s="13"/>
      <c r="AL460" s="13"/>
      <c r="AM460" s="13"/>
      <c r="AN460" s="13"/>
      <c r="AO460" s="13"/>
    </row>
    <row r="461" spans="1:41" ht="19.899999999999999" customHeight="1" thickBo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7"/>
      <c r="M461" s="65"/>
      <c r="N461" s="1539"/>
      <c r="O461" s="1056">
        <f>+K20</f>
        <v>1</v>
      </c>
      <c r="P461" s="1057" t="s">
        <v>35</v>
      </c>
      <c r="Q461" s="1061">
        <f>+O461</f>
        <v>1</v>
      </c>
      <c r="R461" s="1062" t="s">
        <v>0</v>
      </c>
      <c r="S461" s="1063" t="s">
        <v>305</v>
      </c>
      <c r="T461" s="1063" t="s">
        <v>306</v>
      </c>
      <c r="U461" s="17"/>
      <c r="V461" s="17"/>
      <c r="W461" s="1047">
        <v>200</v>
      </c>
      <c r="X461" s="1047">
        <v>180</v>
      </c>
      <c r="Y461" s="1054" t="s">
        <v>420</v>
      </c>
      <c r="Z461" s="1055">
        <v>44.52</v>
      </c>
      <c r="AA461" s="1055">
        <f t="shared" si="24"/>
        <v>356.16</v>
      </c>
      <c r="AB461" s="1055">
        <f t="shared" si="25"/>
        <v>712.32</v>
      </c>
      <c r="AC461" s="1055">
        <f t="shared" si="26"/>
        <v>1068.48</v>
      </c>
      <c r="AD461" s="17"/>
      <c r="AE461" s="17"/>
      <c r="AF461" s="17"/>
      <c r="AG461" s="68"/>
      <c r="AH461" s="17"/>
      <c r="AI461" s="23"/>
      <c r="AJ461" s="24"/>
      <c r="AK461" s="24"/>
      <c r="AL461" s="24"/>
      <c r="AM461" s="24"/>
      <c r="AN461" s="13"/>
      <c r="AO461" s="13"/>
    </row>
    <row r="462" spans="1:41" ht="19.899999999999999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7"/>
      <c r="M462" s="65"/>
      <c r="N462" s="1064" t="s">
        <v>307</v>
      </c>
      <c r="O462" s="1065">
        <f>+K19</f>
        <v>0.35</v>
      </c>
      <c r="P462" s="1066" t="s">
        <v>0</v>
      </c>
      <c r="Q462" s="1067" t="s">
        <v>308</v>
      </c>
      <c r="R462" s="1068"/>
      <c r="S462" s="1069" t="s">
        <v>309</v>
      </c>
      <c r="T462" s="1070" t="s">
        <v>310</v>
      </c>
      <c r="U462" s="17"/>
      <c r="V462" s="17"/>
      <c r="W462" s="1047"/>
      <c r="X462" s="1047"/>
      <c r="Y462" s="1054" t="s">
        <v>433</v>
      </c>
      <c r="Z462" s="1055">
        <v>44.63</v>
      </c>
      <c r="AA462" s="1055">
        <f>Z462*4</f>
        <v>178.52</v>
      </c>
      <c r="AB462" s="1055">
        <f t="shared" si="25"/>
        <v>357.04</v>
      </c>
      <c r="AC462" s="1055">
        <f>AA462*3</f>
        <v>535.56000000000006</v>
      </c>
      <c r="AD462" s="17"/>
      <c r="AE462" s="17"/>
      <c r="AF462" s="17"/>
      <c r="AG462" s="31"/>
      <c r="AH462" s="17"/>
      <c r="AI462" s="13"/>
      <c r="AJ462" s="13"/>
      <c r="AK462" s="13"/>
      <c r="AL462" s="13"/>
      <c r="AM462" s="13"/>
      <c r="AN462" s="13"/>
      <c r="AO462" s="13"/>
    </row>
    <row r="463" spans="1:41" ht="19.899999999999999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7"/>
      <c r="M463" s="65"/>
      <c r="N463" s="1071" t="s">
        <v>311</v>
      </c>
      <c r="O463" s="1072">
        <f>+K17</f>
        <v>1</v>
      </c>
      <c r="P463" s="1073" t="s">
        <v>0</v>
      </c>
      <c r="Q463" s="16" t="s">
        <v>312</v>
      </c>
      <c r="R463" s="1074" t="s">
        <v>313</v>
      </c>
      <c r="S463" s="1074">
        <f>+IF(S457&lt;=85,S457*3/1000,IF(S457&lt;=125,S457*2/1000,S457/1000))</f>
        <v>0.2</v>
      </c>
      <c r="T463" s="1074">
        <f>+IF(T457&lt;=85,T457*3/1000,IF(T457&lt;=125,T457*2/1000,T457/1000))</f>
        <v>0.2</v>
      </c>
      <c r="U463" s="25" t="s">
        <v>0</v>
      </c>
      <c r="V463" s="17"/>
      <c r="W463" s="1047"/>
      <c r="X463" s="1047"/>
      <c r="Y463" s="1054" t="s">
        <v>434</v>
      </c>
      <c r="Z463" s="1055">
        <v>63.15</v>
      </c>
      <c r="AA463" s="1055">
        <f t="shared" si="24"/>
        <v>505.2</v>
      </c>
      <c r="AB463" s="1055">
        <f t="shared" si="25"/>
        <v>1010.4</v>
      </c>
      <c r="AC463" s="1055">
        <f t="shared" si="26"/>
        <v>1515.6</v>
      </c>
      <c r="AD463" s="17"/>
      <c r="AE463" s="17"/>
      <c r="AF463" s="17"/>
      <c r="AG463" s="31"/>
      <c r="AH463" s="17"/>
      <c r="AI463" s="13"/>
      <c r="AJ463" s="13"/>
      <c r="AK463" s="13"/>
      <c r="AL463" s="13"/>
      <c r="AM463" s="13"/>
      <c r="AN463" s="13"/>
      <c r="AO463" s="13"/>
    </row>
    <row r="464" spans="1:41" ht="19.899999999999999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7"/>
      <c r="M464" s="65"/>
      <c r="N464" s="1071" t="s">
        <v>314</v>
      </c>
      <c r="O464" s="1072">
        <f>+K14</f>
        <v>3.5</v>
      </c>
      <c r="P464" s="1073" t="s">
        <v>0</v>
      </c>
      <c r="Q464" s="16"/>
      <c r="R464" s="1074" t="s">
        <v>315</v>
      </c>
      <c r="S464" s="1074">
        <f>+S463</f>
        <v>0.2</v>
      </c>
      <c r="T464" s="32">
        <f>+T463</f>
        <v>0.2</v>
      </c>
      <c r="U464" s="25" t="s">
        <v>0</v>
      </c>
      <c r="V464" s="17"/>
      <c r="W464" s="1047">
        <v>200</v>
      </c>
      <c r="X464" s="1047">
        <v>180</v>
      </c>
      <c r="Y464" s="1054">
        <v>56</v>
      </c>
      <c r="Z464" s="1055">
        <v>31.12</v>
      </c>
      <c r="AA464" s="1055">
        <f>Z464*16</f>
        <v>497.92</v>
      </c>
      <c r="AB464" s="1055">
        <f t="shared" si="25"/>
        <v>995.84</v>
      </c>
      <c r="AC464" s="1055">
        <f t="shared" si="26"/>
        <v>1493.76</v>
      </c>
      <c r="AD464" s="17"/>
      <c r="AE464" s="17"/>
      <c r="AF464" s="17"/>
      <c r="AG464" s="31"/>
      <c r="AH464" s="17"/>
      <c r="AI464" s="13"/>
      <c r="AJ464" s="13"/>
      <c r="AK464" s="13"/>
      <c r="AL464" s="13"/>
      <c r="AM464" s="13"/>
      <c r="AN464" s="13"/>
      <c r="AO464" s="13"/>
    </row>
    <row r="465" spans="1:41" ht="19.899999999999999" customHeight="1" thickBo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7"/>
      <c r="M465" s="65"/>
      <c r="N465" s="1071" t="s">
        <v>316</v>
      </c>
      <c r="O465" s="1072">
        <f>+K23</f>
        <v>0.7</v>
      </c>
      <c r="P465" s="1073" t="s">
        <v>0</v>
      </c>
      <c r="Q465" s="1075" t="s">
        <v>317</v>
      </c>
      <c r="R465" s="1076"/>
      <c r="S465" s="1077">
        <v>0</v>
      </c>
      <c r="T465" s="1078">
        <v>0</v>
      </c>
      <c r="U465" s="17"/>
      <c r="V465" s="17"/>
      <c r="W465" s="1047">
        <v>220</v>
      </c>
      <c r="X465" s="1047">
        <v>200</v>
      </c>
      <c r="Y465" s="1054">
        <v>64</v>
      </c>
      <c r="Z465" s="1055">
        <v>44.03</v>
      </c>
      <c r="AA465" s="1055">
        <f>Z465*16</f>
        <v>704.48</v>
      </c>
      <c r="AB465" s="1055">
        <f t="shared" si="25"/>
        <v>1408.96</v>
      </c>
      <c r="AC465" s="1055">
        <f t="shared" si="26"/>
        <v>2113.44</v>
      </c>
      <c r="AD465" s="17"/>
      <c r="AE465" s="17"/>
      <c r="AF465" s="17"/>
      <c r="AG465" s="31"/>
      <c r="AH465" s="17"/>
      <c r="AI465" s="13"/>
      <c r="AJ465" s="13"/>
      <c r="AK465" s="13"/>
      <c r="AL465" s="13"/>
      <c r="AM465" s="13"/>
      <c r="AN465" s="13"/>
      <c r="AO465" s="13"/>
    </row>
    <row r="466" spans="1:41" ht="19.899999999999999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7"/>
      <c r="M466" s="65"/>
      <c r="N466" s="1071" t="s">
        <v>318</v>
      </c>
      <c r="O466" s="1072">
        <f>+K16</f>
        <v>0.5</v>
      </c>
      <c r="P466" s="1073" t="s">
        <v>0</v>
      </c>
      <c r="Q466" s="1079" t="s">
        <v>319</v>
      </c>
      <c r="R466" s="19"/>
      <c r="S466" s="1080">
        <f>+IF(O466&lt;=1,IF(O466&lt;=0.8,IF(O466&lt;=0.6,IF(O466&lt;=0.5,IF(O466&lt;=0.4,IF(O466&lt;=0.35,0.115,0.14),0.19),0.25),0.335),0.435),"NO")</f>
        <v>0.19</v>
      </c>
      <c r="T466" s="17"/>
      <c r="U466" s="17"/>
      <c r="V466" s="17"/>
      <c r="W466" s="1047">
        <v>250</v>
      </c>
      <c r="X466" s="1047">
        <v>250</v>
      </c>
      <c r="Y466" s="1054">
        <v>72</v>
      </c>
      <c r="Z466" s="1055">
        <v>58.01</v>
      </c>
      <c r="AA466" s="1055">
        <f>Z466*16</f>
        <v>928.16</v>
      </c>
      <c r="AB466" s="1055">
        <f t="shared" si="25"/>
        <v>1856.32</v>
      </c>
      <c r="AC466" s="1055">
        <f t="shared" si="26"/>
        <v>2784.48</v>
      </c>
      <c r="AD466" s="17"/>
      <c r="AE466" s="17"/>
      <c r="AF466" s="17"/>
      <c r="AG466" s="31"/>
      <c r="AH466" s="17"/>
      <c r="AI466" s="13"/>
      <c r="AJ466" s="13"/>
      <c r="AK466" s="13"/>
      <c r="AL466" s="13"/>
      <c r="AM466" s="13"/>
      <c r="AN466" s="13"/>
      <c r="AO466" s="13"/>
    </row>
    <row r="467" spans="1:41" ht="19.899999999999999" customHeight="1" thickBo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7"/>
      <c r="M467" s="65"/>
      <c r="N467" s="1071" t="s">
        <v>320</v>
      </c>
      <c r="O467" s="1072">
        <f>+K21</f>
        <v>0.35</v>
      </c>
      <c r="P467" s="1073" t="s">
        <v>0</v>
      </c>
      <c r="Q467" s="1081" t="s">
        <v>321</v>
      </c>
      <c r="R467" s="1082"/>
      <c r="S467" s="1083">
        <f>+T467</f>
        <v>0</v>
      </c>
      <c r="T467" s="17">
        <f>+IF(OR(O463-O462=1,O463-O462=1.1,O463-O462=1.2),8,IF(OR(O463-O462=0.9,O463-O462=0.8,O463-O462=0.7,O463-O462=0.6),4,0))</f>
        <v>0</v>
      </c>
      <c r="U467" s="17" t="s">
        <v>322</v>
      </c>
      <c r="V467" s="17"/>
      <c r="W467" s="1084">
        <v>250</v>
      </c>
      <c r="X467" s="1084">
        <v>250</v>
      </c>
      <c r="Y467" s="1085">
        <v>80</v>
      </c>
      <c r="Z467" s="1086">
        <v>77.37</v>
      </c>
      <c r="AA467" s="1086">
        <f>Z467*16</f>
        <v>1237.92</v>
      </c>
      <c r="AB467" s="1086">
        <f t="shared" si="25"/>
        <v>2475.84</v>
      </c>
      <c r="AC467" s="1086">
        <f t="shared" si="26"/>
        <v>3713.76</v>
      </c>
      <c r="AD467" s="17"/>
      <c r="AE467" s="17"/>
      <c r="AF467" s="17"/>
      <c r="AG467" s="31"/>
      <c r="AH467" s="17"/>
      <c r="AI467" s="13"/>
      <c r="AJ467" s="14"/>
      <c r="AK467" s="14"/>
      <c r="AL467" s="13"/>
      <c r="AM467" s="13"/>
      <c r="AN467" s="13"/>
      <c r="AO467" s="13"/>
    </row>
    <row r="468" spans="1:41" ht="19.899999999999999" customHeight="1" thickBo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7"/>
      <c r="M468" s="65"/>
      <c r="N468" s="1087" t="s">
        <v>53</v>
      </c>
      <c r="O468" s="1088">
        <v>7.4999999999999997E-2</v>
      </c>
      <c r="P468" s="1089" t="s">
        <v>0</v>
      </c>
      <c r="Q468" s="1090" t="s">
        <v>323</v>
      </c>
      <c r="R468" s="1091">
        <v>0</v>
      </c>
      <c r="S468" s="1092">
        <f>+((ROUND(((Y478-W478)/2-2*O468-O466/2)/0.3-0.3,0)+1)*2+(ROUND((W478-O466-2*O468)/0.3-0.3,0)+1)+(ROUND(((X478-V478)/2-2*O468-O466/2)/0.3-0.3,0)+1)*2+(ROUND((V478-O466-2*O468)/0.3-0.3,0)+1))*2</f>
        <v>136</v>
      </c>
      <c r="T468" s="1093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31"/>
      <c r="AH468" s="17"/>
      <c r="AI468" s="13"/>
      <c r="AJ468" s="14"/>
      <c r="AK468" s="14"/>
      <c r="AL468" s="13"/>
      <c r="AM468" s="13"/>
      <c r="AN468" s="13"/>
      <c r="AO468" s="13"/>
    </row>
    <row r="469" spans="1:41" ht="19.899999999999999" customHeight="1" thickBo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7"/>
      <c r="M469" s="65"/>
      <c r="N469" s="17"/>
      <c r="O469" s="17"/>
      <c r="P469" s="17"/>
      <c r="Q469" s="1090" t="s">
        <v>324</v>
      </c>
      <c r="R469" s="1091" t="str">
        <f>+IF(O465=0.6,20,IF(O465=0.8,28,IF(O465=1,36,IF(O465=1.2,44,"kiem tra"))))</f>
        <v>kiem tra</v>
      </c>
      <c r="S469" s="1540" t="s">
        <v>325</v>
      </c>
      <c r="T469" s="1532"/>
      <c r="U469" s="1532"/>
      <c r="V469" s="1532"/>
      <c r="W469" s="1532"/>
      <c r="X469" s="1533"/>
      <c r="Y469" s="1540" t="s">
        <v>326</v>
      </c>
      <c r="Z469" s="1532"/>
      <c r="AA469" s="1532"/>
      <c r="AB469" s="1533"/>
      <c r="AC469" s="1540" t="s">
        <v>327</v>
      </c>
      <c r="AD469" s="1532"/>
      <c r="AE469" s="1532"/>
      <c r="AF469" s="1533"/>
      <c r="AG469" s="66"/>
      <c r="AH469" s="17"/>
      <c r="AI469" s="13"/>
      <c r="AJ469" s="14"/>
      <c r="AK469" s="14"/>
      <c r="AL469" s="13"/>
      <c r="AM469" s="13"/>
      <c r="AN469" s="13"/>
      <c r="AO469" s="13"/>
    </row>
    <row r="470" spans="1:41" ht="19.899999999999999" customHeight="1" thickBo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7"/>
      <c r="M470" s="65"/>
      <c r="N470" s="17"/>
      <c r="O470" s="17"/>
      <c r="P470" s="17"/>
      <c r="Q470" s="17"/>
      <c r="R470" s="17"/>
      <c r="S470" s="1541" t="s">
        <v>313</v>
      </c>
      <c r="T470" s="1542"/>
      <c r="U470" s="1543"/>
      <c r="V470" s="1544" t="s">
        <v>315</v>
      </c>
      <c r="W470" s="1542"/>
      <c r="X470" s="1543"/>
      <c r="Y470" s="1545" t="s">
        <v>313</v>
      </c>
      <c r="Z470" s="1546"/>
      <c r="AA470" s="1547" t="s">
        <v>435</v>
      </c>
      <c r="AB470" s="1548"/>
      <c r="AC470" s="1549" t="s">
        <v>313</v>
      </c>
      <c r="AD470" s="1550"/>
      <c r="AE470" s="1526" t="s">
        <v>435</v>
      </c>
      <c r="AF470" s="1527"/>
      <c r="AG470" s="31"/>
      <c r="AH470" s="17"/>
      <c r="AI470" s="13"/>
      <c r="AJ470" s="14"/>
      <c r="AK470" s="14"/>
      <c r="AL470" s="13"/>
      <c r="AM470" s="13"/>
      <c r="AN470" s="13"/>
      <c r="AO470" s="13"/>
    </row>
    <row r="471" spans="1:41" ht="19.899999999999999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7"/>
      <c r="M471" s="44" t="s">
        <v>328</v>
      </c>
      <c r="N471" s="1094" t="s">
        <v>329</v>
      </c>
      <c r="O471" s="1094" t="s">
        <v>330</v>
      </c>
      <c r="P471" s="1094" t="s">
        <v>331</v>
      </c>
      <c r="Q471" s="1094" t="s">
        <v>332</v>
      </c>
      <c r="R471" s="1095" t="s">
        <v>333</v>
      </c>
      <c r="S471" s="1096">
        <v>1</v>
      </c>
      <c r="T471" s="1097">
        <v>2</v>
      </c>
      <c r="U471" s="1098">
        <v>3</v>
      </c>
      <c r="V471" s="1096">
        <v>1</v>
      </c>
      <c r="W471" s="1097">
        <v>2</v>
      </c>
      <c r="X471" s="1098">
        <v>3</v>
      </c>
      <c r="Y471" s="1096" t="s">
        <v>334</v>
      </c>
      <c r="Z471" s="1098" t="s">
        <v>335</v>
      </c>
      <c r="AA471" s="1079" t="s">
        <v>336</v>
      </c>
      <c r="AB471" s="1098" t="s">
        <v>337</v>
      </c>
      <c r="AC471" s="1079" t="s">
        <v>338</v>
      </c>
      <c r="AD471" s="18" t="s">
        <v>339</v>
      </c>
      <c r="AE471" s="19" t="s">
        <v>338</v>
      </c>
      <c r="AF471" s="18" t="s">
        <v>339</v>
      </c>
      <c r="AG471" s="31"/>
      <c r="AH471" s="17"/>
      <c r="AI471" s="13"/>
      <c r="AJ471" s="14"/>
      <c r="AK471" s="14"/>
      <c r="AL471" s="13"/>
      <c r="AM471" s="13"/>
      <c r="AN471" s="13"/>
      <c r="AO471" s="13"/>
    </row>
    <row r="472" spans="1:41" ht="19.899999999999999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7"/>
      <c r="M472" s="45" t="s">
        <v>57</v>
      </c>
      <c r="N472" s="1099">
        <f>+VALUE(MID(C406,4,2))</f>
        <v>20</v>
      </c>
      <c r="O472" s="1099">
        <f>+VALUE(MID(C305,4,2))</f>
        <v>20</v>
      </c>
      <c r="P472" s="1099">
        <f>+O472</f>
        <v>20</v>
      </c>
      <c r="Q472" s="1099">
        <f>+O472</f>
        <v>20</v>
      </c>
      <c r="R472" s="1100">
        <f>+O472</f>
        <v>20</v>
      </c>
      <c r="S472" s="33">
        <f>+VALUE(LEFT(C236,2))</f>
        <v>12</v>
      </c>
      <c r="T472" s="1074">
        <f>+VALUE(LEFT(C264,2))</f>
        <v>12</v>
      </c>
      <c r="U472" s="32">
        <f>+T472</f>
        <v>12</v>
      </c>
      <c r="V472" s="33">
        <f>+S472</f>
        <v>12</v>
      </c>
      <c r="W472" s="1074">
        <f>+T472</f>
        <v>12</v>
      </c>
      <c r="X472" s="32">
        <f>+W472</f>
        <v>12</v>
      </c>
      <c r="Y472" s="33">
        <f>+S472</f>
        <v>12</v>
      </c>
      <c r="Z472" s="32">
        <f>+T472</f>
        <v>12</v>
      </c>
      <c r="AA472" s="1101">
        <f>+V472</f>
        <v>12</v>
      </c>
      <c r="AB472" s="32">
        <f>+W472</f>
        <v>12</v>
      </c>
      <c r="AC472" s="1101">
        <f>+Y472</f>
        <v>12</v>
      </c>
      <c r="AD472" s="1102">
        <f>+Z472</f>
        <v>12</v>
      </c>
      <c r="AE472" s="58">
        <f>+AA472</f>
        <v>12</v>
      </c>
      <c r="AF472" s="32">
        <f>+AB472</f>
        <v>12</v>
      </c>
      <c r="AG472" s="31"/>
      <c r="AH472" s="17"/>
      <c r="AI472" s="13"/>
      <c r="AJ472" s="14"/>
      <c r="AK472" s="14"/>
      <c r="AL472" s="13"/>
      <c r="AM472" s="13"/>
      <c r="AN472" s="13"/>
      <c r="AO472" s="13"/>
    </row>
    <row r="473" spans="1:41" ht="19.899999999999999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7"/>
      <c r="M473" s="46" t="s">
        <v>340</v>
      </c>
      <c r="N473" s="1103" t="str">
        <f>+LEFT(C406,2)</f>
        <v>08</v>
      </c>
      <c r="O473" s="1103" t="e">
        <f>+MAX(LEFT(#REF!,2),LEFT(C305,2))-P473</f>
        <v>#REF!</v>
      </c>
      <c r="P473" s="1104">
        <v>3</v>
      </c>
      <c r="Q473" s="1103" t="e">
        <f>+O473</f>
        <v>#REF!</v>
      </c>
      <c r="R473" s="1105">
        <f>+P473</f>
        <v>3</v>
      </c>
      <c r="S473" s="33">
        <f>+S463</f>
        <v>0.2</v>
      </c>
      <c r="T473" s="1074">
        <f>+T463</f>
        <v>0.2</v>
      </c>
      <c r="U473" s="32">
        <f>+T473</f>
        <v>0.2</v>
      </c>
      <c r="V473" s="33">
        <f>+S464</f>
        <v>0.2</v>
      </c>
      <c r="W473" s="1074">
        <f>+T464</f>
        <v>0.2</v>
      </c>
      <c r="X473" s="32">
        <f>+W473</f>
        <v>0.2</v>
      </c>
      <c r="Y473" s="1106"/>
      <c r="Z473" s="32"/>
      <c r="AA473" s="1107"/>
      <c r="AB473" s="32"/>
      <c r="AC473" s="1107"/>
      <c r="AD473" s="1102"/>
      <c r="AE473" s="34"/>
      <c r="AF473" s="32"/>
      <c r="AG473" s="31"/>
      <c r="AH473" s="17"/>
      <c r="AI473" s="13"/>
      <c r="AJ473" s="14"/>
      <c r="AK473" s="14"/>
      <c r="AL473" s="13"/>
      <c r="AM473" s="13"/>
      <c r="AN473" s="13"/>
      <c r="AO473" s="13"/>
    </row>
    <row r="474" spans="1:41" ht="19.899999999999999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7"/>
      <c r="M474" s="1528" t="s">
        <v>341</v>
      </c>
      <c r="N474" s="1108">
        <f>+N473*4-4</f>
        <v>28</v>
      </c>
      <c r="O474" s="1108" t="e">
        <f>+O473*2</f>
        <v>#REF!</v>
      </c>
      <c r="P474" s="1108">
        <f>+P473*2</f>
        <v>6</v>
      </c>
      <c r="Q474" s="1108" t="e">
        <f>+Q473*2</f>
        <v>#REF!</v>
      </c>
      <c r="R474" s="1109">
        <f>+R473*2</f>
        <v>6</v>
      </c>
      <c r="S474" s="33">
        <f>+ROUND(((O460-O459)/2-S466-O468)/S473,0)+1</f>
        <v>15</v>
      </c>
      <c r="T474" s="1074">
        <f>+ROUND(((O459-O461)/2-S466-O468)/T473,0)+1</f>
        <v>7</v>
      </c>
      <c r="U474" s="32">
        <f>+ROUND((O461+2*O468)/U473,0)-1</f>
        <v>5</v>
      </c>
      <c r="V474" s="33">
        <f>+ROUND(((Q460-Q459)/2-S466-O468)/V473,0)+1</f>
        <v>20</v>
      </c>
      <c r="W474" s="1074">
        <f>+ROUND(((Q459-Q461)/2-S466-O468)/W473,0)+1</f>
        <v>7</v>
      </c>
      <c r="X474" s="32">
        <f>+ROUND((Q461+2*O468)/X473,0)-1</f>
        <v>5</v>
      </c>
      <c r="Y474" s="1106">
        <f>+(S474-1)*2*S465</f>
        <v>0</v>
      </c>
      <c r="Z474" s="32">
        <f>+((U474+1)+(T474-1)*2)*T465</f>
        <v>0</v>
      </c>
      <c r="AA474" s="1107">
        <f>+(V474-1)*2*S465</f>
        <v>0</v>
      </c>
      <c r="AB474" s="35">
        <f>+((X474+1)+(W474-1)*2)*T465</f>
        <v>0</v>
      </c>
      <c r="AC474" s="1110">
        <f>+Y474</f>
        <v>0</v>
      </c>
      <c r="AD474" s="1111">
        <f>+((U474+1)+(T474-1)*2)*T465</f>
        <v>0</v>
      </c>
      <c r="AE474" s="36">
        <f>+AA474</f>
        <v>0</v>
      </c>
      <c r="AF474" s="35">
        <f>+((X474+1)+(W474-1)*2)*T465</f>
        <v>0</v>
      </c>
      <c r="AG474" s="31"/>
      <c r="AH474" s="17"/>
      <c r="AI474" s="25"/>
      <c r="AJ474" s="13"/>
      <c r="AK474" s="14"/>
      <c r="AL474" s="13"/>
      <c r="AM474" s="13"/>
      <c r="AN474" s="13"/>
      <c r="AO474" s="13"/>
    </row>
    <row r="475" spans="1:41" ht="19.899999999999999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7"/>
      <c r="M475" s="1529"/>
      <c r="N475" s="1112"/>
      <c r="O475" s="1113" t="s">
        <v>342</v>
      </c>
      <c r="P475" s="1114">
        <f>+ROUND(K28/2,1)+0.1</f>
        <v>2</v>
      </c>
      <c r="Q475" s="1112"/>
      <c r="R475" s="1115">
        <f>+ROUND(K26/2,1)+0.1</f>
        <v>1.5</v>
      </c>
      <c r="S475" s="1116">
        <f>+S474-1</f>
        <v>14</v>
      </c>
      <c r="T475" s="1112">
        <f>+T474-1</f>
        <v>6</v>
      </c>
      <c r="U475" s="1117"/>
      <c r="V475" s="1116">
        <f>+V474-1</f>
        <v>19</v>
      </c>
      <c r="W475" s="1112">
        <f>+W474-1</f>
        <v>6</v>
      </c>
      <c r="X475" s="1117"/>
      <c r="Y475" s="1118">
        <f t="shared" ref="Y475:AF475" si="27">+Y474</f>
        <v>0</v>
      </c>
      <c r="Z475" s="37">
        <f t="shared" si="27"/>
        <v>0</v>
      </c>
      <c r="AA475" s="1119">
        <f t="shared" si="27"/>
        <v>0</v>
      </c>
      <c r="AB475" s="37">
        <f t="shared" si="27"/>
        <v>0</v>
      </c>
      <c r="AC475" s="1119">
        <f t="shared" si="27"/>
        <v>0</v>
      </c>
      <c r="AD475" s="1120">
        <f t="shared" si="27"/>
        <v>0</v>
      </c>
      <c r="AE475" s="38">
        <f t="shared" si="27"/>
        <v>0</v>
      </c>
      <c r="AF475" s="37">
        <f t="shared" si="27"/>
        <v>0</v>
      </c>
      <c r="AG475" s="31"/>
      <c r="AH475" s="17"/>
      <c r="AI475" s="25"/>
      <c r="AJ475" s="13"/>
      <c r="AK475" s="14"/>
      <c r="AL475" s="13"/>
      <c r="AM475" s="13"/>
      <c r="AN475" s="13"/>
      <c r="AO475" s="13"/>
    </row>
    <row r="476" spans="1:41" ht="19.899999999999999" customHeight="1" thickBo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7"/>
      <c r="M476" s="47" t="s">
        <v>343</v>
      </c>
      <c r="N476" s="1121">
        <f>+O464-2*O468+0.25</f>
        <v>3.6</v>
      </c>
      <c r="O476" s="1121">
        <f>+Q460-2*O468</f>
        <v>11.85</v>
      </c>
      <c r="P476" s="1121">
        <f>+P475*2+O459</f>
        <v>8</v>
      </c>
      <c r="Q476" s="1121">
        <f>+O460-2*O468</f>
        <v>9.85</v>
      </c>
      <c r="R476" s="1122">
        <f>+R475*2+O459</f>
        <v>7</v>
      </c>
      <c r="S476" s="1123">
        <f>+O476</f>
        <v>11.85</v>
      </c>
      <c r="T476" s="1124">
        <f>+S476</f>
        <v>11.85</v>
      </c>
      <c r="U476" s="1125">
        <f>+(Q460/2-Q461/2-2*O468)</f>
        <v>5.35</v>
      </c>
      <c r="V476" s="1123">
        <f>+Q476</f>
        <v>9.85</v>
      </c>
      <c r="W476" s="1124">
        <f>+V476</f>
        <v>9.85</v>
      </c>
      <c r="X476" s="1125">
        <f>+(O460/2-O461/2-2*O468)</f>
        <v>4.3499999999999996</v>
      </c>
      <c r="Y476" s="1126"/>
      <c r="Z476" s="39"/>
      <c r="AA476" s="1126"/>
      <c r="AB476" s="39"/>
      <c r="AC476" s="1127"/>
      <c r="AD476" s="1128"/>
      <c r="AE476" s="40"/>
      <c r="AF476" s="39"/>
      <c r="AG476" s="31"/>
      <c r="AH476" s="17"/>
      <c r="AI476" s="13"/>
      <c r="AJ476" s="13"/>
      <c r="AK476" s="13"/>
      <c r="AL476" s="13"/>
      <c r="AM476" s="13"/>
      <c r="AN476" s="13"/>
      <c r="AO476" s="13"/>
    </row>
    <row r="477" spans="1:41" ht="19.899999999999999" customHeight="1" thickBo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7"/>
      <c r="M477" s="62"/>
      <c r="N477" s="41"/>
      <c r="O477" s="41"/>
      <c r="P477" s="41"/>
      <c r="Q477" s="41"/>
      <c r="R477" s="41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31"/>
      <c r="AH477" s="17"/>
      <c r="AI477" s="13"/>
      <c r="AJ477" s="13"/>
      <c r="AK477" s="13"/>
      <c r="AL477" s="13"/>
      <c r="AM477" s="13"/>
      <c r="AN477" s="13"/>
      <c r="AO477" s="13"/>
    </row>
    <row r="478" spans="1:41" ht="19.899999999999999" customHeight="1" thickBo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7"/>
      <c r="M478" s="48" t="s">
        <v>344</v>
      </c>
      <c r="N478" s="1129"/>
      <c r="O478" s="1129"/>
      <c r="P478" s="1129"/>
      <c r="Q478" s="1129"/>
      <c r="R478" s="1129"/>
      <c r="S478" s="1130"/>
      <c r="T478" s="17"/>
      <c r="U478" s="1131" t="s">
        <v>302</v>
      </c>
      <c r="V478" s="1132">
        <f>+O459</f>
        <v>4</v>
      </c>
      <c r="W478" s="1132">
        <f>+Q459</f>
        <v>4</v>
      </c>
      <c r="X478" s="1133">
        <f>+O460</f>
        <v>10</v>
      </c>
      <c r="Y478" s="1134">
        <f>+Q460</f>
        <v>12</v>
      </c>
      <c r="Z478" s="1135"/>
      <c r="AA478" s="1135"/>
      <c r="AB478" s="30"/>
      <c r="AC478" s="30"/>
      <c r="AD478" s="17"/>
      <c r="AE478" s="17"/>
      <c r="AF478" s="17"/>
      <c r="AG478" s="31"/>
      <c r="AH478" s="17"/>
      <c r="AI478" s="13"/>
      <c r="AJ478" s="14"/>
      <c r="AK478" s="14"/>
      <c r="AL478" s="13"/>
      <c r="AM478" s="13"/>
      <c r="AN478" s="13"/>
      <c r="AO478" s="13"/>
    </row>
    <row r="479" spans="1:41" ht="19.899999999999999" customHeight="1" thickBo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7"/>
      <c r="M479" s="49"/>
      <c r="N479" s="1136" t="s">
        <v>345</v>
      </c>
      <c r="O479" s="1136" t="s">
        <v>346</v>
      </c>
      <c r="P479" s="1136" t="s">
        <v>347</v>
      </c>
      <c r="Q479" s="1136" t="s">
        <v>348</v>
      </c>
      <c r="R479" s="1137" t="s">
        <v>349</v>
      </c>
      <c r="S479" s="1138" t="s">
        <v>350</v>
      </c>
      <c r="T479" s="1139" t="s">
        <v>140</v>
      </c>
      <c r="U479" s="1140" t="s">
        <v>351</v>
      </c>
      <c r="V479" s="1136" t="s">
        <v>57</v>
      </c>
      <c r="W479" s="1136" t="s">
        <v>352</v>
      </c>
      <c r="X479" s="1136" t="s">
        <v>353</v>
      </c>
      <c r="Y479" s="1138" t="s">
        <v>354</v>
      </c>
      <c r="Z479" s="1141"/>
      <c r="AA479" s="1141"/>
      <c r="AB479" s="30"/>
      <c r="AC479" s="30"/>
      <c r="AD479" s="17"/>
      <c r="AE479" s="17"/>
      <c r="AF479" s="17"/>
      <c r="AG479" s="31"/>
      <c r="AH479" s="17"/>
      <c r="AI479"/>
      <c r="AJ479" s="14"/>
      <c r="AK479" s="14"/>
      <c r="AL479" s="13"/>
      <c r="AM479" s="13"/>
      <c r="AN479" s="13"/>
      <c r="AO479" s="13"/>
    </row>
    <row r="480" spans="1:41" ht="19.899999999999999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7"/>
      <c r="M480" s="50" t="s">
        <v>355</v>
      </c>
      <c r="N480" s="1142">
        <f>X478</f>
        <v>10</v>
      </c>
      <c r="O480" s="1142">
        <f>Y478</f>
        <v>12</v>
      </c>
      <c r="P480" s="1142">
        <f>+O461</f>
        <v>1</v>
      </c>
      <c r="Q480" s="1142">
        <f>+Q461</f>
        <v>1</v>
      </c>
      <c r="R480" s="1142">
        <f>+O462</f>
        <v>0.35</v>
      </c>
      <c r="S480" s="1143">
        <f>(N480*O480-P480*Q480)*R480</f>
        <v>41.65</v>
      </c>
      <c r="T480" s="42"/>
      <c r="U480" s="1144">
        <v>1</v>
      </c>
      <c r="V480" s="1145">
        <f>+N472</f>
        <v>20</v>
      </c>
      <c r="W480" s="1146">
        <f>+N476</f>
        <v>3.6</v>
      </c>
      <c r="X480" s="1145">
        <f>+N474*4</f>
        <v>112</v>
      </c>
      <c r="Y480" s="1147">
        <f t="shared" ref="Y480:Y505" si="28">W480*X480</f>
        <v>403.2</v>
      </c>
      <c r="Z480" s="1148"/>
      <c r="AA480" s="1148"/>
      <c r="AB480" s="1149" t="s">
        <v>356</v>
      </c>
      <c r="AC480" s="30"/>
      <c r="AD480" s="30"/>
      <c r="AE480" s="30"/>
      <c r="AF480" s="17"/>
      <c r="AG480" s="31"/>
      <c r="AH480" s="17"/>
      <c r="AI480"/>
      <c r="AJ480" s="13"/>
      <c r="AK480" s="14"/>
      <c r="AL480" s="13"/>
      <c r="AM480" s="13"/>
      <c r="AN480" s="13"/>
      <c r="AO480" s="13"/>
    </row>
    <row r="481" spans="1:41" ht="19.899999999999999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7"/>
      <c r="M481" s="51" t="s">
        <v>357</v>
      </c>
      <c r="N481" s="1150">
        <f>+O466</f>
        <v>0.5</v>
      </c>
      <c r="O481" s="1151">
        <f>R481-R480</f>
        <v>0.65</v>
      </c>
      <c r="P481" s="1151">
        <f>N480</f>
        <v>10</v>
      </c>
      <c r="Q481" s="1151">
        <f>O480</f>
        <v>12</v>
      </c>
      <c r="R481" s="1150">
        <f>+O463</f>
        <v>1</v>
      </c>
      <c r="S481" s="1152">
        <f>(N481*O481*P481*2)+(N481*O481*(Q481-N481*2))*2</f>
        <v>13.65</v>
      </c>
      <c r="T481" s="1153"/>
      <c r="U481" s="1154" t="e">
        <f>+IF(OR(W481=0,X481=0),0,IF(U480=0,U479+1,U480+1))</f>
        <v>#REF!</v>
      </c>
      <c r="V481" s="1150">
        <f>O472</f>
        <v>20</v>
      </c>
      <c r="W481" s="1155">
        <f>+O476</f>
        <v>11.85</v>
      </c>
      <c r="X481" s="1150" t="e">
        <f>+O474*2</f>
        <v>#REF!</v>
      </c>
      <c r="Y481" s="1156" t="e">
        <f t="shared" si="28"/>
        <v>#REF!</v>
      </c>
      <c r="Z481" s="1148"/>
      <c r="AA481" s="1148"/>
      <c r="AB481" s="1149" t="s">
        <v>358</v>
      </c>
      <c r="AC481" s="30"/>
      <c r="AD481" s="30"/>
      <c r="AE481" s="30"/>
      <c r="AF481" s="17"/>
      <c r="AG481" s="31"/>
      <c r="AH481" s="17"/>
      <c r="AI481"/>
      <c r="AJ481" s="13"/>
      <c r="AK481" s="13"/>
      <c r="AL481" s="13"/>
      <c r="AM481" s="13"/>
      <c r="AN481" s="13"/>
      <c r="AO481" s="13"/>
    </row>
    <row r="482" spans="1:41" ht="19.899999999999999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7"/>
      <c r="M482" s="51" t="s">
        <v>359</v>
      </c>
      <c r="N482" s="1150">
        <f>+O467</f>
        <v>0.35</v>
      </c>
      <c r="O482" s="1150">
        <f>N482</f>
        <v>0.35</v>
      </c>
      <c r="P482" s="1150">
        <f>O481</f>
        <v>0.65</v>
      </c>
      <c r="Q482" s="1150"/>
      <c r="R482" s="1150"/>
      <c r="S482" s="1152">
        <f>((N482*O482)/2)*P482*16</f>
        <v>0.6369999999999999</v>
      </c>
      <c r="T482" s="1153"/>
      <c r="U482" s="1154" t="s">
        <v>360</v>
      </c>
      <c r="V482" s="1157">
        <f>+P472</f>
        <v>20</v>
      </c>
      <c r="W482" s="1158">
        <f>+P476</f>
        <v>8</v>
      </c>
      <c r="X482" s="1159">
        <f>+P474*2</f>
        <v>12</v>
      </c>
      <c r="Y482" s="1160">
        <f>W482*X482</f>
        <v>96</v>
      </c>
      <c r="Z482" s="20">
        <f>+Y482+Y483</f>
        <v>180</v>
      </c>
      <c r="AA482" s="21">
        <f>+X482+X483</f>
        <v>24</v>
      </c>
      <c r="AB482" s="1149" t="s">
        <v>361</v>
      </c>
      <c r="AC482" s="30"/>
      <c r="AD482" s="30"/>
      <c r="AE482" s="30"/>
      <c r="AF482" s="17"/>
      <c r="AG482" s="31"/>
      <c r="AH482" s="17"/>
      <c r="AI482"/>
      <c r="AJ482" s="13"/>
      <c r="AK482" s="13"/>
      <c r="AL482" s="13"/>
      <c r="AM482" s="13"/>
      <c r="AN482" s="13"/>
      <c r="AO482" s="13"/>
    </row>
    <row r="483" spans="1:41" ht="19.899999999999999" customHeight="1" thickBo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7"/>
      <c r="M483" s="52" t="s">
        <v>362</v>
      </c>
      <c r="N483" s="1161">
        <f>+O465</f>
        <v>0.7</v>
      </c>
      <c r="O483" s="1161">
        <f>N483</f>
        <v>0.7</v>
      </c>
      <c r="P483" s="1161"/>
      <c r="Q483" s="1161"/>
      <c r="R483" s="1162">
        <f>O464-(O481+R480)</f>
        <v>2.5</v>
      </c>
      <c r="S483" s="1163">
        <f>N483*O483*R483*4</f>
        <v>4.8999999999999995</v>
      </c>
      <c r="T483" s="1153"/>
      <c r="U483" s="1154" t="s">
        <v>363</v>
      </c>
      <c r="V483" s="1164">
        <f>+R472</f>
        <v>20</v>
      </c>
      <c r="W483" s="1165">
        <f>+R476</f>
        <v>7</v>
      </c>
      <c r="X483" s="1166">
        <f>+R474*2</f>
        <v>12</v>
      </c>
      <c r="Y483" s="1167">
        <f t="shared" si="28"/>
        <v>84</v>
      </c>
      <c r="Z483" s="20"/>
      <c r="AA483" s="21"/>
      <c r="AB483" s="1149"/>
      <c r="AC483" s="30"/>
      <c r="AD483" s="30"/>
      <c r="AE483" s="30"/>
      <c r="AF483" s="17"/>
      <c r="AG483" s="31"/>
      <c r="AH483" s="17"/>
      <c r="AI483"/>
      <c r="AJ483" s="13"/>
      <c r="AK483" s="13"/>
      <c r="AL483" s="13"/>
      <c r="AM483" s="13"/>
      <c r="AN483" s="13"/>
      <c r="AO483" s="13"/>
    </row>
    <row r="484" spans="1:41" ht="19.899999999999999" customHeight="1" thickBo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7"/>
      <c r="M484" s="53" t="s">
        <v>364</v>
      </c>
      <c r="N484" s="1168"/>
      <c r="O484" s="1168"/>
      <c r="P484" s="1168"/>
      <c r="Q484" s="1168"/>
      <c r="R484" s="1168"/>
      <c r="S484" s="1169">
        <f>SUM(S480:S483)</f>
        <v>60.836999999999996</v>
      </c>
      <c r="T484" s="1153"/>
      <c r="U484" s="1154" t="e">
        <f>+IF(OR(W484=0,X484=0),0,IF(U481=0,U480+1,U481+1))</f>
        <v>#REF!</v>
      </c>
      <c r="V484" s="1150">
        <f>Q472</f>
        <v>20</v>
      </c>
      <c r="W484" s="1155">
        <f>+Q476</f>
        <v>9.85</v>
      </c>
      <c r="X484" s="1150" t="e">
        <f>+Q474*2</f>
        <v>#REF!</v>
      </c>
      <c r="Y484" s="1156" t="e">
        <f t="shared" si="28"/>
        <v>#REF!</v>
      </c>
      <c r="Z484" s="1148"/>
      <c r="AA484" s="1148"/>
      <c r="AB484" s="1149"/>
      <c r="AC484" s="30"/>
      <c r="AD484" s="30"/>
      <c r="AE484" s="30"/>
      <c r="AF484" s="17"/>
      <c r="AG484" s="31"/>
      <c r="AH484" s="17"/>
      <c r="AI484"/>
      <c r="AJ484" s="13"/>
      <c r="AK484" s="13"/>
      <c r="AL484" s="13"/>
      <c r="AM484" s="13"/>
      <c r="AN484" s="13"/>
      <c r="AO484" s="13"/>
    </row>
    <row r="485" spans="1:41" ht="19.899999999999999" customHeight="1" thickBo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7"/>
      <c r="M485" s="54" t="s">
        <v>365</v>
      </c>
      <c r="N485" s="1170">
        <f>N480+0.1*2</f>
        <v>10.199999999999999</v>
      </c>
      <c r="O485" s="1136">
        <f>O480+0.1*2</f>
        <v>12.2</v>
      </c>
      <c r="P485" s="1136">
        <f>P480-0.1*2</f>
        <v>0.8</v>
      </c>
      <c r="Q485" s="1136">
        <f>Q480-0.1*2</f>
        <v>0.8</v>
      </c>
      <c r="R485" s="1138">
        <v>0.1</v>
      </c>
      <c r="S485" s="1171">
        <f>(N485*O485-P485*Q485)*R485</f>
        <v>12.379999999999999</v>
      </c>
      <c r="T485" s="1153"/>
      <c r="U485" s="1154">
        <v>4</v>
      </c>
      <c r="V485" s="1172">
        <f>+S472</f>
        <v>12</v>
      </c>
      <c r="W485" s="1173">
        <f>+S476</f>
        <v>11.85</v>
      </c>
      <c r="X485" s="1174">
        <f>+(S475+S474)*2+S467</f>
        <v>58</v>
      </c>
      <c r="Y485" s="1175">
        <f t="shared" si="28"/>
        <v>687.3</v>
      </c>
      <c r="Z485" s="20">
        <f>+Y485+Y486</f>
        <v>995.39999999999986</v>
      </c>
      <c r="AA485" s="21">
        <f>+X485+X486</f>
        <v>84</v>
      </c>
      <c r="AB485" s="1176" t="s">
        <v>366</v>
      </c>
      <c r="AC485" s="1177"/>
      <c r="AD485" s="17"/>
      <c r="AE485" s="17"/>
      <c r="AF485" s="17"/>
      <c r="AG485" s="31"/>
      <c r="AH485" s="17"/>
      <c r="AI485"/>
      <c r="AJ485" s="14"/>
      <c r="AK485" s="14"/>
      <c r="AL485" s="13"/>
      <c r="AM485" s="13"/>
      <c r="AN485" s="13"/>
      <c r="AO485" s="13"/>
    </row>
    <row r="486" spans="1:41" ht="19.899999999999999" customHeight="1" thickBo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7"/>
      <c r="M486" s="55" t="s">
        <v>367</v>
      </c>
      <c r="N486" s="1178">
        <f>N480+R486*2</f>
        <v>10</v>
      </c>
      <c r="O486" s="1178">
        <f>O480+R486*2</f>
        <v>12</v>
      </c>
      <c r="P486" s="1178">
        <f>N486+R486*2</f>
        <v>10</v>
      </c>
      <c r="Q486" s="1178">
        <f>O486+R486*2</f>
        <v>12</v>
      </c>
      <c r="R486" s="1179">
        <v>0</v>
      </c>
      <c r="S486" s="1180">
        <f>R486/6*((N486*O486)+(N486+P486)*(O486+Q486)+(P486*Q486))</f>
        <v>0</v>
      </c>
      <c r="T486" s="1153"/>
      <c r="U486" s="1154" t="s">
        <v>368</v>
      </c>
      <c r="V486" s="1181">
        <f>+T472</f>
        <v>12</v>
      </c>
      <c r="W486" s="1182">
        <f>+T476</f>
        <v>11.85</v>
      </c>
      <c r="X486" s="1181">
        <f>+(T475+T474)*2</f>
        <v>26</v>
      </c>
      <c r="Y486" s="1183">
        <f t="shared" si="28"/>
        <v>308.09999999999997</v>
      </c>
      <c r="Z486" s="20"/>
      <c r="AA486" s="21"/>
      <c r="AB486" s="1176" t="s">
        <v>369</v>
      </c>
      <c r="AC486" s="1177"/>
      <c r="AD486" s="17"/>
      <c r="AE486" s="17"/>
      <c r="AF486" s="17"/>
      <c r="AG486" s="31"/>
      <c r="AH486" s="17"/>
      <c r="AI486"/>
      <c r="AJ486" s="14"/>
      <c r="AK486" s="13"/>
      <c r="AL486" s="13"/>
      <c r="AM486" s="14"/>
      <c r="AN486" s="13"/>
      <c r="AO486" s="13"/>
    </row>
    <row r="487" spans="1:41" ht="19.899999999999999" customHeight="1" thickBo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7"/>
      <c r="M487" s="56" t="s">
        <v>370</v>
      </c>
      <c r="N487" s="1136">
        <f>N486</f>
        <v>10</v>
      </c>
      <c r="O487" s="1136">
        <f>O486</f>
        <v>12</v>
      </c>
      <c r="P487" s="1136">
        <f>N487+R487*2</f>
        <v>17.2</v>
      </c>
      <c r="Q487" s="1136">
        <f>O487+R487*2</f>
        <v>19.2</v>
      </c>
      <c r="R487" s="1138">
        <f>+O464+R486+R485</f>
        <v>3.6</v>
      </c>
      <c r="S487" s="1184">
        <f>R487/6*((N487*O487)+(N487+P487)*(O487+Q487)+(P487*Q487))</f>
        <v>779.32799999999986</v>
      </c>
      <c r="T487" s="1153"/>
      <c r="U487" s="1154" t="s">
        <v>371</v>
      </c>
      <c r="V487" s="17">
        <f>+Y472</f>
        <v>12</v>
      </c>
      <c r="W487" s="1155">
        <f>+Y476</f>
        <v>0</v>
      </c>
      <c r="X487" s="17">
        <f>+(Y474+Y475)*2</f>
        <v>0</v>
      </c>
      <c r="Y487" s="1156">
        <f t="shared" si="28"/>
        <v>0</v>
      </c>
      <c r="Z487" s="20">
        <f>+Y487+Y488</f>
        <v>0</v>
      </c>
      <c r="AA487" s="21">
        <f>+X487+X488</f>
        <v>0</v>
      </c>
      <c r="AB487" s="1185" t="s">
        <v>372</v>
      </c>
      <c r="AC487" s="1186"/>
      <c r="AD487" s="17"/>
      <c r="AE487" s="17"/>
      <c r="AF487" s="17"/>
      <c r="AG487" s="31"/>
      <c r="AH487" s="17"/>
      <c r="AI487"/>
      <c r="AJ487" s="14"/>
      <c r="AK487" s="13"/>
      <c r="AL487" s="13"/>
      <c r="AM487" s="14"/>
      <c r="AN487" s="13"/>
      <c r="AO487" s="13"/>
    </row>
    <row r="488" spans="1:41" ht="19.899999999999999" customHeight="1" thickBo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7"/>
      <c r="M488" s="57" t="s">
        <v>373</v>
      </c>
      <c r="N488" s="1187">
        <f>N480</f>
        <v>10</v>
      </c>
      <c r="O488" s="1187">
        <f>O480</f>
        <v>12</v>
      </c>
      <c r="P488" s="1188">
        <f>N488+R488*2</f>
        <v>11</v>
      </c>
      <c r="Q488" s="1188">
        <f>O488+R488*2</f>
        <v>13</v>
      </c>
      <c r="R488" s="1188">
        <v>0.5</v>
      </c>
      <c r="S488" s="1184">
        <f>(R488/6*((N488*O488)+(N488+P488)*(O488+Q488)+(P488*Q488)))-(N483*O483*R488*4)</f>
        <v>64.686666666666653</v>
      </c>
      <c r="T488" s="1153"/>
      <c r="U488" s="1154" t="s">
        <v>374</v>
      </c>
      <c r="V488" s="1074">
        <f>+Z472</f>
        <v>12</v>
      </c>
      <c r="W488" s="1155">
        <f>+Z476</f>
        <v>0</v>
      </c>
      <c r="X488" s="1150">
        <f>+(Z474+Z475)*2</f>
        <v>0</v>
      </c>
      <c r="Y488" s="1156">
        <f t="shared" si="28"/>
        <v>0</v>
      </c>
      <c r="Z488" s="22"/>
      <c r="AA488" s="21"/>
      <c r="AB488" s="1185" t="s">
        <v>375</v>
      </c>
      <c r="AC488" s="17"/>
      <c r="AD488" s="17"/>
      <c r="AE488" s="17"/>
      <c r="AF488" s="17"/>
      <c r="AG488" s="31"/>
      <c r="AH488" s="17"/>
      <c r="AI488" s="13"/>
      <c r="AJ488" s="14"/>
      <c r="AK488" s="13"/>
      <c r="AL488" s="23"/>
      <c r="AM488" s="13"/>
      <c r="AN488" s="13"/>
      <c r="AO488" s="14"/>
    </row>
    <row r="489" spans="1:41" ht="19.899999999999999" customHeight="1" thickBo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7"/>
      <c r="M489" s="57" t="s">
        <v>376</v>
      </c>
      <c r="N489" s="1188"/>
      <c r="O489" s="1188"/>
      <c r="P489" s="1188"/>
      <c r="Q489" s="1188"/>
      <c r="R489" s="1188"/>
      <c r="S489" s="1189">
        <f>S487-S486-S485-S484+S488+(N483*O483*(1-R488)*4)</f>
        <v>771.77766666666651</v>
      </c>
      <c r="T489" s="1153"/>
      <c r="U489" s="1154" t="s">
        <v>377</v>
      </c>
      <c r="V489" s="1074">
        <f>+AC472</f>
        <v>12</v>
      </c>
      <c r="W489" s="1190">
        <f>+AC476</f>
        <v>0</v>
      </c>
      <c r="X489" s="1150">
        <f>+(AC474+AC475)*2</f>
        <v>0</v>
      </c>
      <c r="Y489" s="1156">
        <f t="shared" si="28"/>
        <v>0</v>
      </c>
      <c r="Z489" s="20"/>
      <c r="AA489" s="21"/>
      <c r="AB489" s="1185" t="s">
        <v>378</v>
      </c>
      <c r="AC489" s="24"/>
      <c r="AD489" s="17"/>
      <c r="AE489" s="17"/>
      <c r="AF489" s="17"/>
      <c r="AG489" s="31"/>
      <c r="AH489" s="17"/>
      <c r="AI489" s="13"/>
      <c r="AJ489" s="14"/>
      <c r="AK489" s="13"/>
      <c r="AL489" s="15"/>
      <c r="AM489" s="13"/>
      <c r="AN489" s="13"/>
      <c r="AO489" s="13"/>
    </row>
    <row r="490" spans="1:41" ht="19.899999999999999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7"/>
      <c r="M490" s="69"/>
      <c r="N490" s="1141"/>
      <c r="O490" s="1141"/>
      <c r="P490" s="1141"/>
      <c r="Q490" s="1141"/>
      <c r="R490" s="1141"/>
      <c r="S490" s="1191"/>
      <c r="T490" s="1153"/>
      <c r="U490" s="1154" t="s">
        <v>379</v>
      </c>
      <c r="V490" s="1074">
        <f>+AD472</f>
        <v>12</v>
      </c>
      <c r="W490" s="1190">
        <f>+AD476</f>
        <v>0</v>
      </c>
      <c r="X490" s="1150">
        <f>+(AD474+AD475)*2</f>
        <v>0</v>
      </c>
      <c r="Y490" s="1156">
        <f t="shared" si="28"/>
        <v>0</v>
      </c>
      <c r="Z490" s="43"/>
      <c r="AA490" s="21"/>
      <c r="AB490" s="1185" t="s">
        <v>380</v>
      </c>
      <c r="AC490" s="24"/>
      <c r="AD490" s="17"/>
      <c r="AE490" s="17"/>
      <c r="AF490" s="17"/>
      <c r="AG490" s="31"/>
      <c r="AH490" s="17"/>
      <c r="AI490" s="13"/>
      <c r="AJ490" s="14"/>
      <c r="AK490" s="13"/>
      <c r="AL490" s="15"/>
      <c r="AM490" s="13"/>
      <c r="AN490" s="13"/>
      <c r="AO490" s="13"/>
    </row>
    <row r="491" spans="1:41" ht="19.899999999999999" customHeight="1" thickBo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7"/>
      <c r="M491" s="70" t="s">
        <v>381</v>
      </c>
      <c r="N491" s="30"/>
      <c r="O491" s="30"/>
      <c r="P491" s="30"/>
      <c r="Q491" s="30"/>
      <c r="R491" s="30"/>
      <c r="S491" s="1186"/>
      <c r="T491" s="1153"/>
      <c r="U491" s="1154">
        <v>5</v>
      </c>
      <c r="V491" s="1150">
        <f>+U472</f>
        <v>12</v>
      </c>
      <c r="W491" s="1155">
        <f>+U476</f>
        <v>5.35</v>
      </c>
      <c r="X491" s="1150">
        <f>+U474*4</f>
        <v>20</v>
      </c>
      <c r="Y491" s="1156">
        <f t="shared" si="28"/>
        <v>107</v>
      </c>
      <c r="Z491" s="30"/>
      <c r="AA491" s="17"/>
      <c r="AB491" s="1176" t="s">
        <v>382</v>
      </c>
      <c r="AC491" s="1177"/>
      <c r="AD491" s="17"/>
      <c r="AE491" s="17"/>
      <c r="AF491" s="17"/>
      <c r="AG491" s="31"/>
      <c r="AH491" s="17"/>
      <c r="AI491" s="13"/>
      <c r="AJ491" s="13"/>
      <c r="AK491" s="13"/>
      <c r="AL491" s="13"/>
      <c r="AM491" s="13"/>
      <c r="AN491" s="13"/>
      <c r="AO491" s="13"/>
    </row>
    <row r="492" spans="1:41" ht="19.899999999999999" customHeight="1" thickBo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7"/>
      <c r="M492" s="59" t="s">
        <v>57</v>
      </c>
      <c r="N492" s="1192" t="s">
        <v>352</v>
      </c>
      <c r="O492" s="1192" t="s">
        <v>383</v>
      </c>
      <c r="P492" s="1192" t="s">
        <v>384</v>
      </c>
      <c r="Q492" s="1193" t="s">
        <v>354</v>
      </c>
      <c r="R492" s="1194" t="s">
        <v>385</v>
      </c>
      <c r="S492" s="1186"/>
      <c r="T492" s="1153"/>
      <c r="U492" s="1154">
        <v>6</v>
      </c>
      <c r="V492" s="1172">
        <f>+V472</f>
        <v>12</v>
      </c>
      <c r="W492" s="1173">
        <f>+V476</f>
        <v>9.85</v>
      </c>
      <c r="X492" s="1174">
        <f>+(V475+V474)*2+S467</f>
        <v>78</v>
      </c>
      <c r="Y492" s="1175">
        <f t="shared" si="28"/>
        <v>768.3</v>
      </c>
      <c r="Z492" s="20">
        <f>+Y492+Y493</f>
        <v>1024.3999999999999</v>
      </c>
      <c r="AA492" s="21">
        <f>+X492+X493</f>
        <v>104</v>
      </c>
      <c r="AB492" s="1176" t="s">
        <v>386</v>
      </c>
      <c r="AC492" s="1177"/>
      <c r="AD492" s="17"/>
      <c r="AE492" s="17"/>
      <c r="AF492" s="17"/>
      <c r="AG492" s="31"/>
      <c r="AH492" s="17"/>
      <c r="AI492" s="13"/>
      <c r="AJ492" s="13"/>
      <c r="AK492" s="13"/>
      <c r="AL492" s="13"/>
      <c r="AM492" s="13"/>
      <c r="AN492" s="13"/>
      <c r="AO492" s="13"/>
    </row>
    <row r="493" spans="1:41" ht="19.899999999999999" customHeight="1" thickBo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7"/>
      <c r="M493" s="42">
        <v>25</v>
      </c>
      <c r="N493" s="1195">
        <f t="shared" ref="N493:N501" si="29">+SUMIF($V$480:$V$505,M493,$Y$480:$Y$505)</f>
        <v>0</v>
      </c>
      <c r="O493" s="1196">
        <f>+M493^2*3.14/1000000*7850/4</f>
        <v>3.8514062499999997</v>
      </c>
      <c r="P493" s="1197">
        <f t="shared" ref="P493:P501" si="30">+ROUND(N493*O493,2)</f>
        <v>0</v>
      </c>
      <c r="Q493" s="1198" t="e">
        <f>+SUM(P493:P501)</f>
        <v>#REF!</v>
      </c>
      <c r="R493" s="1059" t="e">
        <f>+Q493/S484</f>
        <v>#REF!</v>
      </c>
      <c r="S493" s="30"/>
      <c r="T493" s="1153"/>
      <c r="U493" s="1154">
        <v>6</v>
      </c>
      <c r="V493" s="1181">
        <f>+W472</f>
        <v>12</v>
      </c>
      <c r="W493" s="1182">
        <f>+W476</f>
        <v>9.85</v>
      </c>
      <c r="X493" s="1181">
        <f>+(W475+W474)*2</f>
        <v>26</v>
      </c>
      <c r="Y493" s="1183">
        <f t="shared" si="28"/>
        <v>256.09999999999997</v>
      </c>
      <c r="Z493" s="20"/>
      <c r="AA493" s="21"/>
      <c r="AB493" s="1176" t="s">
        <v>387</v>
      </c>
      <c r="AC493" s="1177"/>
      <c r="AD493" s="17"/>
      <c r="AE493" s="17"/>
      <c r="AF493" s="17"/>
      <c r="AG493" s="31"/>
      <c r="AH493" s="17"/>
      <c r="AI493" s="13"/>
      <c r="AJ493" s="13"/>
      <c r="AK493" s="13"/>
      <c r="AL493" s="13"/>
      <c r="AM493" s="13"/>
      <c r="AN493" s="13"/>
      <c r="AO493" s="13"/>
    </row>
    <row r="494" spans="1:41" ht="19.899999999999999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7"/>
      <c r="M494" s="33">
        <v>22</v>
      </c>
      <c r="N494" s="1199">
        <f t="shared" si="29"/>
        <v>0</v>
      </c>
      <c r="O494" s="1200">
        <f>+M494^2*3.14/1000000*7850/4</f>
        <v>2.982529</v>
      </c>
      <c r="P494" s="1201">
        <f t="shared" si="30"/>
        <v>0</v>
      </c>
      <c r="Q494" s="32"/>
      <c r="R494" s="30"/>
      <c r="S494" s="30"/>
      <c r="T494" s="1153"/>
      <c r="U494" s="1154" t="s">
        <v>388</v>
      </c>
      <c r="V494" s="17">
        <f>+AA472</f>
        <v>12</v>
      </c>
      <c r="W494" s="1202">
        <f>+AA476</f>
        <v>0</v>
      </c>
      <c r="X494" s="17">
        <f>+(AA474+AA475)*2</f>
        <v>0</v>
      </c>
      <c r="Y494" s="1156">
        <f t="shared" si="28"/>
        <v>0</v>
      </c>
      <c r="Z494" s="20">
        <f>+Y494+Y495</f>
        <v>0</v>
      </c>
      <c r="AA494" s="21">
        <f>+X494+X495</f>
        <v>0</v>
      </c>
      <c r="AB494" s="1185" t="s">
        <v>372</v>
      </c>
      <c r="AC494" s="1177"/>
      <c r="AD494" s="17"/>
      <c r="AE494" s="17"/>
      <c r="AF494" s="17"/>
      <c r="AG494" s="31"/>
      <c r="AH494" s="17"/>
      <c r="AI494" s="13"/>
      <c r="AJ494" s="13"/>
      <c r="AK494" s="13"/>
      <c r="AL494" s="13"/>
      <c r="AM494" s="13"/>
      <c r="AN494" s="13"/>
      <c r="AO494" s="13"/>
    </row>
    <row r="495" spans="1:41" ht="19.899999999999999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7"/>
      <c r="M495" s="33">
        <v>20</v>
      </c>
      <c r="N495" s="1199" t="e">
        <f t="shared" si="29"/>
        <v>#REF!</v>
      </c>
      <c r="O495" s="1200">
        <f t="shared" ref="O495:O501" si="31">+M495^2*3.14/1000000*7850/4</f>
        <v>2.4649000000000001</v>
      </c>
      <c r="P495" s="1201" t="e">
        <f t="shared" si="30"/>
        <v>#REF!</v>
      </c>
      <c r="Q495" s="32"/>
      <c r="R495" s="1203"/>
      <c r="S495" s="30"/>
      <c r="T495" s="1153"/>
      <c r="U495" s="1154" t="s">
        <v>389</v>
      </c>
      <c r="V495" s="1074">
        <f>+AB472</f>
        <v>12</v>
      </c>
      <c r="W495" s="1190">
        <f>+AB476</f>
        <v>0</v>
      </c>
      <c r="X495" s="1150">
        <f>+(AB474+AB475)*2</f>
        <v>0</v>
      </c>
      <c r="Y495" s="1156">
        <f t="shared" si="28"/>
        <v>0</v>
      </c>
      <c r="Z495" s="22"/>
      <c r="AA495" s="21"/>
      <c r="AB495" s="1185" t="s">
        <v>375</v>
      </c>
      <c r="AC495" s="17"/>
      <c r="AD495" s="17"/>
      <c r="AE495" s="17"/>
      <c r="AF495" s="17"/>
      <c r="AG495" s="31"/>
      <c r="AH495" s="17"/>
      <c r="AI495" s="13"/>
      <c r="AJ495" s="13"/>
      <c r="AK495" s="13"/>
      <c r="AL495" s="13"/>
      <c r="AM495" s="13"/>
      <c r="AN495" s="13"/>
      <c r="AO495" s="13"/>
    </row>
    <row r="496" spans="1:41" ht="19.899999999999999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7"/>
      <c r="M496" s="60">
        <v>18</v>
      </c>
      <c r="N496" s="1199">
        <f t="shared" si="29"/>
        <v>0</v>
      </c>
      <c r="O496" s="1200">
        <f t="shared" si="31"/>
        <v>1.9965689999999998</v>
      </c>
      <c r="P496" s="1201">
        <f t="shared" si="30"/>
        <v>0</v>
      </c>
      <c r="Q496" s="35"/>
      <c r="R496" s="30"/>
      <c r="S496" s="30"/>
      <c r="T496" s="1153"/>
      <c r="U496" s="1154" t="s">
        <v>390</v>
      </c>
      <c r="V496" s="1074">
        <f>+AE472</f>
        <v>12</v>
      </c>
      <c r="W496" s="1190">
        <f>+AE476</f>
        <v>0</v>
      </c>
      <c r="X496" s="1150">
        <f>+(AE474+AE475)*2</f>
        <v>0</v>
      </c>
      <c r="Y496" s="1156">
        <f t="shared" si="28"/>
        <v>0</v>
      </c>
      <c r="Z496" s="17"/>
      <c r="AA496" s="17"/>
      <c r="AB496" s="1185" t="s">
        <v>378</v>
      </c>
      <c r="AC496" s="1177"/>
      <c r="AD496" s="17"/>
      <c r="AE496" s="17"/>
      <c r="AF496" s="17"/>
      <c r="AG496" s="31"/>
      <c r="AH496" s="17"/>
      <c r="AI496" s="13"/>
      <c r="AJ496" s="13"/>
      <c r="AK496" s="13"/>
      <c r="AL496" s="13"/>
      <c r="AM496" s="13"/>
      <c r="AN496" s="13"/>
      <c r="AO496" s="13"/>
    </row>
    <row r="497" spans="1:41" ht="19.899999999999999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7"/>
      <c r="M497" s="33">
        <v>16</v>
      </c>
      <c r="N497" s="1199">
        <f t="shared" si="29"/>
        <v>0</v>
      </c>
      <c r="O497" s="1200">
        <f t="shared" si="31"/>
        <v>1.577536</v>
      </c>
      <c r="P497" s="1201">
        <f t="shared" si="30"/>
        <v>0</v>
      </c>
      <c r="Q497" s="32"/>
      <c r="R497" s="1203"/>
      <c r="S497" s="30"/>
      <c r="T497" s="1153"/>
      <c r="U497" s="1154" t="s">
        <v>421</v>
      </c>
      <c r="V497" s="1074">
        <f>+AF472</f>
        <v>12</v>
      </c>
      <c r="W497" s="1190">
        <f>+AF476</f>
        <v>0</v>
      </c>
      <c r="X497" s="1150">
        <f>+(AF474+AF475)*2</f>
        <v>0</v>
      </c>
      <c r="Y497" s="1156">
        <f t="shared" si="28"/>
        <v>0</v>
      </c>
      <c r="Z497" s="17"/>
      <c r="AA497" s="17"/>
      <c r="AB497" s="1185" t="s">
        <v>380</v>
      </c>
      <c r="AC497" s="1177"/>
      <c r="AD497" s="17"/>
      <c r="AE497" s="17"/>
      <c r="AF497" s="17"/>
      <c r="AG497" s="31"/>
      <c r="AH497" s="17"/>
      <c r="AI497" s="13"/>
      <c r="AJ497" s="13"/>
      <c r="AK497" s="13"/>
      <c r="AL497" s="13"/>
      <c r="AM497" s="13"/>
      <c r="AN497" s="13"/>
      <c r="AO497" s="13"/>
    </row>
    <row r="498" spans="1:41" ht="19.899999999999999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7"/>
      <c r="M498" s="60">
        <v>14</v>
      </c>
      <c r="N498" s="1199">
        <f t="shared" si="29"/>
        <v>0</v>
      </c>
      <c r="O498" s="1200">
        <f t="shared" si="31"/>
        <v>1.2078010000000001</v>
      </c>
      <c r="P498" s="1201">
        <f t="shared" si="30"/>
        <v>0</v>
      </c>
      <c r="Q498" s="35"/>
      <c r="R498" s="1203"/>
      <c r="S498" s="30"/>
      <c r="T498" s="1153"/>
      <c r="U498" s="1154">
        <v>7</v>
      </c>
      <c r="V498" s="1074">
        <f>+X472</f>
        <v>12</v>
      </c>
      <c r="W498" s="1155">
        <f>+X476</f>
        <v>4.3499999999999996</v>
      </c>
      <c r="X498" s="1150">
        <f>+X474*4</f>
        <v>20</v>
      </c>
      <c r="Y498" s="1156">
        <f t="shared" si="28"/>
        <v>87</v>
      </c>
      <c r="Z498" s="30"/>
      <c r="AA498" s="30"/>
      <c r="AB498" s="1176" t="s">
        <v>391</v>
      </c>
      <c r="AC498" s="1177"/>
      <c r="AD498" s="17"/>
      <c r="AE498" s="17"/>
      <c r="AF498" s="17"/>
      <c r="AG498" s="31"/>
      <c r="AH498" s="17"/>
      <c r="AI498" s="13"/>
      <c r="AJ498" s="13"/>
      <c r="AK498" s="13"/>
      <c r="AL498" s="13"/>
      <c r="AM498" s="13"/>
      <c r="AN498" s="13"/>
      <c r="AO498" s="13"/>
    </row>
    <row r="499" spans="1:41" ht="19.899999999999999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7"/>
      <c r="M499" s="60">
        <v>12</v>
      </c>
      <c r="N499" s="1199">
        <f t="shared" si="29"/>
        <v>2213.7999999999997</v>
      </c>
      <c r="O499" s="1200">
        <f t="shared" si="31"/>
        <v>0.88736400000000004</v>
      </c>
      <c r="P499" s="1201">
        <f t="shared" si="30"/>
        <v>1964.45</v>
      </c>
      <c r="Q499" s="35"/>
      <c r="R499" s="17"/>
      <c r="S499" s="30"/>
      <c r="T499" s="1153"/>
      <c r="U499" s="1154">
        <v>8</v>
      </c>
      <c r="V499" s="1074">
        <v>10</v>
      </c>
      <c r="W499" s="1155">
        <f>+O462-2*O468-2*S472/1000+0.1</f>
        <v>0.27600000000000002</v>
      </c>
      <c r="X499" s="1150">
        <f>+ROUND(S474/2-0.5,0)*ROUND(V474/2-0.5,0)*4+ROUND(S474/2-0.5,0)*ROUND(W474/2-0.5,0)*4+ROUND(T474/2-0.5,0)*ROUND(V474/2-0.5,0)*4+ROUND(T474/2-0.5,0)*ROUND(W474/2-0.5,0)*4+ROUND(U474/2-0.5,0)*(ROUND(V474/2-0.5,0)+ROUND(W474/2-0.5,0))*2+ROUND(X474/2-0.5,0)*(ROUND(S474/2-0.5,0)+ROUND(T474/2-0.5,0))*2</f>
        <v>612</v>
      </c>
      <c r="Y499" s="1156">
        <f t="shared" si="28"/>
        <v>168.91200000000001</v>
      </c>
      <c r="Z499" s="30">
        <f>+O462-2*O468-2*S472/1000</f>
        <v>0.17599999999999999</v>
      </c>
      <c r="AA499" s="30"/>
      <c r="AB499" s="1176" t="s">
        <v>392</v>
      </c>
      <c r="AC499" s="1177"/>
      <c r="AD499" s="17"/>
      <c r="AE499" s="17"/>
      <c r="AF499" s="17"/>
      <c r="AG499" s="31"/>
      <c r="AH499" s="17"/>
      <c r="AI499" s="13"/>
      <c r="AJ499" s="13"/>
      <c r="AK499" s="13"/>
      <c r="AL499" s="13"/>
      <c r="AM499" s="13"/>
      <c r="AN499" s="13"/>
      <c r="AO499" s="13"/>
    </row>
    <row r="500" spans="1:41" ht="19.899999999999999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7"/>
      <c r="M500" s="60">
        <v>10</v>
      </c>
      <c r="N500" s="1199" t="e">
        <f t="shared" si="29"/>
        <v>#VALUE!</v>
      </c>
      <c r="O500" s="1200">
        <f t="shared" si="31"/>
        <v>0.61622500000000002</v>
      </c>
      <c r="P500" s="1201" t="e">
        <f t="shared" si="30"/>
        <v>#VALUE!</v>
      </c>
      <c r="Q500" s="35"/>
      <c r="R500" s="1204"/>
      <c r="S500" s="30"/>
      <c r="T500" s="1153"/>
      <c r="U500" s="1154">
        <v>9</v>
      </c>
      <c r="V500" s="1205">
        <v>8</v>
      </c>
      <c r="W500" s="1155">
        <f>+(O466-2*O468+0.02)*2+(O463-2*O468+0.02)*2+0.06*2</f>
        <v>2.6</v>
      </c>
      <c r="X500" s="1206">
        <f>+S468+4</f>
        <v>140</v>
      </c>
      <c r="Y500" s="1156">
        <f t="shared" si="28"/>
        <v>364</v>
      </c>
      <c r="Z500" s="30">
        <f>+(O466-2*O468+0.02)</f>
        <v>0.37</v>
      </c>
      <c r="AA500" s="30">
        <f>+(O463-2*O468+0.02)</f>
        <v>0.87</v>
      </c>
      <c r="AB500" s="1176" t="s">
        <v>393</v>
      </c>
      <c r="AC500" s="1177"/>
      <c r="AD500" s="17"/>
      <c r="AE500" s="17"/>
      <c r="AF500" s="17"/>
      <c r="AG500" s="31"/>
      <c r="AH500" s="17"/>
      <c r="AI500" s="13"/>
      <c r="AJ500" s="13"/>
      <c r="AK500" s="13"/>
      <c r="AL500" s="13"/>
      <c r="AM500" s="13"/>
      <c r="AN500" s="13"/>
      <c r="AO500" s="13"/>
    </row>
    <row r="501" spans="1:41" ht="19.899999999999999" customHeight="1" thickBo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7"/>
      <c r="M501" s="61">
        <v>8</v>
      </c>
      <c r="N501" s="1207">
        <f t="shared" si="29"/>
        <v>659.84</v>
      </c>
      <c r="O501" s="1208">
        <f t="shared" si="31"/>
        <v>0.39438400000000001</v>
      </c>
      <c r="P501" s="1209">
        <f t="shared" si="30"/>
        <v>260.23</v>
      </c>
      <c r="Q501" s="1210"/>
      <c r="R501" s="17"/>
      <c r="S501" s="30"/>
      <c r="T501" s="1153"/>
      <c r="U501" s="1154" t="s">
        <v>394</v>
      </c>
      <c r="V501" s="1205">
        <v>8</v>
      </c>
      <c r="W501" s="1155">
        <f>+AA501*2+Z501*2+0.12</f>
        <v>1.8599999999999999</v>
      </c>
      <c r="X501" s="1206">
        <v>0</v>
      </c>
      <c r="Y501" s="1156">
        <f t="shared" si="28"/>
        <v>0</v>
      </c>
      <c r="Z501" s="1211">
        <v>0</v>
      </c>
      <c r="AA501" s="30">
        <f>+(O463-2*O468+0.02)</f>
        <v>0.87</v>
      </c>
      <c r="AB501" s="1176" t="s">
        <v>395</v>
      </c>
      <c r="AC501" s="1177"/>
      <c r="AD501" s="17"/>
      <c r="AE501" s="17"/>
      <c r="AF501" s="17"/>
      <c r="AG501" s="31"/>
      <c r="AH501" s="17"/>
      <c r="AI501" s="13"/>
      <c r="AJ501" s="13"/>
      <c r="AK501" s="13"/>
      <c r="AL501" s="13"/>
      <c r="AM501" s="13"/>
      <c r="AN501" s="13"/>
      <c r="AO501" s="13"/>
    </row>
    <row r="502" spans="1:41" ht="19.899999999999999" customHeight="1" thickBo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7"/>
      <c r="M502" s="71"/>
      <c r="N502" s="1212"/>
      <c r="O502" s="1212"/>
      <c r="P502" s="1060"/>
      <c r="Q502" s="1213"/>
      <c r="R502" s="17"/>
      <c r="S502" s="30"/>
      <c r="T502" s="1153"/>
      <c r="U502" s="1154" t="s">
        <v>396</v>
      </c>
      <c r="V502" s="1205">
        <v>8</v>
      </c>
      <c r="W502" s="1155">
        <f>+Z502+0.12</f>
        <v>0.12</v>
      </c>
      <c r="X502" s="1206">
        <f>+X501*2</f>
        <v>0</v>
      </c>
      <c r="Y502" s="1156">
        <f t="shared" si="28"/>
        <v>0</v>
      </c>
      <c r="Z502" s="1211">
        <v>0</v>
      </c>
      <c r="AA502" s="30"/>
      <c r="AB502" s="1176" t="s">
        <v>397</v>
      </c>
      <c r="AC502" s="1177"/>
      <c r="AD502" s="17"/>
      <c r="AE502" s="17"/>
      <c r="AF502" s="17"/>
      <c r="AG502" s="31"/>
      <c r="AH502" s="17"/>
      <c r="AI502" s="13"/>
      <c r="AJ502" s="13"/>
      <c r="AK502" s="13"/>
      <c r="AL502" s="13"/>
      <c r="AM502" s="13"/>
      <c r="AN502" s="13"/>
      <c r="AO502" s="13"/>
    </row>
    <row r="503" spans="1:41" ht="19.899999999999999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7"/>
      <c r="M503" s="65"/>
      <c r="N503" s="17"/>
      <c r="O503" s="17"/>
      <c r="P503" s="1214"/>
      <c r="Q503" s="17"/>
      <c r="R503" s="17"/>
      <c r="S503" s="30"/>
      <c r="T503" s="1153"/>
      <c r="U503" s="1154">
        <v>10</v>
      </c>
      <c r="V503" s="1215">
        <v>8</v>
      </c>
      <c r="W503" s="1155">
        <f>+(O465-2*O468+0.02)*4+0.06*2</f>
        <v>2.4</v>
      </c>
      <c r="X503" s="1216">
        <f>+(ROUND((O464-0.175)/0.25-0.5,0)+2)*4</f>
        <v>60</v>
      </c>
      <c r="Y503" s="1156">
        <f t="shared" si="28"/>
        <v>144</v>
      </c>
      <c r="Z503" s="30">
        <f>+O465-2*O468+0.02</f>
        <v>0.56999999999999995</v>
      </c>
      <c r="AA503" s="30"/>
      <c r="AB503" s="17"/>
      <c r="AC503" s="17"/>
      <c r="AD503" s="17"/>
      <c r="AE503" s="17"/>
      <c r="AF503" s="17"/>
      <c r="AG503" s="31"/>
      <c r="AH503" s="17"/>
      <c r="AI503" s="13"/>
      <c r="AJ503" s="13"/>
      <c r="AK503" s="13"/>
      <c r="AL503" s="13"/>
      <c r="AM503" s="13"/>
      <c r="AN503" s="13"/>
      <c r="AO503" s="13"/>
    </row>
    <row r="504" spans="1:41" ht="19.899999999999999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7"/>
      <c r="M504" s="65"/>
      <c r="N504" s="17"/>
      <c r="O504" s="17"/>
      <c r="P504" s="1214"/>
      <c r="Q504" s="17"/>
      <c r="R504" s="17"/>
      <c r="S504" s="17"/>
      <c r="T504" s="1153"/>
      <c r="U504" s="1154">
        <v>11</v>
      </c>
      <c r="V504" s="1215">
        <v>8</v>
      </c>
      <c r="W504" s="1155">
        <f>Z504*4+AA504*4+0.06*2</f>
        <v>2.92</v>
      </c>
      <c r="X504" s="1150">
        <f>+X503-4*2</f>
        <v>52</v>
      </c>
      <c r="Y504" s="1156">
        <f t="shared" si="28"/>
        <v>151.84</v>
      </c>
      <c r="Z504" s="1217">
        <v>0.7</v>
      </c>
      <c r="AA504" s="1217">
        <v>0</v>
      </c>
      <c r="AB504" s="17"/>
      <c r="AC504" s="17"/>
      <c r="AD504" s="17"/>
      <c r="AE504" s="17"/>
      <c r="AF504" s="17"/>
      <c r="AG504" s="31"/>
      <c r="AH504" s="17"/>
      <c r="AI504" s="13"/>
      <c r="AJ504" s="13"/>
      <c r="AK504" s="13"/>
      <c r="AL504" s="13"/>
      <c r="AM504" s="13"/>
      <c r="AN504" s="13"/>
      <c r="AO504" s="13"/>
    </row>
    <row r="505" spans="1:41" ht="19.899999999999999" customHeight="1" thickBo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7"/>
      <c r="M505" s="65"/>
      <c r="N505" s="17"/>
      <c r="O505" s="17"/>
      <c r="P505" s="17"/>
      <c r="Q505" s="17"/>
      <c r="R505" s="17"/>
      <c r="S505" s="17"/>
      <c r="T505" s="1218"/>
      <c r="U505" s="1219">
        <v>12</v>
      </c>
      <c r="V505" s="1220">
        <v>10</v>
      </c>
      <c r="W505" s="1221">
        <f>+O465+0.04</f>
        <v>0.74</v>
      </c>
      <c r="X505" s="1222" t="e">
        <f>+R469*4</f>
        <v>#VALUE!</v>
      </c>
      <c r="Y505" s="1223" t="e">
        <f t="shared" si="28"/>
        <v>#VALUE!</v>
      </c>
      <c r="Z505" s="1148"/>
      <c r="AA505" s="1148"/>
      <c r="AB505" s="30"/>
      <c r="AC505" s="30"/>
      <c r="AD505" s="17"/>
      <c r="AE505" s="17"/>
      <c r="AF505" s="17"/>
      <c r="AG505" s="31"/>
      <c r="AH505" s="17"/>
      <c r="AI505" s="13"/>
      <c r="AJ505" s="13"/>
      <c r="AK505" s="13"/>
      <c r="AL505" s="13"/>
      <c r="AM505" s="13"/>
      <c r="AN505" s="13"/>
      <c r="AO505" s="13"/>
    </row>
    <row r="506" spans="1:41" ht="19.899999999999999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7"/>
      <c r="M506" s="65"/>
      <c r="N506" s="17"/>
      <c r="O506" s="17"/>
      <c r="P506" s="17"/>
      <c r="Q506" s="17"/>
      <c r="R506" s="17"/>
      <c r="S506" s="17"/>
      <c r="T506" s="1141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31"/>
      <c r="AH506" s="17"/>
      <c r="AI506" s="13"/>
      <c r="AJ506" s="13"/>
      <c r="AK506" s="13"/>
      <c r="AL506" s="13"/>
      <c r="AM506" s="13"/>
      <c r="AN506" s="13"/>
      <c r="AO506" s="13"/>
    </row>
    <row r="507" spans="1:41" ht="19.899999999999999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7"/>
      <c r="M507" s="71"/>
      <c r="N507" s="1148"/>
      <c r="O507" s="1212"/>
      <c r="P507" s="1060"/>
      <c r="Q507" s="30"/>
      <c r="R507" s="17"/>
      <c r="S507" s="30"/>
      <c r="T507" s="1141"/>
      <c r="U507" s="17"/>
      <c r="V507" s="17"/>
      <c r="W507" s="17"/>
      <c r="X507" s="17"/>
      <c r="Y507" s="17"/>
      <c r="Z507" s="17"/>
      <c r="AA507" s="17"/>
      <c r="AB507" s="17"/>
      <c r="AC507" s="17"/>
      <c r="AD507" s="30"/>
      <c r="AE507" s="30"/>
      <c r="AF507" s="17"/>
      <c r="AG507" s="31"/>
      <c r="AH507" s="17"/>
      <c r="AI507" s="13"/>
      <c r="AJ507" s="13"/>
      <c r="AK507" s="13"/>
      <c r="AL507" s="13"/>
      <c r="AM507" s="13"/>
      <c r="AN507" s="13"/>
      <c r="AO507" s="13"/>
    </row>
    <row r="508" spans="1:41" ht="19.899999999999999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7"/>
      <c r="M508" s="65"/>
      <c r="N508" s="17"/>
      <c r="O508" s="17"/>
      <c r="P508" s="17"/>
      <c r="Q508" s="17"/>
      <c r="R508" s="17"/>
      <c r="S508" s="30"/>
      <c r="T508" s="1141"/>
      <c r="U508" s="17"/>
      <c r="V508" s="17"/>
      <c r="W508" s="17"/>
      <c r="X508" s="17"/>
      <c r="Y508" s="17"/>
      <c r="Z508" s="17"/>
      <c r="AA508" s="17"/>
      <c r="AB508" s="17"/>
      <c r="AC508" s="17"/>
      <c r="AD508" s="30"/>
      <c r="AE508" s="30"/>
      <c r="AF508" s="17"/>
      <c r="AG508" s="31"/>
      <c r="AH508" s="17"/>
      <c r="AI508" s="13"/>
      <c r="AJ508" s="13"/>
      <c r="AK508" s="13"/>
      <c r="AL508" s="13"/>
      <c r="AM508" s="13"/>
      <c r="AN508" s="13"/>
      <c r="AO508" s="13"/>
    </row>
    <row r="509" spans="1:41" ht="19.899999999999999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7"/>
      <c r="M509" s="65"/>
      <c r="N509" s="17"/>
      <c r="O509" s="17"/>
      <c r="P509" s="17"/>
      <c r="Q509" s="17"/>
      <c r="R509" s="17"/>
      <c r="S509" s="30"/>
      <c r="T509" s="17"/>
      <c r="U509" s="17"/>
      <c r="V509" s="17"/>
      <c r="W509" s="17"/>
      <c r="X509" s="17"/>
      <c r="Y509" s="17"/>
      <c r="Z509" s="17"/>
      <c r="AA509" s="17"/>
      <c r="AB509" s="30"/>
      <c r="AC509" s="30"/>
      <c r="AD509" s="30"/>
      <c r="AE509" s="30"/>
      <c r="AF509" s="17"/>
      <c r="AG509" s="31"/>
      <c r="AH509" s="17"/>
      <c r="AI509" s="13"/>
      <c r="AJ509" s="13"/>
      <c r="AK509" s="13"/>
      <c r="AL509" s="13"/>
      <c r="AM509" s="13"/>
      <c r="AN509" s="13"/>
      <c r="AO509" s="13"/>
    </row>
    <row r="510" spans="1:41" ht="19.899999999999999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7"/>
      <c r="M510" s="72" t="s">
        <v>398</v>
      </c>
      <c r="N510" s="1224">
        <v>1</v>
      </c>
      <c r="O510" s="1224">
        <v>2.5</v>
      </c>
      <c r="P510" s="1225">
        <f>+O464-O462</f>
        <v>3.15</v>
      </c>
      <c r="Q510" s="1108"/>
      <c r="R510" s="1108"/>
      <c r="S510" s="1108">
        <f>+(N510*N510+O510*O510+(N510+O510)*(N510+O510))*P510/6*4</f>
        <v>40.949999999999996</v>
      </c>
      <c r="T510" s="1141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17"/>
      <c r="AG510" s="31"/>
      <c r="AH510" s="17"/>
      <c r="AI510" s="13"/>
      <c r="AJ510" s="13"/>
      <c r="AK510" s="13"/>
      <c r="AL510" s="13"/>
      <c r="AM510" s="13"/>
      <c r="AN510" s="13"/>
      <c r="AO510" s="13"/>
    </row>
    <row r="511" spans="1:41" ht="19.899999999999999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7"/>
      <c r="M511" s="51" t="s">
        <v>399</v>
      </c>
      <c r="N511" s="1151"/>
      <c r="O511" s="1151"/>
      <c r="P511" s="1151"/>
      <c r="Q511" s="1151"/>
      <c r="R511" s="1151"/>
      <c r="S511" s="1226">
        <f>+S480</f>
        <v>41.65</v>
      </c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17"/>
      <c r="AG511" s="31"/>
      <c r="AH511" s="17"/>
      <c r="AI511" s="13"/>
      <c r="AJ511" s="13"/>
      <c r="AK511" s="13"/>
      <c r="AL511" s="13"/>
      <c r="AM511" s="13"/>
      <c r="AN511" s="13"/>
      <c r="AO511" s="13"/>
    </row>
    <row r="512" spans="1:41" ht="19.899999999999999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7"/>
      <c r="M512" s="73" t="s">
        <v>400</v>
      </c>
      <c r="N512" s="1227">
        <f>+N481</f>
        <v>0.5</v>
      </c>
      <c r="O512" s="1228">
        <f>+O481</f>
        <v>0.65</v>
      </c>
      <c r="P512" s="1228">
        <f>+P481</f>
        <v>10</v>
      </c>
      <c r="Q512" s="1228">
        <f>+Q481</f>
        <v>12</v>
      </c>
      <c r="R512" s="1229">
        <v>0.35699999999999998</v>
      </c>
      <c r="S512" s="1230">
        <f>+(N512*O512*(P512-2*O510)+N512*O512*(Q512-2*O510))*2</f>
        <v>7.8</v>
      </c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17"/>
      <c r="AG512" s="31"/>
      <c r="AH512" s="17"/>
      <c r="AI512" s="13"/>
      <c r="AJ512" s="13"/>
      <c r="AK512" s="13"/>
      <c r="AL512" s="13"/>
      <c r="AM512" s="13"/>
      <c r="AN512" s="13"/>
      <c r="AO512" s="13"/>
    </row>
    <row r="513" spans="1:41" ht="19.899999999999999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7"/>
      <c r="M513" s="74"/>
      <c r="N513" s="1112"/>
      <c r="O513" s="1112"/>
      <c r="P513" s="1112"/>
      <c r="Q513" s="1112"/>
      <c r="R513" s="1112"/>
      <c r="S513" s="1112">
        <f>+R512*O512/2*0.6*8</f>
        <v>0.55691999999999997</v>
      </c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31"/>
      <c r="AH513" s="17"/>
      <c r="AI513" s="13"/>
      <c r="AJ513" s="13"/>
      <c r="AK513" s="13"/>
      <c r="AL513" s="13"/>
      <c r="AM513" s="13"/>
      <c r="AN513" s="13"/>
      <c r="AO513" s="13"/>
    </row>
    <row r="514" spans="1:41" ht="19.899999999999999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7"/>
      <c r="M514" s="65"/>
      <c r="N514" s="17"/>
      <c r="O514" s="17"/>
      <c r="P514" s="17"/>
      <c r="Q514" s="17"/>
      <c r="R514" s="17" t="s">
        <v>401</v>
      </c>
      <c r="S514" s="1177">
        <f>+SUM(S510:S513)</f>
        <v>90.956919999999997</v>
      </c>
      <c r="T514" s="17"/>
      <c r="U514" s="17">
        <f>72*S514</f>
        <v>6548.8982399999995</v>
      </c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31"/>
      <c r="AH514" s="17"/>
      <c r="AI514" s="13"/>
      <c r="AJ514" s="13"/>
      <c r="AK514" s="13"/>
      <c r="AL514" s="13"/>
      <c r="AM514" s="13"/>
      <c r="AN514" s="13"/>
      <c r="AO514" s="13"/>
    </row>
    <row r="515" spans="1:41" ht="19.899999999999999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7"/>
      <c r="M515" s="65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31"/>
      <c r="AH515" s="17"/>
      <c r="AI515" s="13"/>
      <c r="AJ515" s="13"/>
      <c r="AK515" s="13"/>
      <c r="AL515" s="13"/>
      <c r="AM515" s="13"/>
      <c r="AN515" s="13"/>
      <c r="AO515" s="13"/>
    </row>
    <row r="516" spans="1:41" ht="19.899999999999999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7"/>
      <c r="M516" s="75" t="s">
        <v>402</v>
      </c>
      <c r="N516" s="30"/>
      <c r="O516" s="30"/>
      <c r="P516" s="30"/>
      <c r="Q516" s="30"/>
      <c r="R516" s="30"/>
      <c r="S516" s="30"/>
      <c r="T516" s="30"/>
      <c r="U516" s="30"/>
      <c r="V516" s="30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31"/>
      <c r="AH516" s="17"/>
      <c r="AI516" s="13"/>
      <c r="AJ516" s="13"/>
      <c r="AK516" s="13"/>
      <c r="AL516" s="13"/>
      <c r="AM516" s="13"/>
      <c r="AN516" s="13"/>
      <c r="AO516" s="13"/>
    </row>
    <row r="517" spans="1:41" ht="19.899999999999999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7"/>
      <c r="M517" s="76"/>
      <c r="N517" s="1231" t="s">
        <v>346</v>
      </c>
      <c r="O517" s="1231" t="s">
        <v>40</v>
      </c>
      <c r="P517" s="1231" t="s">
        <v>345</v>
      </c>
      <c r="Q517" s="1231" t="s">
        <v>346</v>
      </c>
      <c r="R517" s="1231" t="s">
        <v>347</v>
      </c>
      <c r="S517" s="1231" t="s">
        <v>348</v>
      </c>
      <c r="T517" s="1231" t="s">
        <v>349</v>
      </c>
      <c r="U517" s="1231" t="s">
        <v>403</v>
      </c>
      <c r="V517" s="1231" t="s">
        <v>404</v>
      </c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31"/>
      <c r="AH517" s="17"/>
      <c r="AI517" s="13"/>
      <c r="AJ517" s="13"/>
      <c r="AK517" s="13"/>
      <c r="AL517" s="13"/>
      <c r="AM517" s="13"/>
      <c r="AN517" s="13"/>
      <c r="AO517" s="13"/>
    </row>
    <row r="518" spans="1:41" ht="19.899999999999999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7"/>
      <c r="M518" s="76" t="s">
        <v>405</v>
      </c>
      <c r="N518" s="1232">
        <v>6.4</v>
      </c>
      <c r="O518" s="1232">
        <v>6.8</v>
      </c>
      <c r="P518" s="1233">
        <f>+N518+U518*2</f>
        <v>7</v>
      </c>
      <c r="Q518" s="1233">
        <f>+O518+U518*2</f>
        <v>7.3999999999999995</v>
      </c>
      <c r="R518" s="1233">
        <f>+P518+T518*2</f>
        <v>9.1999999999999993</v>
      </c>
      <c r="S518" s="1233">
        <f>+Q518+T518*2</f>
        <v>9.6</v>
      </c>
      <c r="T518" s="1232">
        <v>1.1000000000000001</v>
      </c>
      <c r="U518" s="1232">
        <v>0.3</v>
      </c>
      <c r="V518" s="1234">
        <f>+(P518*Q518+(P518+N518)*(Q518+O518)+N518*O518)*T518/6</f>
        <v>52.359999999999992</v>
      </c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31"/>
      <c r="AH518" s="17"/>
      <c r="AI518" s="13"/>
      <c r="AJ518" s="13"/>
      <c r="AK518" s="13"/>
      <c r="AL518" s="13"/>
      <c r="AM518" s="13"/>
      <c r="AN518" s="13"/>
      <c r="AO518" s="13"/>
    </row>
    <row r="519" spans="1:41" ht="19.899999999999999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7"/>
      <c r="M519" s="76" t="s">
        <v>406</v>
      </c>
      <c r="N519" s="1232">
        <v>6.4</v>
      </c>
      <c r="O519" s="1232">
        <v>7</v>
      </c>
      <c r="P519" s="1233">
        <f>+N519+U519*2</f>
        <v>7.4</v>
      </c>
      <c r="Q519" s="1233">
        <f>+O519+U519*2</f>
        <v>8</v>
      </c>
      <c r="R519" s="1233">
        <f>+P519+T519*2</f>
        <v>10.600000000000001</v>
      </c>
      <c r="S519" s="1233">
        <f>+Q519+T519*2</f>
        <v>11.2</v>
      </c>
      <c r="T519" s="1232">
        <f>1.1+U519</f>
        <v>1.6</v>
      </c>
      <c r="U519" s="1232">
        <v>0.5</v>
      </c>
      <c r="V519" s="1234">
        <f>+(P519*Q519+(P519+N519)*(Q519+O519)+N519*O519)*T519/6</f>
        <v>82.933333333333337</v>
      </c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31"/>
      <c r="AH519" s="17"/>
      <c r="AI519" s="13"/>
      <c r="AJ519" s="13"/>
      <c r="AK519" s="13"/>
      <c r="AL519" s="13"/>
      <c r="AM519" s="13"/>
      <c r="AN519" s="13"/>
      <c r="AO519" s="13"/>
    </row>
    <row r="520" spans="1:41" ht="19.899999999999999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7"/>
      <c r="M520" s="75" t="s">
        <v>407</v>
      </c>
      <c r="N520" s="30"/>
      <c r="O520" s="30"/>
      <c r="P520" s="30"/>
      <c r="Q520" s="30"/>
      <c r="R520" s="30"/>
      <c r="S520" s="30"/>
      <c r="T520" s="30"/>
      <c r="U520" s="30"/>
      <c r="V520" s="30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31"/>
      <c r="AH520" s="17"/>
      <c r="AI520" s="13"/>
      <c r="AJ520" s="13"/>
      <c r="AK520" s="13"/>
      <c r="AL520" s="13"/>
      <c r="AM520" s="13"/>
      <c r="AN520" s="13"/>
      <c r="AO520" s="13"/>
    </row>
    <row r="521" spans="1:41" ht="19.899999999999999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7"/>
      <c r="M521" s="76"/>
      <c r="N521" s="1231" t="s">
        <v>408</v>
      </c>
      <c r="O521" s="1231" t="s">
        <v>346</v>
      </c>
      <c r="P521" s="1231" t="s">
        <v>40</v>
      </c>
      <c r="Q521" s="1231" t="s">
        <v>403</v>
      </c>
      <c r="R521" s="1099" t="s">
        <v>409</v>
      </c>
      <c r="S521" s="1231" t="s">
        <v>410</v>
      </c>
      <c r="T521" s="1231"/>
      <c r="U521" s="1231"/>
      <c r="V521" s="1231" t="s">
        <v>411</v>
      </c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31"/>
      <c r="AH521" s="17"/>
      <c r="AI521" s="13"/>
      <c r="AJ521" s="13"/>
      <c r="AK521" s="13"/>
      <c r="AL521" s="13"/>
      <c r="AM521" s="13"/>
      <c r="AN521" s="13"/>
      <c r="AO521" s="13"/>
    </row>
    <row r="522" spans="1:41" ht="19.899999999999999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7"/>
      <c r="M522" s="76"/>
      <c r="N522" s="1232">
        <v>0.9</v>
      </c>
      <c r="O522" s="1232">
        <v>6.4</v>
      </c>
      <c r="P522" s="1232">
        <v>6.8</v>
      </c>
      <c r="Q522" s="1232">
        <f>1+0.5/2</f>
        <v>1.25</v>
      </c>
      <c r="R522" s="1233">
        <f>+O522+Q522*2</f>
        <v>8.9</v>
      </c>
      <c r="S522" s="1233">
        <f>+Q522*2+P522</f>
        <v>9.3000000000000007</v>
      </c>
      <c r="T522" s="1233"/>
      <c r="U522" s="1233"/>
      <c r="V522" s="1234">
        <f>+(S522*2+R522*2)*N522</f>
        <v>32.760000000000005</v>
      </c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31"/>
      <c r="AH522" s="17"/>
      <c r="AI522" s="13"/>
      <c r="AJ522" s="13"/>
      <c r="AK522" s="13"/>
      <c r="AL522" s="13"/>
      <c r="AM522" s="13"/>
      <c r="AN522" s="13"/>
      <c r="AO522" s="13"/>
    </row>
    <row r="523" spans="1:41" ht="19.899999999999999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7"/>
      <c r="M523" s="75" t="s">
        <v>412</v>
      </c>
      <c r="N523" s="30"/>
      <c r="O523" s="30"/>
      <c r="P523" s="30"/>
      <c r="Q523" s="30"/>
      <c r="R523" s="30"/>
      <c r="S523" s="30"/>
      <c r="T523" s="30"/>
      <c r="U523" s="30"/>
      <c r="V523" s="30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31"/>
      <c r="AH523" s="17"/>
      <c r="AI523" s="13"/>
      <c r="AJ523" s="13"/>
      <c r="AK523" s="13"/>
      <c r="AL523" s="13"/>
      <c r="AM523" s="13"/>
      <c r="AN523" s="13"/>
      <c r="AO523" s="13"/>
    </row>
    <row r="524" spans="1:41" ht="19.899999999999999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7"/>
      <c r="M524" s="76"/>
      <c r="N524" s="1231" t="s">
        <v>404</v>
      </c>
      <c r="O524" s="1231" t="s">
        <v>413</v>
      </c>
      <c r="P524" s="1231" t="s">
        <v>346</v>
      </c>
      <c r="Q524" s="1231" t="s">
        <v>40</v>
      </c>
      <c r="R524" s="1231" t="s">
        <v>409</v>
      </c>
      <c r="S524" s="1231" t="s">
        <v>410</v>
      </c>
      <c r="T524" s="1231" t="s">
        <v>349</v>
      </c>
      <c r="U524" s="1231"/>
      <c r="V524" s="1231" t="s">
        <v>414</v>
      </c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31"/>
      <c r="AH524" s="17"/>
      <c r="AI524" s="13"/>
      <c r="AJ524" s="13"/>
      <c r="AK524" s="13"/>
      <c r="AL524" s="13"/>
      <c r="AM524" s="13"/>
      <c r="AN524" s="13"/>
      <c r="AO524" s="13"/>
    </row>
    <row r="525" spans="1:41" ht="19.899999999999999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7"/>
      <c r="M525" s="76"/>
      <c r="N525" s="1232">
        <f>+V518</f>
        <v>52.359999999999992</v>
      </c>
      <c r="O525" s="1232">
        <v>18.25</v>
      </c>
      <c r="P525" s="1232">
        <v>6.4</v>
      </c>
      <c r="Q525" s="1232">
        <v>7</v>
      </c>
      <c r="R525" s="1233">
        <f>+P525+T525*2</f>
        <v>8.4</v>
      </c>
      <c r="S525" s="1233">
        <f>+Q525+T525*2</f>
        <v>9</v>
      </c>
      <c r="T525" s="1232">
        <v>1</v>
      </c>
      <c r="U525" s="1231"/>
      <c r="V525" s="1234">
        <f>+(P525*Q525+R525*S525+(P525+R525)*(Q525+S525))*T525/6+N525-O525+S483</f>
        <v>98.543333333333337</v>
      </c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31"/>
      <c r="AH525" s="17"/>
      <c r="AI525" s="13"/>
      <c r="AJ525" s="13"/>
      <c r="AK525" s="13"/>
      <c r="AL525" s="13"/>
      <c r="AM525" s="13"/>
      <c r="AN525" s="13"/>
      <c r="AO525" s="13"/>
    </row>
    <row r="526" spans="1:41" ht="19.899999999999999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7"/>
      <c r="M526" s="65"/>
      <c r="N526" s="17" t="s">
        <v>346</v>
      </c>
      <c r="O526" s="17" t="s">
        <v>40</v>
      </c>
      <c r="P526" s="17"/>
      <c r="Q526" s="17" t="s">
        <v>415</v>
      </c>
      <c r="R526" s="17" t="s">
        <v>416</v>
      </c>
      <c r="S526" s="17" t="s">
        <v>346</v>
      </c>
      <c r="T526" s="17" t="s">
        <v>40</v>
      </c>
      <c r="U526" s="17" t="s">
        <v>348</v>
      </c>
      <c r="V526" s="17" t="s">
        <v>417</v>
      </c>
      <c r="W526" s="17" t="s">
        <v>418</v>
      </c>
      <c r="X526" s="17"/>
      <c r="Y526" s="17"/>
      <c r="Z526" s="17"/>
      <c r="AA526" s="17"/>
      <c r="AB526" s="17"/>
      <c r="AC526" s="17"/>
      <c r="AD526" s="17"/>
      <c r="AE526" s="17"/>
      <c r="AF526" s="17"/>
      <c r="AG526" s="31"/>
      <c r="AH526" s="17"/>
      <c r="AI526" s="13"/>
      <c r="AJ526" s="13"/>
      <c r="AK526" s="13"/>
      <c r="AL526" s="13"/>
      <c r="AM526" s="13"/>
      <c r="AN526" s="13"/>
      <c r="AO526" s="13"/>
    </row>
    <row r="527" spans="1:41" ht="19.899999999999999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7"/>
      <c r="M527" s="65"/>
      <c r="N527" s="1235">
        <v>5.3</v>
      </c>
      <c r="O527" s="1235">
        <v>5</v>
      </c>
      <c r="P527" s="1235">
        <v>0.3</v>
      </c>
      <c r="Q527" s="1235">
        <v>0.25</v>
      </c>
      <c r="R527" s="1235">
        <v>3.6</v>
      </c>
      <c r="S527" s="17">
        <f>+N527+P527*2</f>
        <v>5.8999999999999995</v>
      </c>
      <c r="T527" s="17">
        <f>+O527+P527*2</f>
        <v>5.6</v>
      </c>
      <c r="U527" s="17">
        <f>+Q527*R527*2+S527</f>
        <v>7.6999999999999993</v>
      </c>
      <c r="V527" s="17">
        <f>+Q527*R527*2+T527</f>
        <v>7.3999999999999995</v>
      </c>
      <c r="W527" s="17">
        <f>+(U527*V527+S527*T527+(S527+U527)*(T527+V527))*R527/6</f>
        <v>160.09199999999996</v>
      </c>
      <c r="X527" s="17"/>
      <c r="Y527" s="17"/>
      <c r="Z527" s="17"/>
      <c r="AA527" s="17"/>
      <c r="AB527" s="17"/>
      <c r="AC527" s="17"/>
      <c r="AD527" s="17"/>
      <c r="AE527" s="17"/>
      <c r="AF527" s="17"/>
      <c r="AG527" s="31"/>
      <c r="AH527" s="17"/>
      <c r="AI527" s="13"/>
      <c r="AJ527" s="13"/>
      <c r="AK527" s="13"/>
      <c r="AL527" s="13"/>
      <c r="AM527" s="13"/>
      <c r="AN527" s="13"/>
      <c r="AO527" s="13"/>
    </row>
    <row r="528" spans="1:41" ht="19.899999999999999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7"/>
      <c r="M528" s="65"/>
      <c r="N528" s="17"/>
      <c r="O528" s="17"/>
      <c r="P528" s="17"/>
      <c r="Q528" s="17"/>
      <c r="R528" s="17"/>
      <c r="S528" s="17"/>
      <c r="T528" s="17"/>
      <c r="U528" s="17"/>
      <c r="V528" s="17"/>
      <c r="W528" s="17">
        <f>+W527*4</f>
        <v>640.36799999999982</v>
      </c>
      <c r="X528" s="17" t="s">
        <v>419</v>
      </c>
      <c r="Y528" s="17"/>
      <c r="Z528" s="17"/>
      <c r="AA528" s="17"/>
      <c r="AB528" s="17"/>
      <c r="AC528" s="17"/>
      <c r="AD528" s="17"/>
      <c r="AE528" s="17"/>
      <c r="AF528" s="17"/>
      <c r="AG528" s="31"/>
      <c r="AH528" s="17"/>
      <c r="AI528" s="13"/>
      <c r="AJ528" s="13"/>
      <c r="AK528" s="13"/>
      <c r="AL528" s="13"/>
      <c r="AM528" s="13"/>
      <c r="AN528" s="13"/>
      <c r="AO528" s="13"/>
    </row>
    <row r="529" spans="1:41" ht="19.899999999999999" customHeight="1" thickBo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7"/>
      <c r="M529" s="77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9"/>
      <c r="AH529" s="17"/>
      <c r="AI529" s="13"/>
      <c r="AJ529" s="13"/>
      <c r="AK529" s="13"/>
      <c r="AL529" s="13"/>
      <c r="AM529" s="13"/>
      <c r="AN529" s="13"/>
      <c r="AO529" s="13"/>
    </row>
    <row r="530" spans="1:41" ht="19.899999999999999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7"/>
      <c r="M530" s="25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3"/>
      <c r="AJ530" s="13"/>
      <c r="AK530" s="13"/>
      <c r="AL530" s="13"/>
      <c r="AM530" s="13"/>
      <c r="AN530" s="13"/>
      <c r="AO530" s="13"/>
    </row>
    <row r="531" spans="1:41" ht="19.899999999999999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7"/>
      <c r="M531" s="25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3"/>
      <c r="AJ531" s="13"/>
      <c r="AK531" s="13"/>
      <c r="AL531" s="13"/>
      <c r="AM531" s="13"/>
      <c r="AN531" s="13"/>
      <c r="AO531" s="13"/>
    </row>
    <row r="532" spans="1:41" ht="19.899999999999999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7"/>
      <c r="L532" s="25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3"/>
      <c r="AI532" s="13"/>
      <c r="AJ532" s="13"/>
      <c r="AK532" s="13"/>
      <c r="AL532" s="13"/>
      <c r="AM532" s="13"/>
      <c r="AN532" s="13"/>
      <c r="AO532" s="13"/>
    </row>
    <row r="533" spans="1:41" ht="19.899999999999999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7"/>
      <c r="L533" s="25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3"/>
      <c r="AI533" s="13"/>
      <c r="AJ533" s="13"/>
      <c r="AK533" s="13"/>
      <c r="AL533" s="13"/>
      <c r="AM533" s="13"/>
      <c r="AN533" s="13"/>
      <c r="AO533" s="13"/>
    </row>
    <row r="534" spans="1:41" ht="19.899999999999999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7"/>
      <c r="L534" s="25"/>
      <c r="M534" s="17"/>
      <c r="N534" s="17"/>
      <c r="O534" s="17"/>
      <c r="P534" s="17"/>
      <c r="Q534" s="17"/>
      <c r="R534" s="17"/>
      <c r="S534" s="17"/>
      <c r="T534" s="17"/>
      <c r="U534" s="17"/>
      <c r="V534" s="17"/>
    </row>
    <row r="535" spans="1:41" ht="19.899999999999999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7"/>
      <c r="L535" s="25"/>
      <c r="M535" s="17"/>
      <c r="N535" s="17"/>
      <c r="O535" s="17"/>
      <c r="P535" s="17"/>
      <c r="Q535" s="17"/>
      <c r="R535" s="17"/>
      <c r="S535" s="17"/>
      <c r="T535" s="17"/>
      <c r="U535" s="17"/>
      <c r="V535" s="17"/>
    </row>
    <row r="536" spans="1:41" ht="19.899999999999999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7"/>
      <c r="L536" s="25"/>
      <c r="M536" s="17"/>
      <c r="N536" s="17"/>
      <c r="O536" s="17"/>
      <c r="P536" s="17"/>
      <c r="Q536" s="17"/>
      <c r="R536" s="17"/>
      <c r="S536" s="17"/>
      <c r="T536" s="17"/>
      <c r="U536" s="17"/>
      <c r="V536" s="17"/>
    </row>
    <row r="537" spans="1:41" ht="19.899999999999999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7"/>
      <c r="L537" s="25"/>
      <c r="M537" s="17"/>
      <c r="N537" s="17"/>
      <c r="O537" s="17"/>
      <c r="P537" s="17"/>
      <c r="Q537" s="17"/>
      <c r="R537" s="17"/>
      <c r="S537" s="17"/>
      <c r="T537" s="17"/>
      <c r="U537" s="17"/>
      <c r="V537" s="17"/>
    </row>
    <row r="538" spans="1:41" ht="19.899999999999999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7"/>
      <c r="L538" s="25"/>
      <c r="M538" s="17"/>
      <c r="N538" s="17"/>
      <c r="O538" s="17"/>
      <c r="P538" s="17"/>
      <c r="Q538" s="17"/>
      <c r="R538" s="17"/>
      <c r="S538" s="17"/>
      <c r="T538" s="17"/>
      <c r="U538" s="17"/>
      <c r="V538" s="17"/>
    </row>
    <row r="539" spans="1:41" ht="19.899999999999999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7"/>
      <c r="L539" s="25"/>
      <c r="M539" s="17"/>
      <c r="N539" s="17"/>
      <c r="O539" s="17"/>
      <c r="P539" s="17"/>
      <c r="Q539" s="17"/>
      <c r="R539" s="17"/>
      <c r="S539" s="17"/>
      <c r="T539" s="17"/>
      <c r="U539" s="17"/>
      <c r="V539" s="17"/>
    </row>
    <row r="540" spans="1:41" ht="19.899999999999999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7"/>
      <c r="L540" s="25"/>
      <c r="M540" s="17"/>
      <c r="N540" s="17"/>
      <c r="O540" s="17"/>
      <c r="P540" s="17"/>
      <c r="Q540" s="17"/>
      <c r="R540" s="17"/>
      <c r="S540" s="17"/>
      <c r="T540" s="17"/>
      <c r="U540" s="17"/>
      <c r="V540" s="17"/>
    </row>
    <row r="541" spans="1:41" ht="19.899999999999999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7"/>
      <c r="L541" s="25"/>
      <c r="M541" s="17"/>
      <c r="N541" s="17"/>
      <c r="O541" s="17"/>
      <c r="P541" s="17"/>
      <c r="Q541" s="17"/>
      <c r="R541" s="17"/>
      <c r="S541" s="17"/>
      <c r="T541" s="17"/>
      <c r="U541" s="17"/>
      <c r="V541" s="17"/>
    </row>
    <row r="542" spans="1:41" ht="19.899999999999999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7"/>
      <c r="L542" s="25"/>
      <c r="M542" s="17"/>
      <c r="N542" s="17"/>
      <c r="O542" s="17"/>
      <c r="P542" s="17"/>
      <c r="Q542" s="17"/>
      <c r="R542" s="17"/>
      <c r="S542" s="17"/>
      <c r="T542" s="17"/>
      <c r="U542" s="17"/>
      <c r="V542" s="17"/>
    </row>
    <row r="543" spans="1:41" ht="19.899999999999999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7"/>
      <c r="L543" s="25"/>
      <c r="M543" s="17"/>
      <c r="N543" s="17"/>
      <c r="O543" s="17"/>
      <c r="P543" s="17"/>
      <c r="Q543" s="17"/>
      <c r="R543" s="17"/>
      <c r="S543" s="17"/>
      <c r="T543" s="17"/>
      <c r="U543" s="17"/>
      <c r="V543" s="17"/>
    </row>
    <row r="544" spans="1:41" ht="19.899999999999999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7"/>
      <c r="L544" s="25"/>
      <c r="M544" s="17"/>
      <c r="N544" s="17"/>
      <c r="O544" s="17"/>
      <c r="P544" s="17"/>
      <c r="Q544" s="17"/>
      <c r="R544" s="17"/>
      <c r="S544" s="17"/>
      <c r="T544" s="17"/>
      <c r="U544" s="17"/>
      <c r="V544" s="17"/>
    </row>
    <row r="545" spans="1:22" ht="19.899999999999999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7"/>
      <c r="L545" s="25"/>
      <c r="M545" s="17"/>
      <c r="N545" s="17"/>
      <c r="O545" s="17"/>
      <c r="P545" s="17"/>
      <c r="Q545" s="17"/>
      <c r="R545" s="17"/>
      <c r="S545" s="17"/>
      <c r="T545" s="17"/>
      <c r="U545" s="17"/>
      <c r="V545" s="17"/>
    </row>
    <row r="546" spans="1:22" ht="19.899999999999999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7"/>
      <c r="L546" s="25"/>
      <c r="M546" s="17"/>
      <c r="N546" s="17"/>
      <c r="O546" s="17"/>
      <c r="P546" s="17"/>
      <c r="Q546" s="17"/>
      <c r="R546" s="17"/>
      <c r="S546" s="17"/>
      <c r="T546" s="17"/>
      <c r="U546" s="17"/>
      <c r="V546" s="17"/>
    </row>
    <row r="547" spans="1:22" ht="19.899999999999999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7"/>
      <c r="L547" s="25"/>
      <c r="M547" s="17"/>
      <c r="N547" s="17"/>
      <c r="O547" s="17"/>
      <c r="P547" s="17"/>
      <c r="Q547" s="17"/>
      <c r="R547" s="17"/>
      <c r="S547" s="17"/>
      <c r="T547" s="17"/>
      <c r="U547" s="17"/>
      <c r="V547" s="17"/>
    </row>
    <row r="548" spans="1:22" ht="19.899999999999999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7"/>
      <c r="L548" s="25"/>
      <c r="M548" s="17"/>
      <c r="N548" s="17"/>
      <c r="O548" s="17"/>
      <c r="P548" s="17"/>
      <c r="Q548" s="17"/>
      <c r="R548" s="17"/>
      <c r="S548" s="17"/>
      <c r="T548" s="17"/>
      <c r="U548" s="17"/>
      <c r="V548" s="17"/>
    </row>
    <row r="549" spans="1:22" ht="19.899999999999999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7"/>
      <c r="L549" s="25"/>
      <c r="M549" s="17"/>
      <c r="N549" s="17"/>
      <c r="O549" s="17"/>
      <c r="P549" s="17"/>
      <c r="Q549" s="17"/>
      <c r="R549" s="17"/>
      <c r="S549" s="17"/>
      <c r="T549" s="17"/>
      <c r="U549" s="17"/>
      <c r="V549" s="17"/>
    </row>
    <row r="550" spans="1:22" ht="19.899999999999999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7"/>
      <c r="L550" s="25"/>
      <c r="M550" s="17"/>
      <c r="N550" s="17"/>
      <c r="O550" s="17"/>
      <c r="P550" s="17"/>
      <c r="Q550" s="17"/>
      <c r="R550" s="17"/>
      <c r="S550" s="17"/>
      <c r="T550" s="17"/>
      <c r="U550" s="17"/>
      <c r="V550" s="17"/>
    </row>
    <row r="551" spans="1:22" ht="19.899999999999999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7"/>
      <c r="L551" s="25"/>
      <c r="M551" s="17"/>
      <c r="N551" s="17"/>
      <c r="O551" s="17"/>
      <c r="P551" s="17"/>
      <c r="Q551" s="17"/>
      <c r="R551" s="17"/>
      <c r="S551" s="17"/>
      <c r="T551" s="17"/>
      <c r="U551" s="17"/>
      <c r="V551" s="17"/>
    </row>
    <row r="552" spans="1:22" ht="19.899999999999999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7"/>
      <c r="L552" s="25"/>
      <c r="M552" s="17"/>
      <c r="N552" s="17"/>
      <c r="O552" s="17"/>
      <c r="P552" s="17"/>
      <c r="Q552" s="17"/>
      <c r="R552" s="17"/>
      <c r="S552" s="17"/>
      <c r="T552" s="17"/>
      <c r="U552" s="17"/>
      <c r="V552" s="17"/>
    </row>
    <row r="553" spans="1:22" ht="19.899999999999999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7"/>
      <c r="L553" s="25"/>
      <c r="M553" s="17"/>
      <c r="N553" s="17"/>
      <c r="O553" s="17"/>
      <c r="P553" s="17"/>
      <c r="Q553" s="17"/>
      <c r="R553" s="17"/>
      <c r="S553" s="17"/>
      <c r="T553" s="17"/>
      <c r="U553" s="17"/>
      <c r="V553" s="17"/>
    </row>
  </sheetData>
  <dataConsolidate/>
  <mergeCells count="86">
    <mergeCell ref="AE470:AF470"/>
    <mergeCell ref="M474:M475"/>
    <mergeCell ref="AA455:AC455"/>
    <mergeCell ref="N459:N461"/>
    <mergeCell ref="S469:X469"/>
    <mergeCell ref="Y469:AB469"/>
    <mergeCell ref="AC469:AF469"/>
    <mergeCell ref="S470:U470"/>
    <mergeCell ref="V470:X470"/>
    <mergeCell ref="Y470:Z470"/>
    <mergeCell ref="AA470:AB470"/>
    <mergeCell ref="AC470:AD470"/>
    <mergeCell ref="C397:C398"/>
    <mergeCell ref="E397:E398"/>
    <mergeCell ref="F397:F398"/>
    <mergeCell ref="G397:G398"/>
    <mergeCell ref="C404:C405"/>
    <mergeCell ref="E404:E405"/>
    <mergeCell ref="F404:F405"/>
    <mergeCell ref="G404:G405"/>
    <mergeCell ref="J383:J387"/>
    <mergeCell ref="C395:C396"/>
    <mergeCell ref="E395:E396"/>
    <mergeCell ref="F395:F396"/>
    <mergeCell ref="G395:G396"/>
    <mergeCell ref="H395:H396"/>
    <mergeCell ref="I139:I140"/>
    <mergeCell ref="W141:Z141"/>
    <mergeCell ref="K323:K328"/>
    <mergeCell ref="J329:K329"/>
    <mergeCell ref="C372:C373"/>
    <mergeCell ref="D372:E372"/>
    <mergeCell ref="L372:L373"/>
    <mergeCell ref="M372:N372"/>
    <mergeCell ref="D373:E373"/>
    <mergeCell ref="M373:N373"/>
    <mergeCell ref="B139:C140"/>
    <mergeCell ref="D139:D140"/>
    <mergeCell ref="F139:F140"/>
    <mergeCell ref="G139:G140"/>
    <mergeCell ref="H139:H140"/>
    <mergeCell ref="B137:D138"/>
    <mergeCell ref="E137:E138"/>
    <mergeCell ref="G137:G138"/>
    <mergeCell ref="H137:H138"/>
    <mergeCell ref="I137:I138"/>
    <mergeCell ref="G126:H126"/>
    <mergeCell ref="A45:A47"/>
    <mergeCell ref="V45:Y45"/>
    <mergeCell ref="A48:A50"/>
    <mergeCell ref="I48:J48"/>
    <mergeCell ref="I49:J49"/>
    <mergeCell ref="A52:A53"/>
    <mergeCell ref="B52:C53"/>
    <mergeCell ref="F52:F53"/>
    <mergeCell ref="B54:C54"/>
    <mergeCell ref="B55:C55"/>
    <mergeCell ref="B56:C56"/>
    <mergeCell ref="B57:C57"/>
    <mergeCell ref="O59:P59"/>
    <mergeCell ref="V8:V9"/>
    <mergeCell ref="W8:W9"/>
    <mergeCell ref="Z8:Z9"/>
    <mergeCell ref="AA8:AA9"/>
    <mergeCell ref="A42:A44"/>
    <mergeCell ref="G14:G16"/>
    <mergeCell ref="C15:C16"/>
    <mergeCell ref="H16:H17"/>
    <mergeCell ref="G23:G24"/>
    <mergeCell ref="A31:B31"/>
    <mergeCell ref="A32:B32"/>
    <mergeCell ref="A33:B33"/>
    <mergeCell ref="A34:B34"/>
    <mergeCell ref="A35:B35"/>
    <mergeCell ref="A36:B36"/>
    <mergeCell ref="A39:A41"/>
    <mergeCell ref="A1:B1"/>
    <mergeCell ref="A2:B2"/>
    <mergeCell ref="A3:B3"/>
    <mergeCell ref="C3:G3"/>
    <mergeCell ref="G7:G9"/>
    <mergeCell ref="H3:I3"/>
    <mergeCell ref="A4:B4"/>
    <mergeCell ref="C4:G4"/>
    <mergeCell ref="A10:A11"/>
    <mergeCell ref="G10:G11"/>
  </mergeCells>
  <conditionalFormatting sqref="E66:J66">
    <cfRule type="expression" dxfId="83" priority="17">
      <formula>$V$66="Chưa đạt"</formula>
    </cfRule>
  </conditionalFormatting>
  <conditionalFormatting sqref="E67:J67">
    <cfRule type="expression" dxfId="82" priority="16">
      <formula>$V$67="Chưa đạt"</formula>
    </cfRule>
  </conditionalFormatting>
  <conditionalFormatting sqref="E68:J68">
    <cfRule type="expression" dxfId="81" priority="15">
      <formula>$V$68="Chưa đạt"</formula>
    </cfRule>
  </conditionalFormatting>
  <conditionalFormatting sqref="E70:J70">
    <cfRule type="expression" dxfId="80" priority="14">
      <formula>$V$70="Chưa đạt"</formula>
    </cfRule>
  </conditionalFormatting>
  <conditionalFormatting sqref="E71:J71">
    <cfRule type="expression" dxfId="79" priority="13">
      <formula>$V$71="Chưa đạt"</formula>
    </cfRule>
  </conditionalFormatting>
  <conditionalFormatting sqref="E72:J72">
    <cfRule type="expression" dxfId="78" priority="12">
      <formula>$V$72="Chưa đạt"</formula>
    </cfRule>
  </conditionalFormatting>
  <conditionalFormatting sqref="E82:J82">
    <cfRule type="expression" dxfId="77" priority="11">
      <formula>$V$82="Chưa đạt"</formula>
    </cfRule>
  </conditionalFormatting>
  <conditionalFormatting sqref="E83:J83">
    <cfRule type="expression" dxfId="76" priority="10">
      <formula>$V$83="Chưa đạt"</formula>
    </cfRule>
  </conditionalFormatting>
  <conditionalFormatting sqref="E84:G84 I84:J84">
    <cfRule type="expression" dxfId="75" priority="9">
      <formula>$V$84="Chưa đạt"</formula>
    </cfRule>
  </conditionalFormatting>
  <conditionalFormatting sqref="E88:J88">
    <cfRule type="expression" dxfId="74" priority="8">
      <formula>$V$88="Chưa đạt"</formula>
    </cfRule>
  </conditionalFormatting>
  <conditionalFormatting sqref="E89:J89">
    <cfRule type="expression" dxfId="73" priority="7">
      <formula>$V$89="Chưa đạt"</formula>
    </cfRule>
  </conditionalFormatting>
  <conditionalFormatting sqref="E90:J90">
    <cfRule type="expression" dxfId="72" priority="6">
      <formula>$V$90="Chưa đạt"</formula>
    </cfRule>
  </conditionalFormatting>
  <conditionalFormatting sqref="B131:F131 H131:K131">
    <cfRule type="expression" dxfId="71" priority="5">
      <formula>$V$131="NOT"</formula>
    </cfRule>
  </conditionalFormatting>
  <conditionalFormatting sqref="B139:I140">
    <cfRule type="expression" dxfId="70" priority="4">
      <formula>$V$139="NOT"</formula>
    </cfRule>
  </conditionalFormatting>
  <conditionalFormatting sqref="A154:L154">
    <cfRule type="expression" dxfId="69" priority="3">
      <formula>$V$154="NO"</formula>
    </cfRule>
  </conditionalFormatting>
  <conditionalFormatting sqref="V148">
    <cfRule type="expression" dxfId="68" priority="2">
      <formula>$V$148="NO"</formula>
    </cfRule>
  </conditionalFormatting>
  <conditionalFormatting sqref="H148:J148">
    <cfRule type="expression" dxfId="67" priority="18">
      <formula>$K$148="NO"</formula>
    </cfRule>
  </conditionalFormatting>
  <conditionalFormatting sqref="H84">
    <cfRule type="expression" dxfId="66" priority="1">
      <formula>$V$68="Chưa đạt"</formula>
    </cfRule>
  </conditionalFormatting>
  <printOptions horizontalCentered="1"/>
  <pageMargins left="0.39370078740157483" right="0.19685039370078741" top="0.39370078740157483" bottom="0.39370078740157483" header="0" footer="0"/>
  <pageSetup paperSize="9" scale="77" orientation="portrait" blackAndWhite="1" r:id="rId1"/>
  <headerFooter alignWithMargins="0">
    <oddFooter xml:space="preserve">&amp;C
&amp;R&amp;12&amp;Y </oddFooter>
  </headerFooter>
  <rowBreaks count="2" manualBreakCount="2">
    <brk id="50" max="11" man="1"/>
    <brk id="102" max="11" man="1"/>
  </rowBreaks>
  <drawing r:id="rId2"/>
  <legacyDrawing r:id="rId3"/>
  <oleObjects>
    <mc:AlternateContent xmlns:mc="http://schemas.openxmlformats.org/markup-compatibility/2006">
      <mc:Choice Requires="x14">
        <oleObject progId="Equation.3" shapeId="519169" r:id="rId4">
          <objectPr defaultSize="0" autoPict="0" r:id="rId5">
            <anchor moveWithCells="1">
              <from>
                <xdr:col>0</xdr:col>
                <xdr:colOff>609600</xdr:colOff>
                <xdr:row>448</xdr:row>
                <xdr:rowOff>146050</xdr:rowOff>
              </from>
              <to>
                <xdr:col>1</xdr:col>
                <xdr:colOff>641350</xdr:colOff>
                <xdr:row>450</xdr:row>
                <xdr:rowOff>19050</xdr:rowOff>
              </to>
            </anchor>
          </objectPr>
        </oleObject>
      </mc:Choice>
      <mc:Fallback>
        <oleObject progId="Equation.3" shapeId="519169" r:id="rId4"/>
      </mc:Fallback>
    </mc:AlternateContent>
    <mc:AlternateContent xmlns:mc="http://schemas.openxmlformats.org/markup-compatibility/2006">
      <mc:Choice Requires="x14">
        <oleObject progId="Equation.3" shapeId="519170" r:id="rId6">
          <objectPr defaultSize="0" autoPict="0" r:id="rId7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146050</xdr:colOff>
                <xdr:row>449</xdr:row>
                <xdr:rowOff>209550</xdr:rowOff>
              </to>
            </anchor>
          </objectPr>
        </oleObject>
      </mc:Choice>
      <mc:Fallback>
        <oleObject progId="Equation.3" shapeId="519170" r:id="rId6"/>
      </mc:Fallback>
    </mc:AlternateContent>
    <mc:AlternateContent xmlns:mc="http://schemas.openxmlformats.org/markup-compatibility/2006">
      <mc:Choice Requires="x14">
        <oleObject progId="Equation.3" shapeId="519171" r:id="rId8">
          <objectPr defaultSize="0" autoPict="0" r:id="rId9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247650</xdr:colOff>
                <xdr:row>449</xdr:row>
                <xdr:rowOff>165100</xdr:rowOff>
              </to>
            </anchor>
          </objectPr>
        </oleObject>
      </mc:Choice>
      <mc:Fallback>
        <oleObject progId="Equation.3" shapeId="519171" r:id="rId8"/>
      </mc:Fallback>
    </mc:AlternateContent>
    <mc:AlternateContent xmlns:mc="http://schemas.openxmlformats.org/markup-compatibility/2006">
      <mc:Choice Requires="x14">
        <oleObject progId="Equation.3" shapeId="519172" r:id="rId10">
          <objectPr defaultSize="0" autoPict="0" r:id="rId11">
            <anchor moveWithCells="1">
              <from>
                <xdr:col>4</xdr:col>
                <xdr:colOff>685800</xdr:colOff>
                <xdr:row>448</xdr:row>
                <xdr:rowOff>146050</xdr:rowOff>
              </from>
              <to>
                <xdr:col>6</xdr:col>
                <xdr:colOff>76200</xdr:colOff>
                <xdr:row>449</xdr:row>
                <xdr:rowOff>203200</xdr:rowOff>
              </to>
            </anchor>
          </objectPr>
        </oleObject>
      </mc:Choice>
      <mc:Fallback>
        <oleObject progId="Equation.3" shapeId="519172" r:id="rId10"/>
      </mc:Fallback>
    </mc:AlternateContent>
    <mc:AlternateContent xmlns:mc="http://schemas.openxmlformats.org/markup-compatibility/2006">
      <mc:Choice Requires="x14">
        <oleObject progId="Equation.3" shapeId="519173" r:id="rId12">
          <objectPr defaultSize="0" autoPict="0" r:id="rId13">
            <anchor moveWithCells="1">
              <from>
                <xdr:col>2</xdr:col>
                <xdr:colOff>209550</xdr:colOff>
                <xdr:row>448</xdr:row>
                <xdr:rowOff>88900</xdr:rowOff>
              </from>
              <to>
                <xdr:col>3</xdr:col>
                <xdr:colOff>361950</xdr:colOff>
                <xdr:row>450</xdr:row>
                <xdr:rowOff>95250</xdr:rowOff>
              </to>
            </anchor>
          </objectPr>
        </oleObject>
      </mc:Choice>
      <mc:Fallback>
        <oleObject progId="Equation.3" shapeId="519173" r:id="rId12"/>
      </mc:Fallback>
    </mc:AlternateContent>
    <mc:AlternateContent xmlns:mc="http://schemas.openxmlformats.org/markup-compatibility/2006">
      <mc:Choice Requires="x14">
        <oleObject progId="Equation.3" shapeId="519174" r:id="rId14">
          <objectPr defaultSize="0" autoPict="0" r:id="rId15">
            <anchor moveWithCells="1">
              <from>
                <xdr:col>1</xdr:col>
                <xdr:colOff>19050</xdr:colOff>
                <xdr:row>449</xdr:row>
                <xdr:rowOff>19050</xdr:rowOff>
              </from>
              <to>
                <xdr:col>3</xdr:col>
                <xdr:colOff>222250</xdr:colOff>
                <xdr:row>450</xdr:row>
                <xdr:rowOff>165100</xdr:rowOff>
              </to>
            </anchor>
          </objectPr>
        </oleObject>
      </mc:Choice>
      <mc:Fallback>
        <oleObject progId="Equation.3" shapeId="519174" r:id="rId14"/>
      </mc:Fallback>
    </mc:AlternateContent>
    <mc:AlternateContent xmlns:mc="http://schemas.openxmlformats.org/markup-compatibility/2006">
      <mc:Choice Requires="x14">
        <oleObject progId="Equation.3" shapeId="519175" r:id="rId16">
          <objectPr defaultSize="0" autoPict="0" r:id="rId17">
            <anchor moveWithCells="1">
              <from>
                <xdr:col>1</xdr:col>
                <xdr:colOff>241300</xdr:colOff>
                <xdr:row>448</xdr:row>
                <xdr:rowOff>133350</xdr:rowOff>
              </from>
              <to>
                <xdr:col>2</xdr:col>
                <xdr:colOff>336550</xdr:colOff>
                <xdr:row>450</xdr:row>
                <xdr:rowOff>31750</xdr:rowOff>
              </to>
            </anchor>
          </objectPr>
        </oleObject>
      </mc:Choice>
      <mc:Fallback>
        <oleObject progId="Equation.3" shapeId="519175" r:id="rId16"/>
      </mc:Fallback>
    </mc:AlternateContent>
    <mc:AlternateContent xmlns:mc="http://schemas.openxmlformats.org/markup-compatibility/2006">
      <mc:Choice Requires="x14">
        <oleObject progId="Equation.3" shapeId="519176" r:id="rId18">
          <objectPr defaultSize="0" autoPict="0" r:id="rId9">
            <anchor moveWithCells="1">
              <from>
                <xdr:col>3</xdr:col>
                <xdr:colOff>476250</xdr:colOff>
                <xdr:row>448</xdr:row>
                <xdr:rowOff>88900</xdr:rowOff>
              </from>
              <to>
                <xdr:col>4</xdr:col>
                <xdr:colOff>628650</xdr:colOff>
                <xdr:row>449</xdr:row>
                <xdr:rowOff>203200</xdr:rowOff>
              </to>
            </anchor>
          </objectPr>
        </oleObject>
      </mc:Choice>
      <mc:Fallback>
        <oleObject progId="Equation.3" shapeId="519176" r:id="rId18"/>
      </mc:Fallback>
    </mc:AlternateContent>
    <mc:AlternateContent xmlns:mc="http://schemas.openxmlformats.org/markup-compatibility/2006">
      <mc:Choice Requires="x14">
        <oleObject progId="Equation.3" shapeId="519177" r:id="rId19">
          <objectPr defaultSize="0" autoPict="0" r:id="rId9">
            <anchor moveWithCells="1">
              <from>
                <xdr:col>3</xdr:col>
                <xdr:colOff>508000</xdr:colOff>
                <xdr:row>449</xdr:row>
                <xdr:rowOff>31750</xdr:rowOff>
              </from>
              <to>
                <xdr:col>4</xdr:col>
                <xdr:colOff>622300</xdr:colOff>
                <xdr:row>450</xdr:row>
                <xdr:rowOff>88900</xdr:rowOff>
              </to>
            </anchor>
          </objectPr>
        </oleObject>
      </mc:Choice>
      <mc:Fallback>
        <oleObject progId="Equation.3" shapeId="519177" r:id="rId19"/>
      </mc:Fallback>
    </mc:AlternateContent>
    <mc:AlternateContent xmlns:mc="http://schemas.openxmlformats.org/markup-compatibility/2006">
      <mc:Choice Requires="x14">
        <oleObject progId="Equation.3" shapeId="519178" r:id="rId20">
          <objectPr defaultSize="0" autoPict="0" r:id="rId17">
            <anchor moveWithCells="1">
              <from>
                <xdr:col>1</xdr:col>
                <xdr:colOff>241300</xdr:colOff>
                <xdr:row>448</xdr:row>
                <xdr:rowOff>127000</xdr:rowOff>
              </from>
              <to>
                <xdr:col>2</xdr:col>
                <xdr:colOff>336550</xdr:colOff>
                <xdr:row>450</xdr:row>
                <xdr:rowOff>19050</xdr:rowOff>
              </to>
            </anchor>
          </objectPr>
        </oleObject>
      </mc:Choice>
      <mc:Fallback>
        <oleObject progId="Equation.3" shapeId="519178" r:id="rId20"/>
      </mc:Fallback>
    </mc:AlternateContent>
    <mc:AlternateContent xmlns:mc="http://schemas.openxmlformats.org/markup-compatibility/2006">
      <mc:Choice Requires="x14">
        <oleObject progId="Equation.3" shapeId="519179" r:id="rId21">
          <objectPr defaultSize="0" autoPict="0" r:id="rId11">
            <anchor moveWithCells="1">
              <from>
                <xdr:col>5</xdr:col>
                <xdr:colOff>12700</xdr:colOff>
                <xdr:row>448</xdr:row>
                <xdr:rowOff>165100</xdr:rowOff>
              </from>
              <to>
                <xdr:col>6</xdr:col>
                <xdr:colOff>114300</xdr:colOff>
                <xdr:row>449</xdr:row>
                <xdr:rowOff>209550</xdr:rowOff>
              </to>
            </anchor>
          </objectPr>
        </oleObject>
      </mc:Choice>
      <mc:Fallback>
        <oleObject progId="Equation.3" shapeId="519179" r:id="rId21"/>
      </mc:Fallback>
    </mc:AlternateContent>
    <mc:AlternateContent xmlns:mc="http://schemas.openxmlformats.org/markup-compatibility/2006">
      <mc:Choice Requires="x14">
        <oleObject progId="Equation.3" shapeId="519180" r:id="rId22">
          <objectPr defaultSize="0" autoPict="0" r:id="rId23">
            <anchor moveWithCells="1" sizeWithCells="1">
              <from>
                <xdr:col>2</xdr:col>
                <xdr:colOff>431800</xdr:colOff>
                <xdr:row>312</xdr:row>
                <xdr:rowOff>31750</xdr:rowOff>
              </from>
              <to>
                <xdr:col>3</xdr:col>
                <xdr:colOff>628650</xdr:colOff>
                <xdr:row>314</xdr:row>
                <xdr:rowOff>114300</xdr:rowOff>
              </to>
            </anchor>
          </objectPr>
        </oleObject>
      </mc:Choice>
      <mc:Fallback>
        <oleObject progId="Equation.3" shapeId="519180" r:id="rId22"/>
      </mc:Fallback>
    </mc:AlternateContent>
    <mc:AlternateContent xmlns:mc="http://schemas.openxmlformats.org/markup-compatibility/2006">
      <mc:Choice Requires="x14">
        <oleObject progId="Equation.3" shapeId="519181" r:id="rId24">
          <objectPr defaultSize="0" autoPict="0" r:id="rId25">
            <anchor moveWithCells="1" sizeWithCells="1">
              <from>
                <xdr:col>2</xdr:col>
                <xdr:colOff>38100</xdr:colOff>
                <xdr:row>314</xdr:row>
                <xdr:rowOff>114300</xdr:rowOff>
              </from>
              <to>
                <xdr:col>3</xdr:col>
                <xdr:colOff>704850</xdr:colOff>
                <xdr:row>316</xdr:row>
                <xdr:rowOff>50800</xdr:rowOff>
              </to>
            </anchor>
          </objectPr>
        </oleObject>
      </mc:Choice>
      <mc:Fallback>
        <oleObject progId="Equation.3" shapeId="519181" r:id="rId24"/>
      </mc:Fallback>
    </mc:AlternateContent>
    <mc:AlternateContent xmlns:mc="http://schemas.openxmlformats.org/markup-compatibility/2006">
      <mc:Choice Requires="x14">
        <oleObject progId="Visio.Drawing.11" shapeId="519182" r:id="rId26">
          <objectPr defaultSize="0" autoPict="0" r:id="rId27">
            <anchor moveWithCells="1">
              <from>
                <xdr:col>9</xdr:col>
                <xdr:colOff>12700</xdr:colOff>
                <xdr:row>448</xdr:row>
                <xdr:rowOff>69850</xdr:rowOff>
              </from>
              <to>
                <xdr:col>10</xdr:col>
                <xdr:colOff>336550</xdr:colOff>
                <xdr:row>453</xdr:row>
                <xdr:rowOff>107950</xdr:rowOff>
              </to>
            </anchor>
          </objectPr>
        </oleObject>
      </mc:Choice>
      <mc:Fallback>
        <oleObject progId="Visio.Drawing.11" shapeId="519182" r:id="rId26"/>
      </mc:Fallback>
    </mc:AlternateContent>
    <mc:AlternateContent xmlns:mc="http://schemas.openxmlformats.org/markup-compatibility/2006">
      <mc:Choice Requires="x14">
        <oleObject progId="Visio.Drawing.11" shapeId="519183" r:id="rId28">
          <objectPr defaultSize="0" autoPict="0" r:id="rId29">
            <anchor moveWithCells="1">
              <from>
                <xdr:col>8</xdr:col>
                <xdr:colOff>152400</xdr:colOff>
                <xdr:row>448</xdr:row>
                <xdr:rowOff>69850</xdr:rowOff>
              </from>
              <to>
                <xdr:col>9</xdr:col>
                <xdr:colOff>450850</xdr:colOff>
                <xdr:row>453</xdr:row>
                <xdr:rowOff>88900</xdr:rowOff>
              </to>
            </anchor>
          </objectPr>
        </oleObject>
      </mc:Choice>
      <mc:Fallback>
        <oleObject progId="Visio.Drawing.11" shapeId="519183" r:id="rId28"/>
      </mc:Fallback>
    </mc:AlternateContent>
    <mc:AlternateContent xmlns:mc="http://schemas.openxmlformats.org/markup-compatibility/2006">
      <mc:Choice Requires="x14">
        <oleObject progId="Equation.DSMT4" shapeId="519184" r:id="rId30">
          <objectPr defaultSize="0" autoPict="0" r:id="rId31">
            <anchor moveWithCells="1" sizeWithCells="1">
              <from>
                <xdr:col>3</xdr:col>
                <xdr:colOff>38100</xdr:colOff>
                <xdr:row>147</xdr:row>
                <xdr:rowOff>69850</xdr:rowOff>
              </from>
              <to>
                <xdr:col>4</xdr:col>
                <xdr:colOff>260350</xdr:colOff>
                <xdr:row>148</xdr:row>
                <xdr:rowOff>57150</xdr:rowOff>
              </to>
            </anchor>
          </objectPr>
        </oleObject>
      </mc:Choice>
      <mc:Fallback>
        <oleObject progId="Equation.DSMT4" shapeId="519184" r:id="rId30"/>
      </mc:Fallback>
    </mc:AlternateContent>
    <mc:AlternateContent xmlns:mc="http://schemas.openxmlformats.org/markup-compatibility/2006">
      <mc:Choice Requires="x14">
        <oleObject progId="Equation.3" shapeId="519185" r:id="rId32">
          <objectPr defaultSize="0" autoPict="0" r:id="rId33">
            <anchor moveWithCells="1">
              <from>
                <xdr:col>1</xdr:col>
                <xdr:colOff>31750</xdr:colOff>
                <xdr:row>153</xdr:row>
                <xdr:rowOff>0</xdr:rowOff>
              </from>
              <to>
                <xdr:col>3</xdr:col>
                <xdr:colOff>660400</xdr:colOff>
                <xdr:row>154</xdr:row>
                <xdr:rowOff>184150</xdr:rowOff>
              </to>
            </anchor>
          </objectPr>
        </oleObject>
      </mc:Choice>
      <mc:Fallback>
        <oleObject progId="Equation.3" shapeId="519185" r:id="rId32"/>
      </mc:Fallback>
    </mc:AlternateContent>
    <mc:AlternateContent xmlns:mc="http://schemas.openxmlformats.org/markup-compatibility/2006">
      <mc:Choice Requires="x14">
        <oleObject progId="Equation.3" shapeId="519186" r:id="rId34">
          <objectPr defaultSize="0" autoPict="0" r:id="rId35">
            <anchor moveWithCells="1">
              <from>
                <xdr:col>5</xdr:col>
                <xdr:colOff>476250</xdr:colOff>
                <xdr:row>142</xdr:row>
                <xdr:rowOff>12700</xdr:rowOff>
              </from>
              <to>
                <xdr:col>7</xdr:col>
                <xdr:colOff>114300</xdr:colOff>
                <xdr:row>143</xdr:row>
                <xdr:rowOff>31750</xdr:rowOff>
              </to>
            </anchor>
          </objectPr>
        </oleObject>
      </mc:Choice>
      <mc:Fallback>
        <oleObject progId="Equation.3" shapeId="519186" r:id="rId34"/>
      </mc:Fallback>
    </mc:AlternateContent>
    <mc:AlternateContent xmlns:mc="http://schemas.openxmlformats.org/markup-compatibility/2006">
      <mc:Choice Requires="x14">
        <oleObject progId="Equation.3" shapeId="519187" r:id="rId36">
          <objectPr defaultSize="0" autoPict="0" r:id="rId37">
            <anchor moveWithCells="1">
              <from>
                <xdr:col>2</xdr:col>
                <xdr:colOff>603250</xdr:colOff>
                <xdr:row>142</xdr:row>
                <xdr:rowOff>247650</xdr:rowOff>
              </from>
              <to>
                <xdr:col>5</xdr:col>
                <xdr:colOff>12700</xdr:colOff>
                <xdr:row>144</xdr:row>
                <xdr:rowOff>88900</xdr:rowOff>
              </to>
            </anchor>
          </objectPr>
        </oleObject>
      </mc:Choice>
      <mc:Fallback>
        <oleObject progId="Equation.3" shapeId="519187" r:id="rId36"/>
      </mc:Fallback>
    </mc:AlternateContent>
    <mc:AlternateContent xmlns:mc="http://schemas.openxmlformats.org/markup-compatibility/2006">
      <mc:Choice Requires="x14">
        <oleObject progId="Equation.3" shapeId="519188" r:id="rId38">
          <objectPr defaultSize="0" autoPict="0" r:id="rId39">
            <anchor moveWithCells="1">
              <from>
                <xdr:col>5</xdr:col>
                <xdr:colOff>323850</xdr:colOff>
                <xdr:row>144</xdr:row>
                <xdr:rowOff>19050</xdr:rowOff>
              </from>
              <to>
                <xdr:col>6</xdr:col>
                <xdr:colOff>736600</xdr:colOff>
                <xdr:row>145</xdr:row>
                <xdr:rowOff>19050</xdr:rowOff>
              </to>
            </anchor>
          </objectPr>
        </oleObject>
      </mc:Choice>
      <mc:Fallback>
        <oleObject progId="Equation.3" shapeId="519188" r:id="rId38"/>
      </mc:Fallback>
    </mc:AlternateContent>
    <mc:AlternateContent xmlns:mc="http://schemas.openxmlformats.org/markup-compatibility/2006">
      <mc:Choice Requires="x14">
        <oleObject progId="Equation.3" shapeId="519189" r:id="rId40">
          <objectPr defaultSize="0" autoPict="0" r:id="rId41">
            <anchor moveWithCells="1">
              <from>
                <xdr:col>2</xdr:col>
                <xdr:colOff>622300</xdr:colOff>
                <xdr:row>144</xdr:row>
                <xdr:rowOff>336550</xdr:rowOff>
              </from>
              <to>
                <xdr:col>4</xdr:col>
                <xdr:colOff>698500</xdr:colOff>
                <xdr:row>146</xdr:row>
                <xdr:rowOff>31750</xdr:rowOff>
              </to>
            </anchor>
          </objectPr>
        </oleObject>
      </mc:Choice>
      <mc:Fallback>
        <oleObject progId="Equation.3" shapeId="519189" r:id="rId40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E52B6-2CC0-4100-A5F2-EBFD20A0D376}">
  <sheetPr codeName="Sheet52"/>
  <dimension ref="A1:AO553"/>
  <sheetViews>
    <sheetView view="pageBreakPreview" zoomScaleNormal="100" zoomScaleSheetLayoutView="100" workbookViewId="0">
      <selection activeCell="N42" sqref="N42:N45"/>
    </sheetView>
  </sheetViews>
  <sheetFormatPr defaultColWidth="10.69921875" defaultRowHeight="19.899999999999999" customHeight="1" outlineLevelRow="1"/>
  <cols>
    <col min="1" max="2" width="11.59765625" style="2" customWidth="1"/>
    <col min="3" max="3" width="10.69921875" style="2"/>
    <col min="4" max="4" width="11.296875" style="2" customWidth="1"/>
    <col min="5" max="5" width="10.69921875" style="2"/>
    <col min="6" max="6" width="11.09765625" style="2" customWidth="1"/>
    <col min="7" max="7" width="11.296875" style="2" customWidth="1"/>
    <col min="8" max="8" width="10.69921875" style="2"/>
    <col min="9" max="9" width="11.3984375" style="2" customWidth="1"/>
    <col min="10" max="10" width="10.69921875" style="2"/>
    <col min="11" max="11" width="10.69921875" style="4"/>
    <col min="12" max="12" width="10.69921875" style="3"/>
    <col min="13" max="21" width="10.69921875" style="4" hidden="1" customWidth="1"/>
    <col min="22" max="33" width="10.69921875" style="4"/>
    <col min="34" max="16384" width="10.69921875" style="2"/>
  </cols>
  <sheetData>
    <row r="1" spans="1:30" ht="19.899999999999999" customHeight="1">
      <c r="A1" s="1589" t="str">
        <f>'D122-42'!A1:B1</f>
        <v>CÔNG TRÌNH</v>
      </c>
      <c r="B1" s="1589"/>
      <c r="C1" s="841" t="str">
        <f>'D122-42'!C1:D1</f>
        <v>NHÀ MÁY ĐIỆN GIÓ KHU DU LỊCH KHAI LONG - CÀ MAU GIAI ĐOẠN 1</v>
      </c>
      <c r="D1" s="841"/>
      <c r="E1" s="841"/>
      <c r="F1" s="841"/>
      <c r="G1" s="841"/>
      <c r="H1" s="758"/>
      <c r="I1" s="424"/>
      <c r="J1" s="842"/>
    </row>
    <row r="2" spans="1:30" ht="19.899999999999999" customHeight="1">
      <c r="A2" s="1589" t="str">
        <f>'D122-42'!A2:B2</f>
        <v>HẠNG MỤC</v>
      </c>
      <c r="B2" s="1589"/>
      <c r="C2" s="841" t="str">
        <f>'D122-42'!C2:D2</f>
        <v>ĐƯỜNG DÂY ĐẤU NỐI</v>
      </c>
      <c r="D2" s="841"/>
      <c r="E2" s="841"/>
      <c r="F2" s="841"/>
      <c r="G2" s="841"/>
      <c r="H2" s="841"/>
      <c r="I2" s="841"/>
      <c r="J2" s="841"/>
      <c r="K2" s="841"/>
      <c r="L2" s="841"/>
      <c r="V2" s="843" t="s">
        <v>981</v>
      </c>
      <c r="W2" s="844"/>
    </row>
    <row r="3" spans="1:30" ht="19.899999999999999" customHeight="1">
      <c r="A3" s="1589" t="str">
        <f>'D122-42'!A3:B3</f>
        <v xml:space="preserve">Cột </v>
      </c>
      <c r="B3" s="1589"/>
      <c r="C3" s="1592" t="str">
        <f>'D122-42'!C3:D3</f>
        <v>D122-42</v>
      </c>
      <c r="D3" s="1590"/>
      <c r="E3" s="1590"/>
      <c r="F3" s="1590"/>
      <c r="G3" s="1590"/>
      <c r="H3" s="1588" t="s">
        <v>944</v>
      </c>
      <c r="I3" s="1588"/>
      <c r="N3" s="845"/>
      <c r="O3" s="845"/>
      <c r="V3" s="846"/>
      <c r="W3" s="846" t="str">
        <f>IF(V3="Ao","A","")</f>
        <v/>
      </c>
    </row>
    <row r="4" spans="1:30" ht="19.899999999999999" customHeight="1">
      <c r="A4" s="1589" t="str">
        <f>'D122-42'!A4:B4</f>
        <v>Loại móng</v>
      </c>
      <c r="B4" s="1589"/>
      <c r="C4" s="1590" t="str">
        <f>'D122-42'!C4:D4</f>
        <v>MB4-10x12-2.5</v>
      </c>
      <c r="D4" s="1590"/>
      <c r="E4" s="1590"/>
      <c r="F4" s="1590"/>
      <c r="G4" s="1590"/>
      <c r="H4" s="842"/>
      <c r="I4" s="847"/>
      <c r="J4" s="842"/>
      <c r="N4" s="845"/>
      <c r="O4" s="845"/>
    </row>
    <row r="5" spans="1:30" ht="19.899999999999999" hidden="1" customHeight="1">
      <c r="A5" s="848"/>
      <c r="B5" s="848"/>
      <c r="C5" s="849"/>
      <c r="D5" s="849"/>
      <c r="E5" s="708"/>
      <c r="F5" s="708"/>
      <c r="G5" s="850"/>
      <c r="H5" s="851"/>
      <c r="I5" s="852"/>
      <c r="J5" s="853"/>
      <c r="K5" s="854"/>
      <c r="L5" s="855"/>
    </row>
    <row r="6" spans="1:30" ht="19.899999999999999" customHeight="1">
      <c r="A6" s="842"/>
      <c r="B6" s="842"/>
      <c r="C6" s="842"/>
      <c r="D6" s="842"/>
      <c r="E6" s="842"/>
      <c r="F6" s="842"/>
      <c r="G6" s="842"/>
      <c r="H6" s="842"/>
      <c r="I6" s="842"/>
      <c r="J6" s="856" t="s">
        <v>211</v>
      </c>
      <c r="K6" s="355"/>
      <c r="L6" s="856"/>
      <c r="N6"/>
      <c r="O6"/>
      <c r="P6"/>
      <c r="Q6"/>
      <c r="R6"/>
      <c r="S6"/>
      <c r="T6"/>
      <c r="U6"/>
    </row>
    <row r="7" spans="1:30" ht="19.899999999999999" customHeight="1">
      <c r="A7" s="842"/>
      <c r="B7" s="842"/>
      <c r="C7" s="842"/>
      <c r="D7" s="842"/>
      <c r="E7" s="842"/>
      <c r="F7" s="842"/>
      <c r="G7" s="1584">
        <f>K26</f>
        <v>2.75</v>
      </c>
      <c r="H7" s="842"/>
      <c r="I7" s="842"/>
      <c r="J7" s="857" t="s">
        <v>888</v>
      </c>
      <c r="K7" s="356">
        <f>'D122-42'!K7</f>
        <v>4</v>
      </c>
      <c r="L7" s="856" t="s">
        <v>0</v>
      </c>
      <c r="N7"/>
      <c r="O7"/>
      <c r="P7"/>
      <c r="Q7"/>
      <c r="R7"/>
      <c r="S7"/>
      <c r="T7"/>
      <c r="U7"/>
      <c r="V7" s="858" t="s">
        <v>852</v>
      </c>
    </row>
    <row r="8" spans="1:30" ht="19.899999999999999" customHeight="1">
      <c r="A8" s="842"/>
      <c r="B8" s="1435">
        <f>K23</f>
        <v>0.7</v>
      </c>
      <c r="C8" s="842"/>
      <c r="D8" s="842"/>
      <c r="E8" s="842"/>
      <c r="F8" s="842"/>
      <c r="G8" s="1584"/>
      <c r="H8" s="859"/>
      <c r="I8" s="842"/>
      <c r="J8" s="857" t="s">
        <v>889</v>
      </c>
      <c r="K8" s="356">
        <f>'D122-42'!K8</f>
        <v>4</v>
      </c>
      <c r="L8" s="856" t="s">
        <v>0</v>
      </c>
      <c r="N8"/>
      <c r="O8"/>
      <c r="P8"/>
      <c r="Q8"/>
      <c r="R8"/>
      <c r="S8"/>
      <c r="T8"/>
      <c r="U8"/>
      <c r="V8" s="1559" t="s">
        <v>216</v>
      </c>
      <c r="W8" s="1559" t="s">
        <v>217</v>
      </c>
      <c r="X8" s="183" t="s">
        <v>218</v>
      </c>
      <c r="Y8" s="183" t="s">
        <v>163</v>
      </c>
      <c r="Z8" s="1578" t="s">
        <v>39</v>
      </c>
      <c r="AA8" s="1578" t="s">
        <v>220</v>
      </c>
      <c r="AB8" s="860" t="s">
        <v>221</v>
      </c>
      <c r="AC8" s="183" t="s">
        <v>25</v>
      </c>
      <c r="AD8" s="183" t="s">
        <v>26</v>
      </c>
    </row>
    <row r="9" spans="1:30" ht="19.899999999999999" customHeight="1">
      <c r="A9" s="355" t="s">
        <v>214</v>
      </c>
      <c r="B9" s="842"/>
      <c r="C9" s="842"/>
      <c r="D9" s="842"/>
      <c r="E9" s="842"/>
      <c r="F9" s="857" t="s">
        <v>214</v>
      </c>
      <c r="G9" s="1584"/>
      <c r="H9" s="842"/>
      <c r="I9" s="842"/>
      <c r="J9" s="842" t="s">
        <v>606</v>
      </c>
      <c r="K9" s="356"/>
      <c r="L9" s="856"/>
      <c r="N9"/>
      <c r="O9"/>
      <c r="P9"/>
      <c r="Q9"/>
      <c r="R9"/>
      <c r="S9"/>
      <c r="T9"/>
      <c r="U9"/>
      <c r="V9" s="1559"/>
      <c r="W9" s="1559"/>
      <c r="X9" s="861" t="s">
        <v>0</v>
      </c>
      <c r="Y9" s="861" t="s">
        <v>24</v>
      </c>
      <c r="Z9" s="1579"/>
      <c r="AA9" s="1579"/>
      <c r="AB9" s="861" t="s">
        <v>219</v>
      </c>
      <c r="AC9" s="861" t="s">
        <v>10</v>
      </c>
      <c r="AD9" s="861" t="s">
        <v>10</v>
      </c>
    </row>
    <row r="10" spans="1:30" ht="19.899999999999999" customHeight="1">
      <c r="A10" s="1594">
        <f>K23</f>
        <v>0.7</v>
      </c>
      <c r="B10" s="842"/>
      <c r="C10" s="842"/>
      <c r="D10" s="842"/>
      <c r="E10" s="842"/>
      <c r="F10" s="842"/>
      <c r="G10" s="1591">
        <f>K16</f>
        <v>0.5</v>
      </c>
      <c r="H10" s="842"/>
      <c r="I10" s="842"/>
      <c r="J10" s="857" t="s">
        <v>112</v>
      </c>
      <c r="K10" s="356">
        <f>'D122-42'!K10</f>
        <v>10</v>
      </c>
      <c r="L10" s="856" t="s">
        <v>0</v>
      </c>
      <c r="N10"/>
      <c r="O10"/>
      <c r="P10"/>
      <c r="Q10"/>
      <c r="R10"/>
      <c r="S10"/>
      <c r="T10"/>
      <c r="U10"/>
      <c r="V10" s="12" t="s">
        <v>1003</v>
      </c>
      <c r="W10" s="1238" t="s">
        <v>1122</v>
      </c>
      <c r="X10" s="1239">
        <v>1.6</v>
      </c>
      <c r="Y10" s="1240">
        <v>2.11</v>
      </c>
      <c r="Z10" s="1240">
        <v>2.68</v>
      </c>
      <c r="AA10" s="1240">
        <v>0.47806445497630334</v>
      </c>
      <c r="AB10" s="1240">
        <v>16.91666</v>
      </c>
      <c r="AC10" s="1240">
        <f>10*0.3906</f>
        <v>3.9060000000000001</v>
      </c>
      <c r="AD10" s="1240">
        <v>2180</v>
      </c>
    </row>
    <row r="11" spans="1:30" ht="19.899999999999999" customHeight="1">
      <c r="A11" s="1594"/>
      <c r="B11" s="842"/>
      <c r="C11" s="842"/>
      <c r="D11" s="842"/>
      <c r="E11" s="842"/>
      <c r="F11" s="842"/>
      <c r="G11" s="1591"/>
      <c r="H11" s="866"/>
      <c r="I11" s="842"/>
      <c r="J11" s="857" t="s">
        <v>113</v>
      </c>
      <c r="K11" s="356">
        <f>'D122-42'!K11</f>
        <v>12</v>
      </c>
      <c r="L11" s="856" t="s">
        <v>0</v>
      </c>
      <c r="N11"/>
      <c r="O11"/>
      <c r="P11"/>
      <c r="Q11"/>
      <c r="R11"/>
      <c r="S11"/>
      <c r="T11"/>
      <c r="U11"/>
      <c r="V11" s="12" t="s">
        <v>515</v>
      </c>
      <c r="W11" s="1238" t="s">
        <v>1123</v>
      </c>
      <c r="X11" s="1239">
        <v>3.9</v>
      </c>
      <c r="Y11" s="1240">
        <v>2.09</v>
      </c>
      <c r="Z11" s="1240">
        <v>2.7</v>
      </c>
      <c r="AA11" s="1240">
        <v>0.52556459330143568</v>
      </c>
      <c r="AB11" s="1240">
        <v>17.2666</v>
      </c>
      <c r="AC11" s="1240">
        <f>10*0.3537</f>
        <v>3.5369999999999999</v>
      </c>
      <c r="AD11" s="1240">
        <v>2060</v>
      </c>
    </row>
    <row r="12" spans="1:30" ht="19.899999999999999" customHeight="1">
      <c r="A12" s="842"/>
      <c r="B12" s="842"/>
      <c r="C12" s="842"/>
      <c r="D12" s="446">
        <f>K20</f>
        <v>1</v>
      </c>
      <c r="E12" s="842"/>
      <c r="F12" s="842"/>
      <c r="G12" s="842"/>
      <c r="H12" s="842"/>
      <c r="I12" s="842"/>
      <c r="J12" s="857" t="s">
        <v>123</v>
      </c>
      <c r="K12" s="356">
        <f>+ROUND(K11/K10,2)</f>
        <v>1.2</v>
      </c>
      <c r="L12" s="856"/>
      <c r="V12" s="12" t="s">
        <v>1006</v>
      </c>
      <c r="W12" s="1238" t="s">
        <v>1124</v>
      </c>
      <c r="X12" s="1239">
        <v>1.5</v>
      </c>
      <c r="Y12" s="1240">
        <v>2.0499999999999998</v>
      </c>
      <c r="Z12" s="1240">
        <v>2.65</v>
      </c>
      <c r="AA12" s="1240">
        <v>0.54475609756097576</v>
      </c>
      <c r="AB12" s="1240">
        <v>19.066600000000001</v>
      </c>
      <c r="AC12" s="1240">
        <f>10*0.1881</f>
        <v>1.8809999999999998</v>
      </c>
      <c r="AD12" s="1240">
        <v>2860</v>
      </c>
    </row>
    <row r="13" spans="1:30" ht="19.899999999999999" customHeight="1">
      <c r="A13" s="842"/>
      <c r="B13" s="842"/>
      <c r="C13" s="842"/>
      <c r="D13" s="842"/>
      <c r="E13" s="842"/>
      <c r="F13" s="842"/>
      <c r="G13" s="842"/>
      <c r="H13" s="842"/>
      <c r="I13" s="842"/>
      <c r="J13" s="842" t="s">
        <v>607</v>
      </c>
      <c r="K13" s="356"/>
      <c r="L13" s="856"/>
      <c r="V13" s="12" t="s">
        <v>1132</v>
      </c>
      <c r="W13" s="1238" t="s">
        <v>1125</v>
      </c>
      <c r="X13" s="863">
        <v>5</v>
      </c>
      <c r="Y13" s="864">
        <v>2.04</v>
      </c>
      <c r="Z13" s="864">
        <v>2.65</v>
      </c>
      <c r="AA13" s="864">
        <v>0.53570098039215663</v>
      </c>
      <c r="AB13" s="865">
        <v>20.25</v>
      </c>
      <c r="AC13" s="864">
        <f>10*0.2034</f>
        <v>2.0339999999999998</v>
      </c>
      <c r="AD13" s="864">
        <v>3030</v>
      </c>
    </row>
    <row r="14" spans="1:30" ht="19.899999999999999" customHeight="1">
      <c r="A14" s="842"/>
      <c r="B14" s="842"/>
      <c r="D14" s="842"/>
      <c r="E14" s="867"/>
      <c r="F14" s="842"/>
      <c r="G14" s="1581">
        <f>K25</f>
        <v>3.5</v>
      </c>
      <c r="H14" s="842"/>
      <c r="I14" s="842"/>
      <c r="J14" s="857" t="s">
        <v>75</v>
      </c>
      <c r="K14" s="356">
        <f>K38+K40</f>
        <v>3.5</v>
      </c>
      <c r="L14" s="856" t="s">
        <v>0</v>
      </c>
      <c r="W14" s="862"/>
      <c r="X14" s="863"/>
      <c r="Y14" s="864"/>
      <c r="Z14" s="864"/>
      <c r="AA14" s="864"/>
      <c r="AB14" s="865"/>
      <c r="AC14" s="864"/>
      <c r="AD14" s="864"/>
    </row>
    <row r="15" spans="1:30" ht="19.899999999999999" customHeight="1">
      <c r="A15" s="842"/>
      <c r="B15" s="842"/>
      <c r="C15" s="1593">
        <f>K20</f>
        <v>1</v>
      </c>
      <c r="D15" s="842"/>
      <c r="E15" s="842"/>
      <c r="F15" s="842"/>
      <c r="G15" s="1581"/>
      <c r="H15" s="859"/>
      <c r="I15" s="842"/>
      <c r="J15" s="842" t="s">
        <v>608</v>
      </c>
      <c r="K15" s="356"/>
      <c r="L15" s="856"/>
      <c r="W15" s="4" t="s">
        <v>566</v>
      </c>
    </row>
    <row r="16" spans="1:30" ht="19.899999999999999" customHeight="1">
      <c r="A16" s="355" t="s">
        <v>215</v>
      </c>
      <c r="B16" s="842"/>
      <c r="C16" s="1593"/>
      <c r="D16" s="842"/>
      <c r="E16" s="842"/>
      <c r="F16" s="857" t="s">
        <v>215</v>
      </c>
      <c r="G16" s="1581"/>
      <c r="H16" s="1595">
        <f>G7+G10+G14+G21+G23</f>
        <v>10</v>
      </c>
      <c r="I16" s="842"/>
      <c r="J16" s="857" t="s">
        <v>68</v>
      </c>
      <c r="K16" s="356">
        <f>'D122-42'!K16</f>
        <v>0.5</v>
      </c>
      <c r="L16" s="856" t="s">
        <v>0</v>
      </c>
    </row>
    <row r="17" spans="1:19" ht="19.899999999999999" customHeight="1">
      <c r="A17" s="842"/>
      <c r="B17" s="842"/>
      <c r="C17" s="842"/>
      <c r="E17" s="842"/>
      <c r="F17" s="842"/>
      <c r="G17" s="842"/>
      <c r="H17" s="1595"/>
      <c r="I17" s="842"/>
      <c r="J17" s="857" t="s">
        <v>69</v>
      </c>
      <c r="K17" s="356">
        <f>'D122-42'!K17</f>
        <v>1</v>
      </c>
      <c r="L17" s="856" t="s">
        <v>0</v>
      </c>
    </row>
    <row r="18" spans="1:19" ht="19.899999999999999" customHeight="1">
      <c r="A18" s="842"/>
      <c r="B18" s="1436">
        <f>K21</f>
        <v>0.35</v>
      </c>
      <c r="C18" s="842"/>
      <c r="D18" s="355" t="s">
        <v>633</v>
      </c>
      <c r="E18" s="842"/>
      <c r="F18" s="842"/>
      <c r="G18" s="842"/>
      <c r="H18" s="842"/>
      <c r="I18" s="842"/>
      <c r="J18" s="842" t="s">
        <v>609</v>
      </c>
      <c r="K18" s="356"/>
      <c r="L18" s="856"/>
    </row>
    <row r="19" spans="1:19" ht="19.899999999999999" customHeight="1" thickBot="1">
      <c r="A19" s="842"/>
      <c r="B19" s="842"/>
      <c r="C19" s="842"/>
      <c r="D19" s="842"/>
      <c r="E19" s="842"/>
      <c r="F19" s="842"/>
      <c r="H19" s="842"/>
      <c r="I19" s="842"/>
      <c r="J19" s="857" t="s">
        <v>942</v>
      </c>
      <c r="K19" s="356">
        <f>'D122-42'!K19</f>
        <v>0.35</v>
      </c>
      <c r="L19" s="856" t="s">
        <v>0</v>
      </c>
    </row>
    <row r="20" spans="1:19" ht="19.899999999999999" customHeight="1" thickBot="1">
      <c r="A20" s="356">
        <f>K21</f>
        <v>0.35</v>
      </c>
      <c r="B20" s="842"/>
      <c r="C20" s="842"/>
      <c r="D20" s="842"/>
      <c r="E20" s="842"/>
      <c r="F20" s="842"/>
      <c r="G20" s="1434"/>
      <c r="H20" s="866"/>
      <c r="I20" s="842"/>
      <c r="J20" s="857" t="s">
        <v>115</v>
      </c>
      <c r="K20" s="356">
        <f>'D122-42'!K20</f>
        <v>1</v>
      </c>
      <c r="L20" s="856" t="s">
        <v>0</v>
      </c>
      <c r="P20" s="868" t="s">
        <v>71</v>
      </c>
      <c r="Q20" s="869"/>
      <c r="R20" s="870" t="s">
        <v>72</v>
      </c>
      <c r="S20" s="871" t="s">
        <v>73</v>
      </c>
    </row>
    <row r="21" spans="1:19" ht="19.899999999999999" customHeight="1" thickBot="1">
      <c r="A21" s="842"/>
      <c r="B21" s="842"/>
      <c r="C21" s="842"/>
      <c r="D21" s="842"/>
      <c r="E21" s="842"/>
      <c r="F21" s="842"/>
      <c r="G21" s="1434">
        <f>K16</f>
        <v>0.5</v>
      </c>
      <c r="H21" s="842"/>
      <c r="I21" s="842"/>
      <c r="J21" s="857" t="s">
        <v>76</v>
      </c>
      <c r="K21" s="356">
        <f>'D122-42'!K21</f>
        <v>0.35</v>
      </c>
      <c r="L21" s="856" t="s">
        <v>0</v>
      </c>
      <c r="P21" s="872">
        <v>30</v>
      </c>
      <c r="Q21" s="26">
        <f t="shared" ref="Q21:Q41" si="0">+P21/1000</f>
        <v>0.03</v>
      </c>
      <c r="R21" s="873">
        <f>3.14*Q21^2/4*7850</f>
        <v>5.5460250000000002</v>
      </c>
      <c r="S21" s="874">
        <f>3.14*Q21^2/4*10000</f>
        <v>7.0649999999999995</v>
      </c>
    </row>
    <row r="22" spans="1:19" ht="19.899999999999999" customHeight="1">
      <c r="A22" s="842"/>
      <c r="B22" s="842"/>
      <c r="C22" s="842"/>
      <c r="D22" s="842"/>
      <c r="E22" s="842"/>
      <c r="F22" s="842"/>
      <c r="G22" s="1426"/>
      <c r="H22" s="859"/>
      <c r="I22" s="842"/>
      <c r="J22" s="842" t="s">
        <v>610</v>
      </c>
      <c r="K22" s="356"/>
      <c r="L22" s="856"/>
      <c r="P22" s="872">
        <v>28</v>
      </c>
      <c r="Q22" s="26">
        <f>+P22/1000</f>
        <v>2.8000000000000001E-2</v>
      </c>
      <c r="R22" s="873">
        <f t="shared" ref="R22:R41" si="1">3.14*Q22^2/4*7850</f>
        <v>4.8312040000000005</v>
      </c>
      <c r="S22" s="874">
        <f t="shared" ref="S22:S41" si="2">3.14*Q22^2/4*10000</f>
        <v>6.1544000000000008</v>
      </c>
    </row>
    <row r="23" spans="1:19" ht="19.899999999999999" customHeight="1">
      <c r="A23" s="355" t="s">
        <v>214</v>
      </c>
      <c r="B23" s="842"/>
      <c r="C23" s="842"/>
      <c r="D23" s="842"/>
      <c r="E23" s="842"/>
      <c r="F23" s="857" t="s">
        <v>214</v>
      </c>
      <c r="G23" s="1584">
        <f>K26</f>
        <v>2.75</v>
      </c>
      <c r="H23" s="842"/>
      <c r="I23" s="842"/>
      <c r="J23" s="857" t="s">
        <v>74</v>
      </c>
      <c r="K23" s="356">
        <f>'D122-42'!K23</f>
        <v>0.7</v>
      </c>
      <c r="L23" s="856" t="s">
        <v>0</v>
      </c>
      <c r="P23" s="875">
        <v>25</v>
      </c>
      <c r="Q23" s="27">
        <f t="shared" si="0"/>
        <v>2.5000000000000001E-2</v>
      </c>
      <c r="R23" s="876">
        <f t="shared" si="1"/>
        <v>3.8514062500000006</v>
      </c>
      <c r="S23" s="877">
        <f>3.14*Q23^2/4*10000</f>
        <v>4.9062500000000009</v>
      </c>
    </row>
    <row r="24" spans="1:19" ht="19.899999999999999" customHeight="1">
      <c r="A24" s="842"/>
      <c r="B24" s="842"/>
      <c r="C24" s="842"/>
      <c r="D24" s="842"/>
      <c r="E24" s="842"/>
      <c r="F24" s="842"/>
      <c r="G24" s="1584"/>
      <c r="H24" s="842"/>
      <c r="I24" s="842"/>
      <c r="J24" s="842" t="s">
        <v>611</v>
      </c>
      <c r="K24" s="355"/>
      <c r="L24" s="856"/>
      <c r="P24" s="875">
        <v>22</v>
      </c>
      <c r="Q24" s="27">
        <f t="shared" si="0"/>
        <v>2.1999999999999999E-2</v>
      </c>
      <c r="R24" s="876">
        <f t="shared" si="1"/>
        <v>2.982529</v>
      </c>
      <c r="S24" s="877">
        <f t="shared" si="2"/>
        <v>3.7993999999999999</v>
      </c>
    </row>
    <row r="25" spans="1:19" ht="19.899999999999999" customHeight="1">
      <c r="A25" s="842"/>
      <c r="B25" s="842"/>
      <c r="C25" s="842"/>
      <c r="D25" s="842"/>
      <c r="E25" s="842"/>
      <c r="F25" s="842"/>
      <c r="G25" s="842"/>
      <c r="H25" s="842"/>
      <c r="I25" s="842"/>
      <c r="J25" s="759" t="s">
        <v>936</v>
      </c>
      <c r="K25" s="357">
        <f>K7-K16</f>
        <v>3.5</v>
      </c>
      <c r="L25" s="856" t="s">
        <v>0</v>
      </c>
      <c r="P25" s="875">
        <v>20</v>
      </c>
      <c r="Q25" s="27">
        <f t="shared" si="0"/>
        <v>0.02</v>
      </c>
      <c r="R25" s="876">
        <f t="shared" si="1"/>
        <v>2.4649000000000005</v>
      </c>
      <c r="S25" s="877">
        <f t="shared" si="2"/>
        <v>3.1400000000000006</v>
      </c>
    </row>
    <row r="26" spans="1:19" ht="19.899999999999999" customHeight="1">
      <c r="A26" s="1254">
        <f>K28</f>
        <v>3.75</v>
      </c>
      <c r="B26" s="839" t="str">
        <f>K16&amp;""</f>
        <v>0.5</v>
      </c>
      <c r="D26" s="357">
        <f>K27</f>
        <v>3.5</v>
      </c>
      <c r="F26" s="446">
        <f>K16</f>
        <v>0.5</v>
      </c>
      <c r="G26" s="906">
        <f>K28</f>
        <v>3.75</v>
      </c>
      <c r="H26" s="842"/>
      <c r="I26" s="842"/>
      <c r="J26" s="759" t="s">
        <v>935</v>
      </c>
      <c r="K26" s="357">
        <f>(K10-K7-K16)/2</f>
        <v>2.75</v>
      </c>
      <c r="L26" s="856" t="s">
        <v>0</v>
      </c>
      <c r="P26" s="875">
        <v>18</v>
      </c>
      <c r="Q26" s="27">
        <f t="shared" si="0"/>
        <v>1.7999999999999999E-2</v>
      </c>
      <c r="R26" s="876">
        <f t="shared" si="1"/>
        <v>1.9965689999999998</v>
      </c>
      <c r="S26" s="877">
        <f t="shared" si="2"/>
        <v>2.5433999999999997</v>
      </c>
    </row>
    <row r="27" spans="1:19" ht="19.899999999999999" customHeight="1">
      <c r="A27" s="842"/>
      <c r="B27" s="842"/>
      <c r="D27" s="839">
        <f>A26+B26+D26+G26+F26</f>
        <v>12</v>
      </c>
      <c r="E27" s="842"/>
      <c r="F27" s="842"/>
      <c r="G27" s="842"/>
      <c r="H27" s="842"/>
      <c r="I27" s="842"/>
      <c r="J27" s="759" t="s">
        <v>934</v>
      </c>
      <c r="K27" s="357">
        <f>K8-K16</f>
        <v>3.5</v>
      </c>
      <c r="L27" s="856" t="s">
        <v>0</v>
      </c>
      <c r="P27" s="875">
        <v>16</v>
      </c>
      <c r="Q27" s="27">
        <f t="shared" si="0"/>
        <v>1.6E-2</v>
      </c>
      <c r="R27" s="876">
        <f t="shared" si="1"/>
        <v>1.577536</v>
      </c>
      <c r="S27" s="877">
        <f t="shared" si="2"/>
        <v>2.0095999999999998</v>
      </c>
    </row>
    <row r="28" spans="1:19" ht="19.899999999999999" customHeight="1">
      <c r="A28" s="842"/>
      <c r="B28" s="842"/>
      <c r="C28" s="842"/>
      <c r="D28" s="355"/>
      <c r="E28" s="842"/>
      <c r="F28" s="842"/>
      <c r="G28" s="842"/>
      <c r="H28" s="842"/>
      <c r="I28" s="842"/>
      <c r="J28" s="759" t="s">
        <v>933</v>
      </c>
      <c r="K28" s="357">
        <f>(K11-K8-K16)/2</f>
        <v>3.75</v>
      </c>
      <c r="L28" s="856" t="s">
        <v>0</v>
      </c>
      <c r="P28" s="875">
        <v>14</v>
      </c>
      <c r="Q28" s="27">
        <f t="shared" si="0"/>
        <v>1.4E-2</v>
      </c>
      <c r="R28" s="876">
        <f t="shared" si="1"/>
        <v>1.2078010000000001</v>
      </c>
      <c r="S28" s="877">
        <f t="shared" si="2"/>
        <v>1.5386000000000002</v>
      </c>
    </row>
    <row r="29" spans="1:19" ht="19.899999999999999" customHeight="1">
      <c r="A29" s="879" t="s">
        <v>613</v>
      </c>
      <c r="B29" s="842"/>
      <c r="C29" s="842"/>
      <c r="D29" s="842"/>
      <c r="E29" s="842"/>
      <c r="F29" s="859"/>
      <c r="G29" s="842"/>
      <c r="H29" s="842"/>
      <c r="I29" s="842"/>
      <c r="J29" s="842" t="s">
        <v>612</v>
      </c>
      <c r="K29" s="842"/>
      <c r="L29" s="842"/>
      <c r="M29" s="355"/>
      <c r="N29" s="355"/>
      <c r="P29" s="875">
        <v>12</v>
      </c>
      <c r="Q29" s="27">
        <f t="shared" si="0"/>
        <v>1.2E-2</v>
      </c>
      <c r="R29" s="876">
        <f t="shared" si="1"/>
        <v>0.88736400000000004</v>
      </c>
      <c r="S29" s="877">
        <f t="shared" si="2"/>
        <v>1.1304000000000001</v>
      </c>
    </row>
    <row r="30" spans="1:19" ht="19.899999999999999" customHeight="1">
      <c r="A30" s="761" t="s">
        <v>651</v>
      </c>
      <c r="B30" s="761"/>
      <c r="C30" s="753"/>
      <c r="D30" s="753"/>
      <c r="E30" s="753"/>
      <c r="F30" s="753"/>
      <c r="G30" s="753"/>
      <c r="H30" s="754"/>
      <c r="I30" s="842"/>
      <c r="J30" s="857" t="s">
        <v>117</v>
      </c>
      <c r="K30" s="357">
        <f>(K10*K11-K20^2)*K19+(K10+K11)*2*K16*(K17-K19)-K16^2*4*(K17-K19)+(K14-K17)*K23^2*4+K21^2*(K17-K19)*8</f>
        <v>60.837000000000003</v>
      </c>
      <c r="L30" s="856" t="s">
        <v>1</v>
      </c>
      <c r="M30" s="355"/>
      <c r="N30" s="355"/>
      <c r="P30" s="875"/>
      <c r="Q30" s="27"/>
      <c r="R30" s="876"/>
      <c r="S30" s="877"/>
    </row>
    <row r="31" spans="1:19" ht="19.899999999999999" customHeight="1">
      <c r="A31" s="1586" t="s">
        <v>652</v>
      </c>
      <c r="B31" s="1587"/>
      <c r="C31" s="755" t="s">
        <v>653</v>
      </c>
      <c r="D31" s="755" t="s">
        <v>654</v>
      </c>
      <c r="E31" s="755" t="s">
        <v>655</v>
      </c>
      <c r="F31" s="755" t="s">
        <v>656</v>
      </c>
      <c r="G31" s="755" t="s">
        <v>657</v>
      </c>
      <c r="H31" s="755" t="s">
        <v>658</v>
      </c>
      <c r="I31" s="842"/>
      <c r="J31" s="842" t="s">
        <v>614</v>
      </c>
      <c r="K31" s="842"/>
      <c r="L31" s="842"/>
      <c r="M31" s="355"/>
      <c r="N31" s="355"/>
      <c r="P31" s="875"/>
      <c r="Q31" s="27"/>
      <c r="R31" s="876"/>
      <c r="S31" s="877"/>
    </row>
    <row r="32" spans="1:19" ht="19.899999999999999" customHeight="1">
      <c r="A32" s="1494" t="s">
        <v>564</v>
      </c>
      <c r="B32" s="1494"/>
      <c r="C32" s="412">
        <f>'D122-42'!C42</f>
        <v>-4.6744000000000003</v>
      </c>
      <c r="D32" s="412">
        <f>'D122-42'!D42</f>
        <v>-4.9444999999999997</v>
      </c>
      <c r="E32" s="412">
        <f>'D122-42'!E42</f>
        <v>80.48060000000001</v>
      </c>
      <c r="F32" s="412">
        <f>'D122-42'!F42</f>
        <v>4.58E-2</v>
      </c>
      <c r="G32" s="412">
        <f>'D122-42'!G42</f>
        <v>-1.9E-3</v>
      </c>
      <c r="H32" s="412">
        <f>'D122-42'!H42</f>
        <v>-1.5E-3</v>
      </c>
      <c r="I32" s="842"/>
      <c r="J32" s="857" t="s">
        <v>118</v>
      </c>
      <c r="K32" s="839">
        <f>K10*K11-K20^2</f>
        <v>119</v>
      </c>
      <c r="L32" s="856" t="s">
        <v>2</v>
      </c>
      <c r="M32" s="355"/>
      <c r="N32" s="355"/>
      <c r="P32" s="875"/>
      <c r="Q32" s="27"/>
      <c r="R32" s="876"/>
      <c r="S32" s="877"/>
    </row>
    <row r="33" spans="1:26" ht="19.899999999999999" customHeight="1">
      <c r="A33" s="1494" t="s">
        <v>659</v>
      </c>
      <c r="B33" s="1494"/>
      <c r="C33" s="412">
        <f>'D122-42'!C43</f>
        <v>-6.408199999999999</v>
      </c>
      <c r="D33" s="412">
        <f>'D122-42'!D43</f>
        <v>-4.7540999999999993</v>
      </c>
      <c r="E33" s="412">
        <f>'D122-42'!E43</f>
        <v>-87.999899999999997</v>
      </c>
      <c r="F33" s="412">
        <f>'D122-42'!F43</f>
        <v>-5.9799999999999999E-2</v>
      </c>
      <c r="G33" s="412">
        <f>'D122-42'!G43</f>
        <v>-6.6900000000000001E-2</v>
      </c>
      <c r="H33" s="412">
        <f>'D122-42'!H43</f>
        <v>-7.6E-3</v>
      </c>
      <c r="I33" s="842"/>
      <c r="K33" s="758"/>
      <c r="L33" s="759" t="s">
        <v>616</v>
      </c>
      <c r="M33" s="355"/>
      <c r="N33" s="355"/>
      <c r="P33" s="875"/>
      <c r="Q33" s="27"/>
      <c r="R33" s="876"/>
      <c r="S33" s="877"/>
    </row>
    <row r="34" spans="1:26" ht="19.899999999999999" customHeight="1">
      <c r="A34" s="1494" t="s">
        <v>660</v>
      </c>
      <c r="B34" s="1494"/>
      <c r="C34" s="412">
        <f>'D122-42'!C44</f>
        <v>-17.82</v>
      </c>
      <c r="D34" s="412">
        <f>'D122-42'!D44</f>
        <v>-2.7599999999999993</v>
      </c>
      <c r="E34" s="412">
        <f>'D122-42'!E44</f>
        <v>15.269499999999994</v>
      </c>
      <c r="F34" s="412">
        <f>'D122-42'!F44</f>
        <v>108.8412</v>
      </c>
      <c r="G34" s="412">
        <f>'D122-42'!G44</f>
        <v>564.86349999999993</v>
      </c>
      <c r="H34" s="412">
        <f>'D122-42'!H44</f>
        <v>1.9052800000000001</v>
      </c>
      <c r="I34" s="842"/>
      <c r="J34" s="857" t="s">
        <v>937</v>
      </c>
      <c r="K34" s="839">
        <f>(K11*K10^3-K20^4)/6/K10</f>
        <v>199.98333333333332</v>
      </c>
      <c r="L34" s="856" t="s">
        <v>1</v>
      </c>
      <c r="M34" s="355"/>
      <c r="N34" s="355"/>
      <c r="P34" s="875"/>
      <c r="Q34" s="27"/>
      <c r="R34" s="876"/>
      <c r="S34" s="877"/>
    </row>
    <row r="35" spans="1:26" ht="19.899999999999999" customHeight="1">
      <c r="A35" s="1494" t="s">
        <v>661</v>
      </c>
      <c r="B35" s="1494"/>
      <c r="C35" s="412">
        <f>'D122-42'!C45</f>
        <v>-11.067600000000002</v>
      </c>
      <c r="D35" s="412">
        <f>'D122-42'!D45</f>
        <v>-7.6415999999999995</v>
      </c>
      <c r="E35" s="412">
        <f>'D122-42'!E45</f>
        <v>15.269399999999999</v>
      </c>
      <c r="F35" s="412">
        <f>'D122-42'!F45</f>
        <v>226.97150000000002</v>
      </c>
      <c r="G35" s="412">
        <f>'D122-42'!G45</f>
        <v>341.53899999999999</v>
      </c>
      <c r="H35" s="412">
        <f>'D122-42'!H45</f>
        <v>1.6241000000000003</v>
      </c>
      <c r="I35" s="842"/>
      <c r="K35" s="758"/>
      <c r="L35" s="759" t="s">
        <v>615</v>
      </c>
      <c r="M35" s="758"/>
      <c r="N35" s="758"/>
      <c r="P35" s="875"/>
      <c r="Q35" s="27"/>
      <c r="R35" s="876"/>
      <c r="S35" s="877"/>
    </row>
    <row r="36" spans="1:26" ht="19.899999999999999" customHeight="1">
      <c r="A36" s="1494" t="s">
        <v>549</v>
      </c>
      <c r="B36" s="1494"/>
      <c r="C36" s="412">
        <f>'D122-42'!C46</f>
        <v>-17.82</v>
      </c>
      <c r="D36" s="412">
        <f>'D122-42'!D46</f>
        <v>-2.7599999999999993</v>
      </c>
      <c r="E36" s="412">
        <f>'D122-42'!E46</f>
        <v>15.269499999999994</v>
      </c>
      <c r="F36" s="412">
        <f>'D122-42'!F46</f>
        <v>108.8412</v>
      </c>
      <c r="G36" s="412">
        <f>'D122-42'!G46</f>
        <v>564.86349999999993</v>
      </c>
      <c r="H36" s="412">
        <f>'D122-42'!H46</f>
        <v>1.9052800000000001</v>
      </c>
      <c r="I36" s="842"/>
      <c r="J36" s="857" t="s">
        <v>938</v>
      </c>
      <c r="K36" s="839">
        <f>+(K10*K11^3-K20^4)/12/K11*2</f>
        <v>239.98611111111111</v>
      </c>
      <c r="L36" s="856" t="s">
        <v>1</v>
      </c>
      <c r="M36" s="355"/>
      <c r="N36" s="355"/>
      <c r="P36" s="875"/>
      <c r="Q36" s="27"/>
      <c r="R36" s="876"/>
      <c r="S36" s="877"/>
    </row>
    <row r="37" spans="1:26" ht="19.899999999999999" customHeight="1">
      <c r="A37" s="1255" t="s">
        <v>662</v>
      </c>
      <c r="B37" s="880"/>
      <c r="C37" s="412">
        <f>'D122-42'!C47</f>
        <v>-9.6999999999999993</v>
      </c>
      <c r="D37" s="412">
        <f>'D122-42'!D47</f>
        <v>0</v>
      </c>
      <c r="E37" s="412">
        <f>'D122-42'!E47</f>
        <v>13.7995</v>
      </c>
      <c r="F37" s="412">
        <f>'D122-42'!F47</f>
        <v>4.0000000000077309E-3</v>
      </c>
      <c r="G37" s="412">
        <f>'D122-42'!G47</f>
        <v>349.31220000000002</v>
      </c>
      <c r="H37" s="412">
        <f>'D122-42'!H47</f>
        <v>0.91809999999999992</v>
      </c>
      <c r="I37" s="842"/>
      <c r="J37" s="842" t="s">
        <v>212</v>
      </c>
      <c r="K37" s="842"/>
      <c r="L37" s="842"/>
      <c r="M37" s="355"/>
      <c r="N37" s="355"/>
      <c r="P37" s="875"/>
      <c r="Q37" s="27"/>
      <c r="R37" s="876"/>
      <c r="S37" s="877"/>
    </row>
    <row r="38" spans="1:26" ht="19.899999999999999" customHeight="1">
      <c r="A38" s="881" t="s">
        <v>663</v>
      </c>
      <c r="B38" s="756"/>
      <c r="C38" s="757"/>
      <c r="D38" s="757"/>
      <c r="E38" s="757"/>
      <c r="F38" s="757"/>
      <c r="G38" s="757"/>
      <c r="H38" s="757"/>
      <c r="I38" s="842"/>
      <c r="J38" s="857" t="s">
        <v>940</v>
      </c>
      <c r="K38" s="840">
        <f>'D122-42'!K39</f>
        <v>1</v>
      </c>
      <c r="L38" s="856" t="s">
        <v>0</v>
      </c>
      <c r="M38" s="355"/>
      <c r="N38" s="355"/>
      <c r="P38" s="875"/>
      <c r="Q38" s="27"/>
      <c r="R38" s="876"/>
      <c r="S38" s="877"/>
    </row>
    <row r="39" spans="1:26" ht="19.899999999999999" customHeight="1">
      <c r="A39" s="1573" t="s">
        <v>855</v>
      </c>
      <c r="B39" s="857" t="s">
        <v>856</v>
      </c>
      <c r="C39" s="357">
        <f>'D122-42'!C49/1.15</f>
        <v>13.277826086956518</v>
      </c>
      <c r="D39" s="842" t="s">
        <v>3</v>
      </c>
      <c r="E39" s="859"/>
      <c r="F39" s="842"/>
      <c r="G39" s="842"/>
      <c r="H39" s="842"/>
      <c r="I39" s="842"/>
      <c r="J39" s="842" t="s">
        <v>617</v>
      </c>
      <c r="K39" s="355"/>
      <c r="L39" s="856"/>
      <c r="M39" s="355"/>
      <c r="N39" s="355"/>
      <c r="P39" s="875">
        <v>10</v>
      </c>
      <c r="Q39" s="27">
        <f t="shared" si="0"/>
        <v>0.01</v>
      </c>
      <c r="R39" s="876">
        <f t="shared" si="1"/>
        <v>0.61622500000000013</v>
      </c>
      <c r="S39" s="877">
        <f t="shared" si="2"/>
        <v>0.78500000000000014</v>
      </c>
    </row>
    <row r="40" spans="1:26" ht="19.899999999999999" customHeight="1">
      <c r="A40" s="1573"/>
      <c r="B40" s="857" t="s">
        <v>857</v>
      </c>
      <c r="C40" s="357">
        <f>'D122-42'!C50/1.15</f>
        <v>15.495652173913046</v>
      </c>
      <c r="D40" s="842" t="s">
        <v>3</v>
      </c>
      <c r="E40" s="857" t="s">
        <v>858</v>
      </c>
      <c r="F40" s="357">
        <f>'D122-42'!F50/1.15</f>
        <v>2.3999999999999995</v>
      </c>
      <c r="G40" s="758" t="s">
        <v>3</v>
      </c>
      <c r="H40" s="842"/>
      <c r="I40" s="842"/>
      <c r="J40" s="857" t="s">
        <v>939</v>
      </c>
      <c r="K40" s="840">
        <f>'D122-42'!K41</f>
        <v>2.5</v>
      </c>
      <c r="L40" s="856" t="s">
        <v>0</v>
      </c>
      <c r="M40" s="355"/>
      <c r="N40" s="355"/>
      <c r="P40" s="875">
        <v>8</v>
      </c>
      <c r="Q40" s="27">
        <f t="shared" si="0"/>
        <v>8.0000000000000002E-3</v>
      </c>
      <c r="R40" s="876">
        <f t="shared" si="1"/>
        <v>0.39438400000000001</v>
      </c>
      <c r="S40" s="877">
        <f t="shared" si="2"/>
        <v>0.50239999999999996</v>
      </c>
    </row>
    <row r="41" spans="1:26" ht="19.899999999999999" customHeight="1" thickBot="1">
      <c r="A41" s="1573"/>
      <c r="B41" s="857" t="s">
        <v>859</v>
      </c>
      <c r="C41" s="357">
        <f>'D122-42'!C51/1.15</f>
        <v>491.18565217391301</v>
      </c>
      <c r="D41" s="842" t="s">
        <v>4</v>
      </c>
      <c r="E41" s="857" t="s">
        <v>860</v>
      </c>
      <c r="F41" s="357">
        <f>'D122-42'!F51/1.15</f>
        <v>94.64452173913044</v>
      </c>
      <c r="G41" s="758" t="s">
        <v>4</v>
      </c>
      <c r="H41" s="842"/>
      <c r="I41" s="842"/>
      <c r="J41" s="842" t="s">
        <v>618</v>
      </c>
      <c r="K41" s="355"/>
      <c r="L41" s="856"/>
      <c r="M41" s="355"/>
      <c r="N41" s="355"/>
      <c r="P41" s="882">
        <v>6</v>
      </c>
      <c r="Q41" s="28">
        <f t="shared" si="0"/>
        <v>6.0000000000000001E-3</v>
      </c>
      <c r="R41" s="883">
        <f t="shared" si="1"/>
        <v>0.22184100000000001</v>
      </c>
      <c r="S41" s="884">
        <f t="shared" si="2"/>
        <v>0.28260000000000002</v>
      </c>
    </row>
    <row r="42" spans="1:26" ht="19.899999999999999" customHeight="1">
      <c r="A42" s="1573" t="s">
        <v>861</v>
      </c>
      <c r="B42" s="759" t="s">
        <v>856</v>
      </c>
      <c r="C42" s="760">
        <f>'D122-42'!C54/1.15</f>
        <v>13.277739130434783</v>
      </c>
      <c r="D42" s="758" t="s">
        <v>3</v>
      </c>
      <c r="E42" s="759"/>
      <c r="F42" s="757"/>
      <c r="G42" s="758"/>
      <c r="H42" s="842"/>
      <c r="I42" s="842"/>
      <c r="J42" s="857" t="s">
        <v>943</v>
      </c>
      <c r="K42" s="357">
        <f>K10*K11*K38-K30</f>
        <v>59.162999999999997</v>
      </c>
      <c r="L42" s="856" t="s">
        <v>1</v>
      </c>
      <c r="M42" s="355"/>
      <c r="N42" s="355"/>
      <c r="P42" s="11"/>
      <c r="R42" s="885"/>
      <c r="S42" s="886"/>
    </row>
    <row r="43" spans="1:26" ht="19.899999999999999" customHeight="1">
      <c r="A43" s="1573"/>
      <c r="B43" s="759" t="s">
        <v>857</v>
      </c>
      <c r="C43" s="760">
        <f>'D122-42'!C55/1.15</f>
        <v>9.6240000000000023</v>
      </c>
      <c r="D43" s="758" t="s">
        <v>3</v>
      </c>
      <c r="E43" s="759" t="s">
        <v>858</v>
      </c>
      <c r="F43" s="760">
        <f>'D122-42'!F55/1.15</f>
        <v>6.644869565217391</v>
      </c>
      <c r="G43" s="758" t="s">
        <v>3</v>
      </c>
      <c r="H43" s="842"/>
      <c r="I43" s="842"/>
      <c r="J43" s="842" t="s">
        <v>619</v>
      </c>
      <c r="K43" s="842"/>
      <c r="L43" s="856"/>
      <c r="M43" s="355"/>
      <c r="N43" s="355"/>
    </row>
    <row r="44" spans="1:26" ht="19.899999999999999" customHeight="1">
      <c r="A44" s="1573"/>
      <c r="B44" s="759" t="s">
        <v>859</v>
      </c>
      <c r="C44" s="760">
        <f>'D122-42'!C56/1.15</f>
        <v>296.9904347826087</v>
      </c>
      <c r="D44" s="758" t="s">
        <v>4</v>
      </c>
      <c r="E44" s="759" t="s">
        <v>860</v>
      </c>
      <c r="F44" s="760">
        <f>'D122-42'!F56/1.15</f>
        <v>197.36652173913046</v>
      </c>
      <c r="G44" s="758" t="s">
        <v>4</v>
      </c>
      <c r="H44" s="842"/>
      <c r="I44" s="842"/>
      <c r="J44" s="857" t="s">
        <v>862</v>
      </c>
      <c r="K44" s="839">
        <f>'D122-42'!K45</f>
        <v>0</v>
      </c>
      <c r="L44" s="856" t="s">
        <v>0</v>
      </c>
      <c r="M44" s="355"/>
      <c r="N44" s="355"/>
      <c r="Z44" s="7"/>
    </row>
    <row r="45" spans="1:26" ht="19.899999999999999" customHeight="1" thickBot="1">
      <c r="A45" s="1573" t="s">
        <v>549</v>
      </c>
      <c r="B45" s="759" t="s">
        <v>856</v>
      </c>
      <c r="C45" s="760">
        <f>'D122-42'!C57/1.15</f>
        <v>13.277826086956518</v>
      </c>
      <c r="D45" s="758" t="s">
        <v>3</v>
      </c>
      <c r="E45" s="759"/>
      <c r="F45" s="760"/>
      <c r="G45" s="758"/>
      <c r="H45" s="842"/>
      <c r="I45" s="842"/>
      <c r="J45" s="842" t="s">
        <v>620</v>
      </c>
      <c r="K45" s="355"/>
      <c r="L45" s="856"/>
      <c r="M45" s="355"/>
      <c r="N45" s="355"/>
      <c r="V45" s="1574" t="s">
        <v>850</v>
      </c>
      <c r="W45" s="1575"/>
      <c r="X45" s="1575"/>
      <c r="Y45" s="1576"/>
      <c r="Z45" s="7"/>
    </row>
    <row r="46" spans="1:26" ht="19.899999999999999" customHeight="1">
      <c r="A46" s="1573"/>
      <c r="B46" s="759" t="s">
        <v>857</v>
      </c>
      <c r="C46" s="760">
        <f>'D122-42'!C58/1.15</f>
        <v>15.495652173913046</v>
      </c>
      <c r="D46" s="758" t="s">
        <v>3</v>
      </c>
      <c r="E46" s="759" t="s">
        <v>858</v>
      </c>
      <c r="F46" s="760">
        <f>'D122-42'!F58/1.15</f>
        <v>2.3999999999999995</v>
      </c>
      <c r="G46" s="758" t="s">
        <v>3</v>
      </c>
      <c r="H46" s="842"/>
      <c r="I46" s="842"/>
      <c r="J46" s="857" t="s">
        <v>863</v>
      </c>
      <c r="K46" s="357">
        <f>K44*K10*K11</f>
        <v>0</v>
      </c>
      <c r="L46" s="856" t="s">
        <v>1</v>
      </c>
      <c r="M46" s="355"/>
      <c r="N46" s="355"/>
      <c r="Q46" s="63"/>
      <c r="R46" s="63"/>
      <c r="S46" s="108"/>
      <c r="V46" s="254" t="s">
        <v>851</v>
      </c>
      <c r="W46" s="467" t="s">
        <v>152</v>
      </c>
      <c r="X46" s="254" t="s">
        <v>153</v>
      </c>
      <c r="Y46" s="254" t="s">
        <v>699</v>
      </c>
      <c r="Z46" s="7"/>
    </row>
    <row r="47" spans="1:26" ht="19.899999999999999" customHeight="1">
      <c r="A47" s="1573"/>
      <c r="B47" s="759" t="s">
        <v>859</v>
      </c>
      <c r="C47" s="760">
        <f>'D122-42'!C59/1.15</f>
        <v>491.18565217391301</v>
      </c>
      <c r="D47" s="758" t="s">
        <v>4</v>
      </c>
      <c r="E47" s="759" t="s">
        <v>860</v>
      </c>
      <c r="F47" s="760">
        <f>'D122-42'!F59/1.15</f>
        <v>94.64452173913044</v>
      </c>
      <c r="G47" s="758" t="s">
        <v>4</v>
      </c>
      <c r="H47" s="842"/>
      <c r="I47" s="842"/>
      <c r="J47" s="857" t="s">
        <v>941</v>
      </c>
      <c r="K47" s="357">
        <f>K46*1.55*K11/4</f>
        <v>0</v>
      </c>
      <c r="L47" s="856" t="s">
        <v>4</v>
      </c>
      <c r="M47" s="355"/>
      <c r="N47" s="355"/>
      <c r="S47" s="117"/>
      <c r="V47" s="254" t="s">
        <v>696</v>
      </c>
      <c r="W47" s="467">
        <f>F41+F40*$K$14</f>
        <v>103.04452173913043</v>
      </c>
      <c r="X47" s="467">
        <f>C41+C40*$K$14</f>
        <v>545.42043478260871</v>
      </c>
      <c r="Y47" s="467">
        <f>SQRT(W47^2+X47^2)</f>
        <v>555.0690264632824</v>
      </c>
    </row>
    <row r="48" spans="1:26" ht="19.899999999999999" customHeight="1">
      <c r="A48" s="1573" t="s">
        <v>662</v>
      </c>
      <c r="B48" s="759" t="s">
        <v>856</v>
      </c>
      <c r="C48" s="760">
        <f>'D122-42'!R23/1.15</f>
        <v>11.999565217391305</v>
      </c>
      <c r="D48" s="758" t="s">
        <v>3</v>
      </c>
      <c r="E48" s="759"/>
      <c r="F48" s="760"/>
      <c r="G48" s="758"/>
      <c r="H48" s="842"/>
      <c r="I48" s="1598" t="s">
        <v>864</v>
      </c>
      <c r="J48" s="1598"/>
      <c r="K48" s="357">
        <f>'D122-42'!K52</f>
        <v>0</v>
      </c>
      <c r="L48" s="842" t="s">
        <v>1</v>
      </c>
      <c r="M48" s="355"/>
      <c r="N48" s="355"/>
      <c r="S48" s="117"/>
      <c r="V48" s="254" t="s">
        <v>697</v>
      </c>
      <c r="W48" s="467">
        <f>F44+F43*$K$14</f>
        <v>220.62356521739133</v>
      </c>
      <c r="X48" s="467">
        <f>C44+C43*$K$14</f>
        <v>330.67443478260873</v>
      </c>
      <c r="Y48" s="467">
        <f>SQRT(W48^2+X48^2)</f>
        <v>397.51772205529437</v>
      </c>
    </row>
    <row r="49" spans="1:33" ht="19.899999999999999" customHeight="1">
      <c r="A49" s="1573"/>
      <c r="B49" s="759" t="s">
        <v>857</v>
      </c>
      <c r="C49" s="760">
        <f>ABS('D122-42'!P23/1.15)</f>
        <v>8.4347826086956523</v>
      </c>
      <c r="D49" s="758" t="s">
        <v>3</v>
      </c>
      <c r="E49" s="759" t="s">
        <v>858</v>
      </c>
      <c r="F49" s="760">
        <f>ABS('D122-42'!Q23/1.15)</f>
        <v>0</v>
      </c>
      <c r="G49" s="758" t="s">
        <v>3</v>
      </c>
      <c r="H49" s="842"/>
      <c r="I49" s="1577" t="s">
        <v>865</v>
      </c>
      <c r="J49" s="1577"/>
      <c r="K49" s="357">
        <f>'D122-42'!K53</f>
        <v>0</v>
      </c>
      <c r="L49" s="842" t="s">
        <v>4</v>
      </c>
      <c r="M49" s="355"/>
      <c r="N49" s="355"/>
      <c r="S49" s="117"/>
      <c r="V49" s="254" t="s">
        <v>698</v>
      </c>
      <c r="W49" s="467">
        <f>F47+F46*$K$14</f>
        <v>103.04452173913043</v>
      </c>
      <c r="X49" s="467">
        <f>C47+C46*$K$14</f>
        <v>545.42043478260871</v>
      </c>
      <c r="Y49" s="467">
        <f t="shared" ref="Y49:Y50" si="3">SQRT(W49^2+X49^2)</f>
        <v>555.0690264632824</v>
      </c>
    </row>
    <row r="50" spans="1:33" ht="19.899999999999999" customHeight="1">
      <c r="A50" s="1573"/>
      <c r="B50" s="759" t="s">
        <v>859</v>
      </c>
      <c r="C50" s="760">
        <f>ABS('D122-42'!T23/1.15)</f>
        <v>303.74973913043482</v>
      </c>
      <c r="D50" s="758" t="s">
        <v>4</v>
      </c>
      <c r="E50" s="759" t="s">
        <v>860</v>
      </c>
      <c r="F50" s="760">
        <f>ABS('D122-42'!S23/1.15)</f>
        <v>3.47826086957194E-3</v>
      </c>
      <c r="G50" s="758" t="s">
        <v>4</v>
      </c>
      <c r="H50" s="842"/>
      <c r="I50" s="842"/>
      <c r="J50" s="842"/>
      <c r="K50" s="355"/>
      <c r="L50" s="856"/>
      <c r="M50" s="355"/>
      <c r="N50" s="355"/>
      <c r="S50" s="117"/>
      <c r="V50" s="12" t="s">
        <v>706</v>
      </c>
      <c r="W50" s="467">
        <f>F50+F49*$K$14</f>
        <v>3.47826086957194E-3</v>
      </c>
      <c r="X50" s="467">
        <f>C50+C49*$K$14</f>
        <v>333.27147826086957</v>
      </c>
      <c r="Y50" s="467">
        <f t="shared" si="3"/>
        <v>333.27147827902041</v>
      </c>
    </row>
    <row r="51" spans="1:33" ht="19.899999999999999" customHeight="1">
      <c r="A51" s="887" t="s">
        <v>664</v>
      </c>
      <c r="D51" s="1417" t="s">
        <v>1118</v>
      </c>
      <c r="E51" s="4" t="s">
        <v>1121</v>
      </c>
      <c r="V51" s="889" t="s">
        <v>995</v>
      </c>
    </row>
    <row r="52" spans="1:33" ht="19.899999999999999" customHeight="1">
      <c r="A52" s="1482" t="s">
        <v>216</v>
      </c>
      <c r="B52" s="1482" t="s">
        <v>217</v>
      </c>
      <c r="C52" s="1504"/>
      <c r="D52" s="890" t="s">
        <v>218</v>
      </c>
      <c r="E52" s="890" t="s">
        <v>945</v>
      </c>
      <c r="F52" s="1475" t="s">
        <v>39</v>
      </c>
      <c r="G52" s="891" t="s">
        <v>946</v>
      </c>
      <c r="H52" s="892" t="s">
        <v>221</v>
      </c>
      <c r="I52" s="890" t="s">
        <v>25</v>
      </c>
      <c r="J52" s="890" t="s">
        <v>26</v>
      </c>
      <c r="K52" s="890" t="s">
        <v>947</v>
      </c>
      <c r="V52" s="893" t="s">
        <v>996</v>
      </c>
      <c r="Y52" s="1259">
        <f>Y50*0.5</f>
        <v>166.63573913951021</v>
      </c>
    </row>
    <row r="53" spans="1:33" ht="19.899999999999999" customHeight="1">
      <c r="A53" s="1482"/>
      <c r="B53" s="1482"/>
      <c r="C53" s="1504"/>
      <c r="D53" s="894" t="s">
        <v>0</v>
      </c>
      <c r="E53" s="894" t="s">
        <v>24</v>
      </c>
      <c r="F53" s="1471"/>
      <c r="G53" s="895"/>
      <c r="H53" s="894" t="s">
        <v>219</v>
      </c>
      <c r="I53" s="894" t="s">
        <v>10</v>
      </c>
      <c r="J53" s="894" t="s">
        <v>10</v>
      </c>
      <c r="K53" s="894" t="s">
        <v>24</v>
      </c>
    </row>
    <row r="54" spans="1:33" ht="24" customHeight="1">
      <c r="A54" s="896" t="str">
        <f t="shared" ref="A54:B56" si="4">V10</f>
        <v>Lớp 1</v>
      </c>
      <c r="B54" s="1567" t="str">
        <f t="shared" si="4"/>
        <v>Á sét, nâu vàng, dẻo mềm</v>
      </c>
      <c r="C54" s="1567"/>
      <c r="D54" s="897">
        <f t="shared" ref="D54:J55" si="5">X10</f>
        <v>1.6</v>
      </c>
      <c r="E54" s="897">
        <f t="shared" si="5"/>
        <v>2.11</v>
      </c>
      <c r="F54" s="897">
        <f t="shared" si="5"/>
        <v>2.68</v>
      </c>
      <c r="G54" s="898">
        <f t="shared" si="5"/>
        <v>0.47806445497630334</v>
      </c>
      <c r="H54" s="897">
        <f t="shared" si="5"/>
        <v>16.91666</v>
      </c>
      <c r="I54" s="897">
        <f t="shared" si="5"/>
        <v>3.9060000000000001</v>
      </c>
      <c r="J54" s="897">
        <f t="shared" si="5"/>
        <v>2180</v>
      </c>
      <c r="K54" s="897">
        <f>(F54-1)/(G54+1)</f>
        <v>1.1366216096624382</v>
      </c>
      <c r="M54" s="9"/>
      <c r="V54" s="4">
        <f>IF(E54&gt;1.55,1.55,E54)</f>
        <v>1.55</v>
      </c>
      <c r="W54" s="11">
        <f>IF(K54&gt;0.55,0.55,K54)</f>
        <v>0.55000000000000004</v>
      </c>
    </row>
    <row r="55" spans="1:33" ht="19.899999999999999" customHeight="1">
      <c r="A55" s="896" t="str">
        <f t="shared" si="4"/>
        <v>Lớp 2</v>
      </c>
      <c r="B55" s="1567" t="str">
        <f t="shared" si="4"/>
        <v>Á sét, xám xanh, nâu vàng, dẻo cứng</v>
      </c>
      <c r="C55" s="1567"/>
      <c r="D55" s="897">
        <f t="shared" si="5"/>
        <v>3.9</v>
      </c>
      <c r="E55" s="897">
        <f t="shared" si="5"/>
        <v>2.09</v>
      </c>
      <c r="F55" s="897">
        <f t="shared" si="5"/>
        <v>2.7</v>
      </c>
      <c r="G55" s="898">
        <f t="shared" si="5"/>
        <v>0.52556459330143568</v>
      </c>
      <c r="H55" s="897">
        <f t="shared" si="5"/>
        <v>17.2666</v>
      </c>
      <c r="I55" s="897">
        <f t="shared" si="5"/>
        <v>3.5369999999999999</v>
      </c>
      <c r="J55" s="897">
        <f t="shared" si="5"/>
        <v>2060</v>
      </c>
      <c r="K55" s="897">
        <f>(F55-1)/(G55+1)</f>
        <v>1.1143415411346649</v>
      </c>
      <c r="M55" s="9"/>
    </row>
    <row r="56" spans="1:33" s="7" customFormat="1" ht="24" customHeight="1">
      <c r="A56" s="896" t="str">
        <f t="shared" si="4"/>
        <v>Lớp 3</v>
      </c>
      <c r="B56" s="1567" t="str">
        <f t="shared" si="4"/>
        <v>Á sét, nâu vàng, xám xanh, dẻo cứng</v>
      </c>
      <c r="C56" s="1567"/>
      <c r="D56" s="897">
        <f t="shared" ref="D56:J56" si="6">X12</f>
        <v>1.5</v>
      </c>
      <c r="E56" s="897">
        <f t="shared" si="6"/>
        <v>2.0499999999999998</v>
      </c>
      <c r="F56" s="897">
        <f t="shared" si="6"/>
        <v>2.65</v>
      </c>
      <c r="G56" s="898">
        <f t="shared" si="6"/>
        <v>0.54475609756097576</v>
      </c>
      <c r="H56" s="897">
        <f t="shared" si="6"/>
        <v>19.066600000000001</v>
      </c>
      <c r="I56" s="897">
        <f t="shared" si="6"/>
        <v>1.8809999999999998</v>
      </c>
      <c r="J56" s="897">
        <f t="shared" si="6"/>
        <v>2860</v>
      </c>
      <c r="K56" s="897">
        <f>(F56-1)/(G56+1)</f>
        <v>1.0681297860582615</v>
      </c>
      <c r="M56" s="410"/>
      <c r="N56" s="267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</row>
    <row r="57" spans="1:33" ht="24" customHeight="1">
      <c r="A57" s="896" t="str">
        <f>IF(V13=0,"",V13)</f>
        <v>Lớp 4</v>
      </c>
      <c r="B57" s="1567" t="str">
        <f>IF(W13=0,"",W13)</f>
        <v>Á sét,  nâu đỏ, dẻo cứng</v>
      </c>
      <c r="C57" s="1567"/>
      <c r="D57" s="897">
        <f t="shared" ref="D57:J57" si="7">IF(X13=0,"",X13)</f>
        <v>5</v>
      </c>
      <c r="E57" s="897">
        <f t="shared" si="7"/>
        <v>2.04</v>
      </c>
      <c r="F57" s="897">
        <f t="shared" si="7"/>
        <v>2.65</v>
      </c>
      <c r="G57" s="898">
        <f t="shared" si="7"/>
        <v>0.53570098039215663</v>
      </c>
      <c r="H57" s="897">
        <f t="shared" si="7"/>
        <v>20.25</v>
      </c>
      <c r="I57" s="897">
        <f t="shared" si="7"/>
        <v>2.0339999999999998</v>
      </c>
      <c r="J57" s="897">
        <f t="shared" si="7"/>
        <v>3030</v>
      </c>
      <c r="K57" s="897">
        <f>IF(F57="","",(F57-1)/(G57+1))</f>
        <v>1.0744279134201347</v>
      </c>
      <c r="M57" s="9"/>
    </row>
    <row r="58" spans="1:33" ht="19.899999999999999" customHeight="1">
      <c r="A58" s="879" t="s">
        <v>222</v>
      </c>
      <c r="B58" s="842"/>
      <c r="C58" s="842"/>
      <c r="D58" s="842"/>
      <c r="E58" s="842"/>
      <c r="F58" s="842"/>
      <c r="G58" s="842"/>
      <c r="H58" s="842"/>
      <c r="I58" s="842"/>
      <c r="J58" s="842"/>
      <c r="K58" s="355"/>
      <c r="L58" s="856"/>
    </row>
    <row r="59" spans="1:33" ht="19.899999999999999" customHeight="1">
      <c r="A59" s="879" t="s">
        <v>665</v>
      </c>
      <c r="B59" s="842"/>
      <c r="C59" s="842"/>
      <c r="D59" s="842"/>
      <c r="E59" s="842"/>
      <c r="F59" s="842"/>
      <c r="G59" s="842"/>
      <c r="H59" s="842"/>
      <c r="I59" s="842"/>
      <c r="J59" s="842"/>
      <c r="K59" s="355"/>
      <c r="L59" s="856"/>
      <c r="N59" s="4" t="s">
        <v>580</v>
      </c>
      <c r="O59" s="1561" t="s">
        <v>589</v>
      </c>
      <c r="P59" s="1561"/>
    </row>
    <row r="60" spans="1:33" ht="19.899999999999999" customHeight="1">
      <c r="A60" s="842"/>
      <c r="B60" s="857" t="s">
        <v>120</v>
      </c>
      <c r="C60" s="357">
        <f>IF(D55&gt;0,H55,H54)</f>
        <v>17.2666</v>
      </c>
      <c r="D60" s="856" t="s">
        <v>666</v>
      </c>
      <c r="E60" s="857"/>
      <c r="F60" s="355"/>
      <c r="G60" s="842"/>
      <c r="H60" s="842"/>
      <c r="I60" s="842"/>
      <c r="J60" s="842"/>
      <c r="K60" s="355"/>
      <c r="L60" s="856"/>
      <c r="M60" s="4" t="s">
        <v>581</v>
      </c>
      <c r="N60" s="4" t="s">
        <v>583</v>
      </c>
      <c r="O60" s="4" t="s">
        <v>590</v>
      </c>
      <c r="P60" s="4" t="s">
        <v>591</v>
      </c>
    </row>
    <row r="61" spans="1:33" ht="19.899999999999999" customHeight="1">
      <c r="A61" s="355"/>
      <c r="B61" s="857" t="s">
        <v>59</v>
      </c>
      <c r="C61" s="355">
        <f>ROUND(0.25*3.1416/(1/TAN(RADIANS(C60))+RADIANS(C60)-3.1516/2),2)</f>
        <v>0.4</v>
      </c>
      <c r="D61" s="857" t="s">
        <v>112</v>
      </c>
      <c r="E61" s="355">
        <f>ROUND((1+3.1416/(1/TAN(RADIANS(C60))+RADIANS(C60)-3.1416/2)),2)</f>
        <v>2.61</v>
      </c>
      <c r="F61" s="857" t="s">
        <v>121</v>
      </c>
      <c r="G61" s="355">
        <f>ROUND(3.1416*1/TAN(RADIANS(C60))/(1/TAN(RADIANS(C60))+RADIANS(C60)-3.1416/2),2)</f>
        <v>5.19</v>
      </c>
      <c r="H61" s="842"/>
      <c r="I61" s="842"/>
      <c r="J61" s="355"/>
      <c r="K61" s="355"/>
      <c r="L61" s="355"/>
      <c r="M61" s="902" t="s">
        <v>582</v>
      </c>
      <c r="N61" s="4">
        <v>1.4</v>
      </c>
      <c r="O61" s="4">
        <v>1.2</v>
      </c>
      <c r="P61" s="4">
        <v>1.4</v>
      </c>
    </row>
    <row r="62" spans="1:33" ht="19.899999999999999" customHeight="1">
      <c r="A62" s="842"/>
      <c r="C62" s="857" t="s">
        <v>667</v>
      </c>
      <c r="D62" s="842" t="s">
        <v>948</v>
      </c>
      <c r="E62" s="842"/>
      <c r="F62" s="842"/>
      <c r="G62" s="857"/>
      <c r="H62" s="857" t="s">
        <v>949</v>
      </c>
      <c r="I62" s="355">
        <f>D63*F63/H63</f>
        <v>1.32</v>
      </c>
      <c r="J62" s="842"/>
      <c r="K62" s="355"/>
      <c r="L62" s="856"/>
      <c r="M62" s="4" t="s">
        <v>584</v>
      </c>
    </row>
    <row r="63" spans="1:33" ht="19.899999999999999" customHeight="1">
      <c r="A63" s="842"/>
      <c r="B63" s="842" t="s">
        <v>668</v>
      </c>
      <c r="C63" s="857" t="s">
        <v>577</v>
      </c>
      <c r="D63" s="355">
        <v>1.1000000000000001</v>
      </c>
      <c r="E63" s="857" t="s">
        <v>578</v>
      </c>
      <c r="F63" s="355">
        <v>1.2</v>
      </c>
      <c r="G63" s="857" t="s">
        <v>579</v>
      </c>
      <c r="H63" s="355">
        <v>1</v>
      </c>
      <c r="I63" s="355"/>
      <c r="J63" s="355"/>
      <c r="K63" s="355"/>
      <c r="L63" s="355"/>
      <c r="M63" s="903" t="s">
        <v>585</v>
      </c>
      <c r="N63" s="4">
        <v>1.3</v>
      </c>
      <c r="O63" s="4">
        <v>1.1000000000000001</v>
      </c>
      <c r="P63" s="4">
        <v>1.3</v>
      </c>
    </row>
    <row r="64" spans="1:33" ht="19.899999999999999" customHeight="1">
      <c r="A64" s="842"/>
      <c r="B64" s="904" t="s">
        <v>669</v>
      </c>
      <c r="D64" s="842"/>
      <c r="E64" s="857" t="s">
        <v>950</v>
      </c>
      <c r="F64" s="357">
        <f>W50</f>
        <v>3.47826086957194E-3</v>
      </c>
      <c r="G64" s="842" t="s">
        <v>4</v>
      </c>
      <c r="J64" s="857" t="s">
        <v>951</v>
      </c>
      <c r="K64" s="356">
        <f>Y50</f>
        <v>333.27147827902041</v>
      </c>
      <c r="L64" s="842" t="s">
        <v>4</v>
      </c>
      <c r="M64" s="4" t="s">
        <v>586</v>
      </c>
    </row>
    <row r="65" spans="1:22" ht="19.899999999999999" customHeight="1">
      <c r="A65" s="842"/>
      <c r="B65" s="904" t="s">
        <v>670</v>
      </c>
      <c r="C65" s="842"/>
      <c r="D65" s="842"/>
      <c r="E65" s="842"/>
      <c r="F65" s="859"/>
      <c r="G65" s="859"/>
      <c r="H65" s="859"/>
      <c r="I65" s="842"/>
      <c r="J65" s="842"/>
      <c r="K65" s="355"/>
      <c r="L65" s="856"/>
      <c r="M65" s="903" t="s">
        <v>587</v>
      </c>
      <c r="N65" s="4">
        <v>1.2</v>
      </c>
      <c r="O65" s="4">
        <v>1</v>
      </c>
      <c r="P65" s="4">
        <v>1.1000000000000001</v>
      </c>
    </row>
    <row r="66" spans="1:22" ht="19.899999999999999" customHeight="1">
      <c r="A66" s="904"/>
      <c r="B66" s="857" t="s">
        <v>145</v>
      </c>
      <c r="C66" s="357">
        <f>(C61*K10*K55+E61*K38*W54+G61*I55)*I62</f>
        <v>32.009862937191038</v>
      </c>
      <c r="D66" s="842" t="s">
        <v>10</v>
      </c>
      <c r="E66" s="857" t="s">
        <v>952</v>
      </c>
      <c r="F66" s="357">
        <f>F67+F64/K34+K64/K36</f>
        <v>3.0518379602474708</v>
      </c>
      <c r="G66" s="842" t="s">
        <v>146</v>
      </c>
      <c r="H66" s="842"/>
      <c r="I66" s="357">
        <f>+C66*1.2</f>
        <v>38.411835524629247</v>
      </c>
      <c r="J66" s="842" t="s">
        <v>10</v>
      </c>
      <c r="K66" s="355"/>
      <c r="L66" s="856"/>
      <c r="V66" s="4" t="str">
        <f>IF(I66&gt;F66,"Đạt", "Chưa đạt")</f>
        <v>Đạt</v>
      </c>
    </row>
    <row r="67" spans="1:22" ht="19.899999999999999" customHeight="1">
      <c r="A67" s="904"/>
      <c r="B67" s="857" t="s">
        <v>164</v>
      </c>
      <c r="C67" s="357">
        <f>C39+K30*2.5+K42*W54+K46*W54</f>
        <v>197.9099760869565</v>
      </c>
      <c r="D67" s="842" t="s">
        <v>3</v>
      </c>
      <c r="E67" s="857" t="s">
        <v>953</v>
      </c>
      <c r="F67" s="357">
        <f>C67/K32</f>
        <v>1.6631090427475337</v>
      </c>
      <c r="G67" s="842" t="s">
        <v>147</v>
      </c>
      <c r="H67" s="842"/>
      <c r="I67" s="357">
        <f>+C66</f>
        <v>32.009862937191038</v>
      </c>
      <c r="J67" s="842" t="s">
        <v>10</v>
      </c>
      <c r="K67" s="355"/>
      <c r="L67" s="856"/>
      <c r="M67" s="903" t="s">
        <v>588</v>
      </c>
      <c r="N67" s="4">
        <v>1.1000000000000001</v>
      </c>
      <c r="O67" s="4">
        <v>1</v>
      </c>
      <c r="P67" s="4">
        <v>1</v>
      </c>
      <c r="V67" s="4" t="str">
        <f>IF(I67&gt;F67,"Đạt", "Chưa đạt")</f>
        <v>Đạt</v>
      </c>
    </row>
    <row r="68" spans="1:22" ht="19.899999999999999" customHeight="1">
      <c r="A68" s="904"/>
      <c r="B68" s="842"/>
      <c r="C68" s="842"/>
      <c r="D68" s="842"/>
      <c r="E68" s="857" t="s">
        <v>954</v>
      </c>
      <c r="F68" s="357">
        <f>F67-F64/K34-K64/K36</f>
        <v>0.27438012524759681</v>
      </c>
      <c r="G68" s="842" t="s">
        <v>10</v>
      </c>
      <c r="H68" s="905" t="str">
        <f>+IF(F68&gt;0,"&gt; 0","@ 0")</f>
        <v>&gt; 0</v>
      </c>
      <c r="I68" s="357"/>
      <c r="J68" s="842"/>
      <c r="K68" s="357"/>
      <c r="L68" s="906"/>
      <c r="V68" s="4" t="str">
        <f>IF(F68&lt;-0.1,"Chưa đạt", "Đạt")</f>
        <v>Đạt</v>
      </c>
    </row>
    <row r="69" spans="1:22" ht="19.899999999999999" customHeight="1">
      <c r="A69" s="842"/>
      <c r="B69" s="904" t="s">
        <v>671</v>
      </c>
      <c r="C69" s="842"/>
      <c r="D69" s="842"/>
      <c r="E69" s="842"/>
      <c r="F69" s="357"/>
      <c r="G69" s="859"/>
      <c r="H69" s="859"/>
      <c r="I69" s="355"/>
      <c r="J69" s="842"/>
      <c r="K69" s="355"/>
      <c r="L69" s="856"/>
    </row>
    <row r="70" spans="1:22" ht="19.899999999999999" customHeight="1">
      <c r="A70" s="904"/>
      <c r="B70" s="857" t="s">
        <v>145</v>
      </c>
      <c r="C70" s="357">
        <f>(C61*K10*K55+E61*K38*V54+G61*I55)*I62</f>
        <v>35.455062937191038</v>
      </c>
      <c r="D70" s="842" t="s">
        <v>10</v>
      </c>
      <c r="E70" s="857" t="s">
        <v>952</v>
      </c>
      <c r="F70" s="357">
        <f>F71+F64/K34+K64/K36</f>
        <v>3.5490060274743613</v>
      </c>
      <c r="G70" s="842" t="s">
        <v>146</v>
      </c>
      <c r="H70" s="842"/>
      <c r="I70" s="357">
        <f>+C70*1.2</f>
        <v>42.546075524629245</v>
      </c>
      <c r="J70" s="842" t="s">
        <v>10</v>
      </c>
      <c r="K70" s="355"/>
      <c r="L70" s="856"/>
      <c r="V70" s="4" t="str">
        <f>IF(I70&gt;F70,"Đạt", "Chưa đạt")</f>
        <v>Đạt</v>
      </c>
    </row>
    <row r="71" spans="1:22" ht="19.899999999999999" customHeight="1">
      <c r="A71" s="904"/>
      <c r="B71" s="857" t="s">
        <v>164</v>
      </c>
      <c r="C71" s="357">
        <f>C39+K30*2.5+K42*V54+K46*V54</f>
        <v>257.07297608695649</v>
      </c>
      <c r="D71" s="842" t="s">
        <v>3</v>
      </c>
      <c r="E71" s="857" t="s">
        <v>953</v>
      </c>
      <c r="F71" s="357">
        <f>C71/K32</f>
        <v>2.1602771099744245</v>
      </c>
      <c r="G71" s="842" t="s">
        <v>147</v>
      </c>
      <c r="H71" s="842"/>
      <c r="I71" s="357">
        <f>+C70</f>
        <v>35.455062937191038</v>
      </c>
      <c r="J71" s="842" t="s">
        <v>10</v>
      </c>
      <c r="K71" s="355"/>
      <c r="L71" s="856"/>
      <c r="V71" s="4" t="str">
        <f>IF(I71&gt;F71,"Đạt", "Chưa đạt")</f>
        <v>Đạt</v>
      </c>
    </row>
    <row r="72" spans="1:22" ht="19.899999999999999" customHeight="1">
      <c r="A72" s="904"/>
      <c r="B72" s="857"/>
      <c r="C72" s="842"/>
      <c r="D72" s="842"/>
      <c r="E72" s="857" t="s">
        <v>954</v>
      </c>
      <c r="F72" s="357">
        <f>F71-F64/K34-K64/K36</f>
        <v>0.77154819247448758</v>
      </c>
      <c r="G72" s="842" t="s">
        <v>10</v>
      </c>
      <c r="H72" s="842" t="s">
        <v>148</v>
      </c>
      <c r="I72" s="357"/>
      <c r="J72" s="842"/>
      <c r="K72" s="355"/>
      <c r="L72" s="856"/>
      <c r="V72" s="4" t="str">
        <f>IF(F72&lt;-0.1,"Chưa đạt", "Đạt")</f>
        <v>Đạt</v>
      </c>
    </row>
    <row r="73" spans="1:22" ht="19.899999999999999" hidden="1" customHeight="1" outlineLevel="1">
      <c r="A73" s="879" t="s">
        <v>672</v>
      </c>
      <c r="B73" s="842"/>
      <c r="C73" s="842"/>
      <c r="D73" s="842"/>
      <c r="E73" s="842"/>
      <c r="F73" s="859"/>
      <c r="G73" s="859"/>
      <c r="H73" s="859"/>
      <c r="I73" s="842"/>
      <c r="J73" s="842"/>
      <c r="K73" s="355"/>
      <c r="L73" s="856"/>
    </row>
    <row r="74" spans="1:22" ht="19.899999999999999" hidden="1" customHeight="1" outlineLevel="1">
      <c r="A74" s="842"/>
      <c r="B74" s="857" t="s">
        <v>120</v>
      </c>
      <c r="C74" s="357">
        <f>H56</f>
        <v>19.066600000000001</v>
      </c>
      <c r="D74" s="842"/>
      <c r="E74" s="842" t="s">
        <v>955</v>
      </c>
      <c r="F74" s="859">
        <f>+K10+2*V74</f>
        <v>11.2</v>
      </c>
      <c r="G74" s="859" t="s">
        <v>0</v>
      </c>
      <c r="H74" s="859"/>
      <c r="I74" s="842"/>
      <c r="J74" s="842"/>
      <c r="K74" s="355"/>
      <c r="L74" s="856"/>
      <c r="V74" s="4">
        <f>IF(D55&gt;0.5,0.6,0.3)</f>
        <v>0.6</v>
      </c>
    </row>
    <row r="75" spans="1:22" ht="19.899999999999999" hidden="1" customHeight="1" outlineLevel="1">
      <c r="A75" s="842"/>
      <c r="B75" s="857" t="s">
        <v>59</v>
      </c>
      <c r="C75" s="355">
        <f>ROUND(0.25*3.1416/(1/TAN(RADIANS(C74))+RADIANS(C74)-3.1516/2),2)</f>
        <v>0.48</v>
      </c>
      <c r="D75" s="842"/>
      <c r="E75" s="842" t="s">
        <v>141</v>
      </c>
      <c r="F75" s="859">
        <f>+K11+2*V74</f>
        <v>13.2</v>
      </c>
      <c r="G75" s="859" t="s">
        <v>0</v>
      </c>
      <c r="H75" s="859"/>
      <c r="I75" s="842"/>
      <c r="J75" s="842"/>
      <c r="K75" s="355"/>
      <c r="L75" s="856"/>
      <c r="N75" s="2"/>
    </row>
    <row r="76" spans="1:22" ht="19.899999999999999" hidden="1" customHeight="1" outlineLevel="1">
      <c r="A76" s="842"/>
      <c r="B76" s="857" t="s">
        <v>112</v>
      </c>
      <c r="C76" s="355">
        <f>ROUND((1+3.1416/(1/TAN(RADIANS(C74))+RADIANS(C74)-3.1416/2)),2)</f>
        <v>2.9</v>
      </c>
      <c r="D76" s="842"/>
      <c r="E76" s="842" t="s">
        <v>142</v>
      </c>
      <c r="F76" s="859">
        <f>+D55+K38</f>
        <v>4.9000000000000004</v>
      </c>
      <c r="G76" s="859" t="s">
        <v>0</v>
      </c>
      <c r="H76" s="859"/>
      <c r="I76" s="842"/>
      <c r="J76" s="842"/>
      <c r="K76" s="355"/>
      <c r="L76" s="856"/>
      <c r="N76" s="2"/>
    </row>
    <row r="77" spans="1:22" ht="19.899999999999999" hidden="1" customHeight="1" outlineLevel="1">
      <c r="A77" s="842"/>
      <c r="B77" s="857" t="s">
        <v>121</v>
      </c>
      <c r="C77" s="355">
        <f>ROUND(3.1416*1/TAN(RADIANS(C74))/(1/TAN(RADIANS(C74))+RADIANS(C74)-3.1416/2),2)</f>
        <v>5.49</v>
      </c>
      <c r="D77" s="842"/>
      <c r="E77" s="842" t="s">
        <v>143</v>
      </c>
      <c r="F77" s="859">
        <f>+(F75*F74^3-K20^4)/6/F74</f>
        <v>275.953119047619</v>
      </c>
      <c r="G77" s="856" t="s">
        <v>1</v>
      </c>
      <c r="H77" s="859"/>
      <c r="I77" s="842"/>
      <c r="J77" s="842"/>
      <c r="K77" s="355"/>
      <c r="L77" s="856"/>
    </row>
    <row r="78" spans="1:22" ht="19.899999999999999" hidden="1" customHeight="1" outlineLevel="1">
      <c r="A78" s="842"/>
      <c r="B78" s="857"/>
      <c r="C78" s="842"/>
      <c r="D78" s="842"/>
      <c r="E78" s="842" t="s">
        <v>144</v>
      </c>
      <c r="F78" s="859">
        <f>+(F74*F75^3-K20^4)/6/F75</f>
        <v>325.23537373737372</v>
      </c>
      <c r="G78" s="856" t="s">
        <v>1</v>
      </c>
      <c r="H78" s="859"/>
      <c r="I78" s="842"/>
      <c r="J78" s="842"/>
      <c r="K78" s="355"/>
      <c r="L78" s="856"/>
    </row>
    <row r="79" spans="1:22" ht="19.899999999999999" hidden="1" customHeight="1" outlineLevel="1">
      <c r="A79" s="842"/>
      <c r="B79" s="842"/>
      <c r="C79" s="857" t="s">
        <v>673</v>
      </c>
      <c r="D79" s="842" t="s">
        <v>956</v>
      </c>
      <c r="E79" s="842"/>
      <c r="F79" s="859"/>
      <c r="G79" s="842"/>
      <c r="H79" s="859"/>
      <c r="I79" s="842"/>
      <c r="J79" s="842"/>
      <c r="K79" s="355"/>
      <c r="L79" s="856"/>
    </row>
    <row r="80" spans="1:22" ht="19.899999999999999" hidden="1" customHeight="1" outlineLevel="1">
      <c r="A80" s="842"/>
      <c r="B80" s="842" t="s">
        <v>669</v>
      </c>
      <c r="D80" s="842"/>
      <c r="E80" s="857" t="s">
        <v>957</v>
      </c>
      <c r="F80" s="839">
        <f>+F64+F40*D55</f>
        <v>9.3634782608695701</v>
      </c>
      <c r="G80" s="842" t="s">
        <v>4</v>
      </c>
      <c r="J80" s="857" t="s">
        <v>958</v>
      </c>
      <c r="K80" s="839">
        <f>+K64+D55*C40</f>
        <v>393.70452175728127</v>
      </c>
      <c r="L80" s="842" t="s">
        <v>4</v>
      </c>
    </row>
    <row r="81" spans="1:22" ht="19.899999999999999" hidden="1" customHeight="1" outlineLevel="1">
      <c r="A81" s="842"/>
      <c r="B81" s="904" t="s">
        <v>670</v>
      </c>
      <c r="C81" s="842"/>
      <c r="D81" s="842"/>
      <c r="E81" s="842"/>
      <c r="F81" s="859"/>
      <c r="G81" s="859"/>
      <c r="H81" s="859"/>
      <c r="I81" s="842"/>
      <c r="J81" s="842"/>
      <c r="K81" s="355"/>
      <c r="L81" s="856"/>
    </row>
    <row r="82" spans="1:22" ht="19.899999999999999" hidden="1" customHeight="1" outlineLevel="1">
      <c r="A82" s="842"/>
      <c r="B82" s="857" t="s">
        <v>145</v>
      </c>
      <c r="C82" s="356">
        <f>(+C75*F74*K56+C76*(K38*W54+D55*K55)+C77*I56)*I62</f>
        <v>39.952649299308597</v>
      </c>
      <c r="D82" s="842" t="s">
        <v>10</v>
      </c>
      <c r="E82" s="857" t="s">
        <v>952</v>
      </c>
      <c r="F82" s="357">
        <f>+C83/(F74*F75-K20^2)+F80/F77+K80/F78</f>
        <v>6.6163128511873843</v>
      </c>
      <c r="G82" s="842" t="s">
        <v>10</v>
      </c>
      <c r="H82" s="842" t="s">
        <v>1011</v>
      </c>
      <c r="I82" s="356">
        <f>1.2*C82</f>
        <v>47.943179159170313</v>
      </c>
      <c r="J82" s="842" t="s">
        <v>10</v>
      </c>
      <c r="K82" s="355"/>
      <c r="L82" s="856"/>
      <c r="V82" s="4" t="str">
        <f>IF(I82&gt;F82,"Đạt", "Chưa đạt")</f>
        <v>Đạt</v>
      </c>
    </row>
    <row r="83" spans="1:22" ht="19.899999999999999" hidden="1" customHeight="1" outlineLevel="1">
      <c r="A83" s="842"/>
      <c r="B83" s="857" t="s">
        <v>164</v>
      </c>
      <c r="C83" s="356">
        <f>+C39+K42*W54+K30*1.4+(F74*F75-K10*K11)*K38*W54+F75*F74*D55*K55+K46*W54</f>
        <v>788.80386450821686</v>
      </c>
      <c r="D83" s="842" t="s">
        <v>3</v>
      </c>
      <c r="E83" s="857" t="s">
        <v>953</v>
      </c>
      <c r="F83" s="357">
        <f>+(F84+F82)/2</f>
        <v>5.37185960574923</v>
      </c>
      <c r="G83" s="842" t="s">
        <v>10</v>
      </c>
      <c r="H83" s="842" t="s">
        <v>165</v>
      </c>
      <c r="I83" s="356">
        <f>+C82</f>
        <v>39.952649299308597</v>
      </c>
      <c r="J83" s="842" t="s">
        <v>10</v>
      </c>
      <c r="K83" s="355"/>
      <c r="L83" s="856"/>
      <c r="V83" s="4" t="str">
        <f>IF(I83&gt;F83,"Đạt", "Chưa đạt")</f>
        <v>Đạt</v>
      </c>
    </row>
    <row r="84" spans="1:22" ht="19.899999999999999" hidden="1" customHeight="1" outlineLevel="1">
      <c r="A84" s="842"/>
      <c r="B84" s="842"/>
      <c r="C84" s="842"/>
      <c r="D84" s="842"/>
      <c r="E84" s="857" t="s">
        <v>954</v>
      </c>
      <c r="F84" s="357">
        <f>+C83/(F74*F75-K20^2)-F80/F77-K80/F78</f>
        <v>4.1274063603110758</v>
      </c>
      <c r="G84" s="842" t="s">
        <v>10</v>
      </c>
      <c r="H84" s="905" t="str">
        <f>+IF(F84&gt;0,"&gt; 0","@ 0")</f>
        <v>&gt; 0</v>
      </c>
      <c r="I84" s="355"/>
      <c r="J84" s="842"/>
      <c r="K84" s="355"/>
      <c r="L84" s="856"/>
      <c r="V84" s="4" t="str">
        <f>IF(F84&lt;-0.1,"Chưa đạt", "Đạt")</f>
        <v>Đạt</v>
      </c>
    </row>
    <row r="85" spans="1:22" ht="19.899999999999999" hidden="1" customHeight="1" outlineLevel="1">
      <c r="A85" s="842"/>
      <c r="B85" s="842"/>
      <c r="C85" s="842"/>
      <c r="D85" s="842"/>
      <c r="E85" s="842"/>
      <c r="F85" s="355"/>
      <c r="G85" s="842"/>
      <c r="H85" s="842"/>
      <c r="I85" s="355"/>
      <c r="J85" s="355"/>
      <c r="K85" s="355"/>
      <c r="L85" s="856"/>
    </row>
    <row r="86" spans="1:22" ht="19.899999999999999" hidden="1" customHeight="1" outlineLevel="1">
      <c r="A86" s="842"/>
      <c r="B86" s="842"/>
      <c r="C86" s="842"/>
      <c r="D86" s="842"/>
      <c r="E86" s="842"/>
      <c r="F86" s="355"/>
      <c r="G86" s="842"/>
      <c r="H86" s="842"/>
      <c r="I86" s="355"/>
      <c r="J86" s="355"/>
      <c r="K86" s="355"/>
      <c r="L86" s="856"/>
    </row>
    <row r="87" spans="1:22" ht="19.899999999999999" hidden="1" customHeight="1" outlineLevel="1">
      <c r="A87" s="842"/>
      <c r="B87" s="904" t="s">
        <v>671</v>
      </c>
      <c r="C87" s="842"/>
      <c r="D87" s="857"/>
      <c r="E87" s="859"/>
      <c r="F87" s="355"/>
      <c r="G87" s="859"/>
      <c r="H87" s="859"/>
      <c r="I87" s="355"/>
      <c r="J87" s="355"/>
      <c r="K87" s="355"/>
      <c r="L87" s="856"/>
    </row>
    <row r="88" spans="1:22" ht="19.899999999999999" hidden="1" customHeight="1" outlineLevel="1">
      <c r="A88" s="842"/>
      <c r="B88" s="857" t="s">
        <v>145</v>
      </c>
      <c r="C88" s="907">
        <f>(+C75*F74*K56+C76*(K38*V54+D55*E55)+C77*I56)*I62</f>
        <v>58.346449563400967</v>
      </c>
      <c r="D88" s="842" t="s">
        <v>10</v>
      </c>
      <c r="E88" s="857" t="s">
        <v>952</v>
      </c>
      <c r="F88" s="357">
        <f>+C89/(F74*F75-K20^2)+F80/F77+K80/F78</f>
        <v>7.6231229846660016</v>
      </c>
      <c r="G88" s="842" t="s">
        <v>10</v>
      </c>
      <c r="H88" s="842" t="s">
        <v>1011</v>
      </c>
      <c r="I88" s="356">
        <f>1.2*C88</f>
        <v>70.015739476081151</v>
      </c>
      <c r="J88" s="842" t="s">
        <v>10</v>
      </c>
      <c r="K88" s="355"/>
      <c r="L88" s="856"/>
      <c r="V88" s="4" t="str">
        <f>IF(I88&gt;F88,"Đạt", "Chưa đạt")</f>
        <v>Đạt</v>
      </c>
    </row>
    <row r="89" spans="1:22" ht="19.899999999999999" hidden="1" customHeight="1" outlineLevel="1">
      <c r="A89" s="842"/>
      <c r="B89" s="857" t="s">
        <v>164</v>
      </c>
      <c r="C89" s="907">
        <f>+C39+K42*V54+K30*2.4+(F74*F75-K10*K11)*K38*V54+F75*F74*D55*K55+K46*V54</f>
        <v>936.64386450821689</v>
      </c>
      <c r="D89" s="842" t="s">
        <v>3</v>
      </c>
      <c r="E89" s="857" t="s">
        <v>953</v>
      </c>
      <c r="F89" s="357">
        <f>+(F88+F90)/2</f>
        <v>6.3786697392278473</v>
      </c>
      <c r="G89" s="842" t="s">
        <v>10</v>
      </c>
      <c r="H89" s="842" t="s">
        <v>165</v>
      </c>
      <c r="I89" s="356">
        <f>+C88</f>
        <v>58.346449563400967</v>
      </c>
      <c r="J89" s="842" t="s">
        <v>10</v>
      </c>
      <c r="K89" s="355"/>
      <c r="L89" s="856"/>
      <c r="V89" s="4" t="str">
        <f>IF(I89&gt;F89,"Đạt", "Chưa đạt")</f>
        <v>Đạt</v>
      </c>
    </row>
    <row r="90" spans="1:22" ht="19.899999999999999" hidden="1" customHeight="1" outlineLevel="1">
      <c r="A90" s="842"/>
      <c r="B90" s="842"/>
      <c r="C90" s="842"/>
      <c r="D90" s="842"/>
      <c r="E90" s="857" t="s">
        <v>954</v>
      </c>
      <c r="F90" s="357">
        <f>+C89/(F74*F75-K20^2)-F80/F77-K80/F78</f>
        <v>5.134216493789693</v>
      </c>
      <c r="G90" s="842" t="s">
        <v>10</v>
      </c>
      <c r="H90" s="859" t="s">
        <v>148</v>
      </c>
      <c r="I90" s="859"/>
      <c r="J90" s="842"/>
      <c r="K90" s="842"/>
      <c r="L90" s="856"/>
      <c r="V90" s="4" t="str">
        <f>IF(F90&lt;-0.1,"Chưa đạt", "Đạt")</f>
        <v>Đạt</v>
      </c>
    </row>
    <row r="91" spans="1:22" ht="19.899999999999999" hidden="1" customHeight="1" collapsed="1">
      <c r="B91" s="842"/>
      <c r="C91" s="842"/>
      <c r="D91" s="842"/>
      <c r="E91" s="842"/>
      <c r="F91" s="842"/>
      <c r="G91" s="842"/>
      <c r="H91" s="842"/>
      <c r="I91" s="842"/>
      <c r="J91" s="842"/>
      <c r="K91" s="355"/>
      <c r="L91" s="856"/>
    </row>
    <row r="92" spans="1:22" ht="19.899999999999999" hidden="1" customHeight="1">
      <c r="B92" s="842"/>
      <c r="C92" s="842"/>
      <c r="D92" s="842"/>
      <c r="E92" s="842"/>
      <c r="F92" s="842"/>
      <c r="G92" s="842"/>
      <c r="H92" s="842"/>
      <c r="I92" s="842"/>
      <c r="J92" s="842"/>
      <c r="K92" s="355"/>
      <c r="L92" s="856"/>
    </row>
    <row r="93" spans="1:22" ht="19.899999999999999" hidden="1" customHeight="1">
      <c r="B93" s="842"/>
      <c r="C93" s="842"/>
      <c r="D93" s="857"/>
      <c r="E93" s="859"/>
      <c r="F93" s="842"/>
      <c r="G93" s="859"/>
      <c r="H93" s="859"/>
      <c r="I93" s="842"/>
      <c r="J93" s="842"/>
      <c r="K93" s="355"/>
      <c r="L93" s="856"/>
    </row>
    <row r="94" spans="1:22" ht="19.899999999999999" hidden="1" customHeight="1">
      <c r="A94" s="429"/>
      <c r="B94" s="424"/>
      <c r="C94" s="424"/>
      <c r="D94" s="857"/>
      <c r="E94" s="859"/>
      <c r="F94" s="842"/>
      <c r="G94" s="842"/>
      <c r="H94" s="859"/>
      <c r="I94" s="842"/>
      <c r="J94" s="842"/>
      <c r="K94" s="355"/>
      <c r="L94" s="856"/>
    </row>
    <row r="95" spans="1:22" ht="19.899999999999999" hidden="1" customHeight="1">
      <c r="A95" s="908"/>
      <c r="B95" s="842"/>
      <c r="C95" s="842"/>
      <c r="D95" s="857"/>
      <c r="E95" s="859"/>
      <c r="F95" s="842"/>
      <c r="G95" s="859"/>
      <c r="H95" s="859"/>
      <c r="I95" s="842"/>
      <c r="J95" s="842"/>
      <c r="K95" s="355"/>
      <c r="L95" s="856"/>
    </row>
    <row r="96" spans="1:22" ht="19.899999999999999" customHeight="1">
      <c r="B96" s="879" t="s">
        <v>674</v>
      </c>
      <c r="C96" s="842"/>
      <c r="D96" s="842"/>
      <c r="E96" s="842"/>
      <c r="F96" s="842"/>
      <c r="G96" s="842"/>
      <c r="H96" s="842"/>
      <c r="I96" s="842"/>
      <c r="J96" s="842"/>
      <c r="K96" s="355"/>
      <c r="L96" s="856"/>
    </row>
    <row r="97" spans="1:23" ht="19.899999999999999" customHeight="1">
      <c r="A97" s="879" t="s">
        <v>675</v>
      </c>
      <c r="B97" s="842"/>
      <c r="C97" s="842"/>
      <c r="D97" s="842"/>
      <c r="E97" s="842"/>
      <c r="F97" s="842"/>
      <c r="G97" s="842"/>
      <c r="H97" s="842"/>
      <c r="I97" s="842"/>
      <c r="J97" s="842"/>
      <c r="K97" s="355"/>
      <c r="L97" s="856"/>
    </row>
    <row r="98" spans="1:23" ht="19.899999999999999" customHeight="1">
      <c r="A98" s="842"/>
      <c r="B98" s="842" t="s">
        <v>676</v>
      </c>
      <c r="C98" s="842"/>
      <c r="D98" s="842"/>
      <c r="E98" s="842"/>
      <c r="F98" s="842"/>
      <c r="G98" s="842"/>
      <c r="H98" s="842"/>
      <c r="I98" s="842"/>
      <c r="J98" s="842"/>
      <c r="K98" s="355"/>
      <c r="L98" s="856"/>
    </row>
    <row r="99" spans="1:23" ht="19.899999999999999" customHeight="1">
      <c r="A99" s="842"/>
      <c r="B99" s="842" t="s">
        <v>677</v>
      </c>
      <c r="C99" s="842"/>
      <c r="D99" s="842"/>
      <c r="E99" s="842"/>
      <c r="G99" s="909" t="s">
        <v>959</v>
      </c>
      <c r="H99" s="910">
        <f>F67-K38*W54</f>
        <v>1.1131090427475336</v>
      </c>
      <c r="I99" s="842" t="s">
        <v>10</v>
      </c>
      <c r="J99" s="842"/>
      <c r="K99" s="355"/>
      <c r="L99" s="856"/>
    </row>
    <row r="100" spans="1:23" ht="19.899999999999999" customHeight="1">
      <c r="A100" s="842"/>
      <c r="B100" s="842" t="s">
        <v>678</v>
      </c>
      <c r="C100" s="842"/>
      <c r="D100" s="842"/>
      <c r="E100" s="842"/>
      <c r="G100" s="909" t="s">
        <v>959</v>
      </c>
      <c r="H100" s="910">
        <f>F71-V54*K38</f>
        <v>0.61027710997442441</v>
      </c>
      <c r="I100" s="842" t="s">
        <v>10</v>
      </c>
      <c r="J100" s="842"/>
      <c r="K100" s="355"/>
      <c r="L100" s="856"/>
    </row>
    <row r="101" spans="1:23" ht="19.899999999999999" customHeight="1">
      <c r="A101" s="842"/>
      <c r="B101" s="842" t="s">
        <v>223</v>
      </c>
      <c r="C101" s="842"/>
      <c r="D101" s="842"/>
      <c r="E101" s="842"/>
      <c r="G101" s="911" t="s">
        <v>960</v>
      </c>
      <c r="H101" s="910">
        <f>+MAX(H99,H100)</f>
        <v>1.1131090427475336</v>
      </c>
      <c r="I101" s="842" t="s">
        <v>10</v>
      </c>
      <c r="K101" s="857" t="s">
        <v>679</v>
      </c>
      <c r="L101" s="842" t="s">
        <v>64</v>
      </c>
    </row>
    <row r="102" spans="1:23" ht="19.899999999999999" customHeight="1">
      <c r="A102" s="842"/>
      <c r="B102" s="758" t="s">
        <v>961</v>
      </c>
      <c r="C102" s="842"/>
      <c r="D102" s="842"/>
      <c r="E102" s="842"/>
      <c r="F102" s="842"/>
      <c r="G102" s="842"/>
      <c r="H102" s="842"/>
      <c r="I102" s="842"/>
      <c r="J102" s="842"/>
      <c r="K102" s="355"/>
      <c r="L102" s="856"/>
    </row>
    <row r="103" spans="1:23" ht="40.15" customHeight="1">
      <c r="B103" s="912" t="s">
        <v>140</v>
      </c>
      <c r="C103" s="913" t="s">
        <v>28</v>
      </c>
      <c r="D103" s="913" t="s">
        <v>27</v>
      </c>
      <c r="E103" s="914" t="s">
        <v>29</v>
      </c>
      <c r="F103" s="915" t="s">
        <v>962</v>
      </c>
      <c r="G103" s="914" t="s">
        <v>963</v>
      </c>
      <c r="H103" s="914" t="s">
        <v>964</v>
      </c>
      <c r="I103" s="914" t="s">
        <v>965</v>
      </c>
      <c r="J103" s="916" t="s">
        <v>837</v>
      </c>
    </row>
    <row r="104" spans="1:23" ht="19.899999999999999" customHeight="1">
      <c r="B104" s="917">
        <v>1</v>
      </c>
      <c r="C104" s="918">
        <f t="shared" ref="C104:C125" si="8">+$K$10/2*D104</f>
        <v>0</v>
      </c>
      <c r="D104" s="919">
        <v>0</v>
      </c>
      <c r="E104" s="920">
        <f>+VLOOKUP(D104,Tra!$C$19:$J$115,5,0)</f>
        <v>1</v>
      </c>
      <c r="F104" s="921">
        <f>IF(D55=0,J54,J55)</f>
        <v>2060</v>
      </c>
      <c r="G104" s="920">
        <f>H101*E104</f>
        <v>1.1131090427475336</v>
      </c>
      <c r="H104" s="920">
        <f t="shared" ref="H104:H125" si="9">$K$38*$K$54+$K$56*C104</f>
        <v>1.1366216096624382</v>
      </c>
      <c r="I104" s="920">
        <f>IF(G104&gt;0.1*H104,0.8*C104*(G104+G105)/2/F104*1000,"-")</f>
        <v>0</v>
      </c>
      <c r="J104" s="922" t="str">
        <f>IF(H104/G104&gt;$I$126,"STOP","CONT")</f>
        <v>CONT</v>
      </c>
      <c r="M104" s="923">
        <f t="shared" ref="M104:M118" si="10">+H104/G104</f>
        <v>1.0211233275554634</v>
      </c>
      <c r="P104" s="4">
        <f>SUMIF($J$104:$J$118,"CONT",$I$104:$I$118)</f>
        <v>1.2295532168796179</v>
      </c>
      <c r="Q104" s="4">
        <f>SUMIF($J$104:$J$118,"CONT",$D$104:$D$118)</f>
        <v>2.1</v>
      </c>
    </row>
    <row r="105" spans="1:23" ht="19.899999999999999" customHeight="1">
      <c r="B105" s="924">
        <f t="shared" ref="B105:B125" si="11">+B104+1</f>
        <v>2</v>
      </c>
      <c r="C105" s="925">
        <f t="shared" si="8"/>
        <v>0.5</v>
      </c>
      <c r="D105" s="926">
        <f t="shared" ref="D105:D125" si="12">+ROUND(D104+0.1,2)</f>
        <v>0.1</v>
      </c>
      <c r="E105" s="927">
        <f>+VLOOKUP(D105,Tra!$C$19:$J$115,5,0)</f>
        <v>0.99199999999999999</v>
      </c>
      <c r="F105" s="928">
        <f>IF(C105&lt;$D$55,$J$55,IF(AND($D$55&lt;=C105,C105&lt;=($D$56+$D$55)),$J$56,$J$57))</f>
        <v>2060</v>
      </c>
      <c r="G105" s="927">
        <f t="shared" ref="G105:G125" si="13">$H$101*E105</f>
        <v>1.1042041704055534</v>
      </c>
      <c r="H105" s="927">
        <f t="shared" si="9"/>
        <v>1.6706865026915689</v>
      </c>
      <c r="I105" s="927">
        <f t="shared" ref="I105:I120" si="14">0.8*$C$105*(G105+G106)/2/F105*1000</f>
        <v>0.21354402606496375</v>
      </c>
      <c r="J105" s="929" t="str">
        <f>IF(H105/G105&gt;$I$126,"STOP","CONT")</f>
        <v>CONT</v>
      </c>
      <c r="M105" s="923">
        <f t="shared" si="10"/>
        <v>1.513023177659216</v>
      </c>
      <c r="N105" s="6" t="str">
        <f t="shared" ref="N105:N118" si="15">+IF(H105/G105&lt;=$I$126,"X","")</f>
        <v>X</v>
      </c>
      <c r="O105" s="4">
        <v>1</v>
      </c>
    </row>
    <row r="106" spans="1:23" ht="19.899999999999999" customHeight="1">
      <c r="B106" s="924">
        <f t="shared" si="11"/>
        <v>3</v>
      </c>
      <c r="C106" s="925">
        <f t="shared" si="8"/>
        <v>1</v>
      </c>
      <c r="D106" s="926">
        <f>+ROUND(D105+0.1,2)</f>
        <v>0.2</v>
      </c>
      <c r="E106" s="927">
        <f>+VLOOKUP(D106,Tra!$C$19:$J$115,5,0)</f>
        <v>0.98399999999999999</v>
      </c>
      <c r="F106" s="928">
        <f t="shared" ref="F106:F125" si="16">IF(C106&lt;=$D$55,$J$55,IF(AND($D$55&lt;C106,C106&lt;=($D$56+$D$55)),$J$56,$J$57))</f>
        <v>2060</v>
      </c>
      <c r="G106" s="927">
        <f t="shared" si="13"/>
        <v>1.0952992980635732</v>
      </c>
      <c r="H106" s="927">
        <f t="shared" si="9"/>
        <v>2.2047513957206997</v>
      </c>
      <c r="I106" s="927">
        <f t="shared" si="14"/>
        <v>0.21181492463933654</v>
      </c>
      <c r="J106" s="929" t="str">
        <f t="shared" ref="J106:J125" si="17">IF(H106/G106&gt;$I$126,"STOP","CONT")</f>
        <v>CONT</v>
      </c>
      <c r="M106" s="923">
        <f t="shared" si="10"/>
        <v>2.0129213993093713</v>
      </c>
      <c r="N106" s="6" t="str">
        <f t="shared" si="15"/>
        <v>X</v>
      </c>
      <c r="O106" s="4">
        <v>1</v>
      </c>
    </row>
    <row r="107" spans="1:23" ht="19.899999999999999" customHeight="1">
      <c r="B107" s="924">
        <f t="shared" si="11"/>
        <v>4</v>
      </c>
      <c r="C107" s="925">
        <f t="shared" si="8"/>
        <v>1.5</v>
      </c>
      <c r="D107" s="926">
        <f t="shared" si="12"/>
        <v>0.3</v>
      </c>
      <c r="E107" s="927">
        <f>+VLOOKUP(D107,Tra!$C$19:$J$115,5,0)</f>
        <v>0.97599999999999998</v>
      </c>
      <c r="F107" s="928">
        <f t="shared" si="16"/>
        <v>2060</v>
      </c>
      <c r="G107" s="927">
        <f t="shared" si="13"/>
        <v>1.0863944257215927</v>
      </c>
      <c r="H107" s="927">
        <f t="shared" si="9"/>
        <v>2.7388162887498302</v>
      </c>
      <c r="I107" s="927">
        <f t="shared" si="14"/>
        <v>0.21008582321370928</v>
      </c>
      <c r="J107" s="929" t="str">
        <f t="shared" si="17"/>
        <v>CONT</v>
      </c>
      <c r="M107" s="923">
        <f t="shared" si="10"/>
        <v>2.5210146737734633</v>
      </c>
      <c r="N107" s="6" t="str">
        <f t="shared" si="15"/>
        <v>X</v>
      </c>
      <c r="O107" s="4">
        <v>1</v>
      </c>
      <c r="V107" s="722" t="s">
        <v>843</v>
      </c>
      <c r="W107" s="930">
        <f>COUNTIF(J104:J120,"CONT")</f>
        <v>7</v>
      </c>
    </row>
    <row r="108" spans="1:23" ht="19.899999999999999" customHeight="1">
      <c r="B108" s="924">
        <f t="shared" si="11"/>
        <v>5</v>
      </c>
      <c r="C108" s="925">
        <f t="shared" si="8"/>
        <v>2</v>
      </c>
      <c r="D108" s="926">
        <f t="shared" si="12"/>
        <v>0.4</v>
      </c>
      <c r="E108" s="927">
        <f>+VLOOKUP(D108,Tra!$C$19:$J$115,5,0)</f>
        <v>0.96799999999999997</v>
      </c>
      <c r="F108" s="928">
        <f t="shared" si="16"/>
        <v>2060</v>
      </c>
      <c r="G108" s="927">
        <f t="shared" si="13"/>
        <v>1.0774895533796125</v>
      </c>
      <c r="H108" s="927">
        <f t="shared" si="9"/>
        <v>3.2728811817789611</v>
      </c>
      <c r="I108" s="927">
        <f t="shared" si="14"/>
        <v>0.2054928975518869</v>
      </c>
      <c r="J108" s="929" t="str">
        <f t="shared" si="17"/>
        <v>CONT</v>
      </c>
      <c r="M108" s="923">
        <f t="shared" si="10"/>
        <v>3.0375061841791107</v>
      </c>
      <c r="N108" s="6" t="str">
        <f t="shared" si="15"/>
        <v>X</v>
      </c>
      <c r="O108" s="4">
        <v>1</v>
      </c>
    </row>
    <row r="109" spans="1:23" ht="19.899999999999999" customHeight="1">
      <c r="B109" s="924">
        <f t="shared" si="11"/>
        <v>6</v>
      </c>
      <c r="C109" s="925">
        <f t="shared" si="8"/>
        <v>2.5</v>
      </c>
      <c r="D109" s="926">
        <f t="shared" si="12"/>
        <v>0.5</v>
      </c>
      <c r="E109" s="927">
        <f>+VLOOKUP(D109,Tra!$C$19:$J$115,5,0)</f>
        <v>0.9335</v>
      </c>
      <c r="F109" s="928">
        <f t="shared" si="16"/>
        <v>2060</v>
      </c>
      <c r="G109" s="927">
        <f t="shared" si="13"/>
        <v>1.0390872914048226</v>
      </c>
      <c r="H109" s="927">
        <f t="shared" si="9"/>
        <v>3.8069460748080917</v>
      </c>
      <c r="I109" s="927">
        <f t="shared" si="14"/>
        <v>0.19803614765386945</v>
      </c>
      <c r="J109" s="929" t="str">
        <f t="shared" si="17"/>
        <v>CONT</v>
      </c>
      <c r="M109" s="923">
        <f t="shared" si="10"/>
        <v>3.663740386682226</v>
      </c>
      <c r="N109" s="6" t="str">
        <f t="shared" si="15"/>
        <v>X</v>
      </c>
      <c r="O109" s="4">
        <v>1</v>
      </c>
    </row>
    <row r="110" spans="1:23" ht="19.899999999999999" customHeight="1">
      <c r="B110" s="924">
        <f t="shared" si="11"/>
        <v>7</v>
      </c>
      <c r="C110" s="925">
        <f t="shared" si="8"/>
        <v>3</v>
      </c>
      <c r="D110" s="926">
        <f t="shared" si="12"/>
        <v>0.6</v>
      </c>
      <c r="E110" s="927">
        <f>+VLOOKUP(D110,Tra!$C$19:$J$115,5,0)</f>
        <v>0.89900000000000002</v>
      </c>
      <c r="F110" s="928">
        <f t="shared" si="16"/>
        <v>2060</v>
      </c>
      <c r="G110" s="927">
        <f t="shared" si="13"/>
        <v>1.0006850294300327</v>
      </c>
      <c r="H110" s="927">
        <f t="shared" si="9"/>
        <v>4.3410109678372226</v>
      </c>
      <c r="I110" s="927">
        <f t="shared" si="14"/>
        <v>0.19057939775585198</v>
      </c>
      <c r="J110" s="929" t="str">
        <f t="shared" si="17"/>
        <v>CONT</v>
      </c>
      <c r="M110" s="923">
        <f t="shared" si="10"/>
        <v>4.338039283259552</v>
      </c>
      <c r="N110" s="6" t="str">
        <f t="shared" si="15"/>
        <v>X</v>
      </c>
      <c r="O110" s="4">
        <v>1</v>
      </c>
      <c r="P110" s="4">
        <f>COUNTIF($J$104:$J$118,"STOP")</f>
        <v>8</v>
      </c>
    </row>
    <row r="111" spans="1:23" ht="19.899999999999999" customHeight="1">
      <c r="B111" s="924">
        <f t="shared" si="11"/>
        <v>8</v>
      </c>
      <c r="C111" s="925">
        <f t="shared" si="8"/>
        <v>3.5</v>
      </c>
      <c r="D111" s="926">
        <f t="shared" si="12"/>
        <v>0.7</v>
      </c>
      <c r="E111" s="927">
        <f>+VLOOKUP(D111,Tra!$C$19:$J$115,5,0)</f>
        <v>0.86450000000000005</v>
      </c>
      <c r="F111" s="928">
        <f t="shared" si="16"/>
        <v>2060</v>
      </c>
      <c r="G111" s="927">
        <f t="shared" si="13"/>
        <v>0.96228276745524288</v>
      </c>
      <c r="H111" s="927">
        <f t="shared" si="9"/>
        <v>4.8750758608663531</v>
      </c>
      <c r="I111" s="927">
        <f t="shared" si="14"/>
        <v>0.18312264785783455</v>
      </c>
      <c r="J111" s="929" t="str">
        <f t="shared" si="17"/>
        <v>STOP</v>
      </c>
      <c r="M111" s="923">
        <f t="shared" si="10"/>
        <v>5.0661572936180628</v>
      </c>
      <c r="N111" s="6" t="str">
        <f t="shared" si="15"/>
        <v/>
      </c>
      <c r="O111" s="4">
        <v>1</v>
      </c>
    </row>
    <row r="112" spans="1:23" ht="19.899999999999999" customHeight="1">
      <c r="B112" s="924">
        <f t="shared" si="11"/>
        <v>9</v>
      </c>
      <c r="C112" s="925">
        <f t="shared" si="8"/>
        <v>4</v>
      </c>
      <c r="D112" s="926">
        <f t="shared" si="12"/>
        <v>0.8</v>
      </c>
      <c r="E112" s="927">
        <f>+VLOOKUP(D112,Tra!$C$19:$J$115,5,0)</f>
        <v>0.83</v>
      </c>
      <c r="F112" s="928">
        <f t="shared" si="16"/>
        <v>2860</v>
      </c>
      <c r="G112" s="927">
        <f t="shared" si="13"/>
        <v>0.92388050548045286</v>
      </c>
      <c r="H112" s="927">
        <f t="shared" si="9"/>
        <v>5.4091407538954837</v>
      </c>
      <c r="I112" s="927">
        <f>0.8*$C$105*(G112+G113)/2/F112*1000</f>
        <v>0.12575018591319165</v>
      </c>
      <c r="J112" s="929" t="str">
        <f t="shared" si="17"/>
        <v>STOP</v>
      </c>
      <c r="M112" s="923">
        <f t="shared" si="10"/>
        <v>5.8548055964039696</v>
      </c>
      <c r="N112" s="6" t="str">
        <f t="shared" si="15"/>
        <v/>
      </c>
      <c r="O112" s="4">
        <v>1</v>
      </c>
    </row>
    <row r="113" spans="2:24" ht="19.899999999999999" customHeight="1">
      <c r="B113" s="924">
        <f t="shared" si="11"/>
        <v>10</v>
      </c>
      <c r="C113" s="925">
        <f t="shared" si="8"/>
        <v>4.5</v>
      </c>
      <c r="D113" s="926">
        <f t="shared" si="12"/>
        <v>0.9</v>
      </c>
      <c r="E113" s="927">
        <f>+VLOOKUP(D113,Tra!$C$19:$J$115,5,0)</f>
        <v>0.78549999999999998</v>
      </c>
      <c r="F113" s="928">
        <f t="shared" si="16"/>
        <v>2860</v>
      </c>
      <c r="G113" s="927">
        <f t="shared" si="13"/>
        <v>0.87434715307818767</v>
      </c>
      <c r="H113" s="927">
        <f t="shared" si="9"/>
        <v>5.9432056469246142</v>
      </c>
      <c r="I113" s="927">
        <f t="shared" si="14"/>
        <v>0.11882244431846925</v>
      </c>
      <c r="J113" s="929" t="str">
        <f t="shared" si="17"/>
        <v>STOP</v>
      </c>
      <c r="M113" s="923">
        <f t="shared" si="10"/>
        <v>6.7973065686795326</v>
      </c>
      <c r="N113" s="6" t="str">
        <f t="shared" si="15"/>
        <v/>
      </c>
      <c r="O113" s="4">
        <v>1</v>
      </c>
    </row>
    <row r="114" spans="2:24" ht="19.899999999999999" customHeight="1">
      <c r="B114" s="924">
        <f t="shared" si="11"/>
        <v>11</v>
      </c>
      <c r="C114" s="925">
        <f t="shared" si="8"/>
        <v>5</v>
      </c>
      <c r="D114" s="926">
        <f t="shared" si="12"/>
        <v>1</v>
      </c>
      <c r="E114" s="927">
        <f>+VLOOKUP(D114,Tra!$C$19:$J$115,5,0)</f>
        <v>0.74099999999999999</v>
      </c>
      <c r="F114" s="928">
        <f t="shared" si="16"/>
        <v>2860</v>
      </c>
      <c r="G114" s="927">
        <f t="shared" si="13"/>
        <v>0.82481380067592247</v>
      </c>
      <c r="H114" s="927">
        <f t="shared" si="9"/>
        <v>6.4772705399537447</v>
      </c>
      <c r="I114" s="927">
        <f t="shared" si="14"/>
        <v>0.11189470272374683</v>
      </c>
      <c r="J114" s="929" t="str">
        <f t="shared" si="17"/>
        <v>STOP</v>
      </c>
      <c r="M114" s="923">
        <f t="shared" si="10"/>
        <v>7.8530094121190981</v>
      </c>
      <c r="N114" s="6" t="str">
        <f>+IF(H114/G114&lt;=$I$126,"X","")</f>
        <v/>
      </c>
      <c r="O114" s="4">
        <v>1</v>
      </c>
    </row>
    <row r="115" spans="2:24" ht="19.899999999999999" customHeight="1">
      <c r="B115" s="924">
        <f t="shared" si="11"/>
        <v>12</v>
      </c>
      <c r="C115" s="925">
        <f t="shared" si="8"/>
        <v>5.5</v>
      </c>
      <c r="D115" s="926">
        <f t="shared" si="12"/>
        <v>1.1000000000000001</v>
      </c>
      <c r="E115" s="927">
        <f>+VLOOKUP(D115,Tra!$C$19:$J$115,5,0)</f>
        <v>0.69650000000000001</v>
      </c>
      <c r="F115" s="928">
        <f t="shared" si="16"/>
        <v>3030</v>
      </c>
      <c r="G115" s="927">
        <f t="shared" si="13"/>
        <v>0.77528044827365716</v>
      </c>
      <c r="H115" s="927">
        <f t="shared" si="9"/>
        <v>7.011335432982877</v>
      </c>
      <c r="I115" s="927">
        <f t="shared" si="14"/>
        <v>9.9077725686141871E-2</v>
      </c>
      <c r="J115" s="929" t="str">
        <f t="shared" si="17"/>
        <v>STOP</v>
      </c>
      <c r="M115" s="923">
        <f t="shared" si="10"/>
        <v>9.0436118292357968</v>
      </c>
      <c r="N115" s="6" t="str">
        <f>+IF(H115/G115&lt;=$I$126,"X","")</f>
        <v/>
      </c>
      <c r="O115" s="4">
        <v>1</v>
      </c>
    </row>
    <row r="116" spans="2:24" ht="19.899999999999999" customHeight="1">
      <c r="B116" s="924">
        <f t="shared" si="11"/>
        <v>13</v>
      </c>
      <c r="C116" s="925">
        <f t="shared" si="8"/>
        <v>6</v>
      </c>
      <c r="D116" s="926">
        <f t="shared" si="12"/>
        <v>1.2</v>
      </c>
      <c r="E116" s="927">
        <f>+VLOOKUP(D116,Tra!$C$19:$J$115,5,0)</f>
        <v>0.65200000000000002</v>
      </c>
      <c r="F116" s="928">
        <f t="shared" si="16"/>
        <v>3030</v>
      </c>
      <c r="G116" s="927">
        <f t="shared" si="13"/>
        <v>0.72574709587139197</v>
      </c>
      <c r="H116" s="927">
        <f t="shared" si="9"/>
        <v>7.5454003260120075</v>
      </c>
      <c r="I116" s="927">
        <f t="shared" si="14"/>
        <v>9.2942768255817168E-2</v>
      </c>
      <c r="J116" s="929" t="str">
        <f t="shared" si="17"/>
        <v>STOP</v>
      </c>
      <c r="M116" s="923">
        <f t="shared" si="10"/>
        <v>10.396735128443574</v>
      </c>
      <c r="N116" s="6" t="str">
        <f t="shared" si="15"/>
        <v/>
      </c>
      <c r="O116" s="4">
        <v>1</v>
      </c>
    </row>
    <row r="117" spans="2:24" ht="19.899999999999999" customHeight="1">
      <c r="B117" s="924">
        <f t="shared" si="11"/>
        <v>14</v>
      </c>
      <c r="C117" s="925">
        <f t="shared" si="8"/>
        <v>6.5</v>
      </c>
      <c r="D117" s="926">
        <f t="shared" si="12"/>
        <v>1.3</v>
      </c>
      <c r="E117" s="927">
        <f>+VLOOKUP(D117,Tra!$C$19:$J$115,5,0)</f>
        <v>0.61299999999999999</v>
      </c>
      <c r="F117" s="928">
        <f t="shared" si="16"/>
        <v>3030</v>
      </c>
      <c r="G117" s="927">
        <f t="shared" si="13"/>
        <v>0.68233584320423812</v>
      </c>
      <c r="H117" s="927">
        <f t="shared" si="9"/>
        <v>8.079465219041138</v>
      </c>
      <c r="I117" s="927">
        <f t="shared" si="14"/>
        <v>8.7211909817909078E-2</v>
      </c>
      <c r="J117" s="929" t="str">
        <f t="shared" si="17"/>
        <v>STOP</v>
      </c>
      <c r="M117" s="923">
        <f t="shared" si="10"/>
        <v>11.840892281284974</v>
      </c>
      <c r="N117" s="6" t="str">
        <f t="shared" si="15"/>
        <v/>
      </c>
      <c r="O117" s="4">
        <v>1</v>
      </c>
    </row>
    <row r="118" spans="2:24" ht="19.899999999999999" customHeight="1">
      <c r="B118" s="924">
        <f t="shared" si="11"/>
        <v>15</v>
      </c>
      <c r="C118" s="925">
        <f t="shared" si="8"/>
        <v>7</v>
      </c>
      <c r="D118" s="926">
        <f t="shared" si="12"/>
        <v>1.4</v>
      </c>
      <c r="E118" s="927">
        <f>+VLOOKUP(D118,Tra!$C$19:$J$115,5,0)</f>
        <v>0.57400000000000007</v>
      </c>
      <c r="F118" s="928">
        <f t="shared" si="16"/>
        <v>3030</v>
      </c>
      <c r="G118" s="927">
        <f t="shared" si="13"/>
        <v>0.63892459053708439</v>
      </c>
      <c r="H118" s="925">
        <f t="shared" si="9"/>
        <v>8.6135301120702685</v>
      </c>
      <c r="I118" s="927">
        <f t="shared" si="14"/>
        <v>8.1481051380000988E-2</v>
      </c>
      <c r="J118" s="929" t="str">
        <f t="shared" si="17"/>
        <v>STOP</v>
      </c>
      <c r="M118" s="923">
        <f t="shared" si="10"/>
        <v>13.481293785906216</v>
      </c>
      <c r="N118" s="6" t="str">
        <f t="shared" si="15"/>
        <v/>
      </c>
      <c r="O118" s="4">
        <v>1</v>
      </c>
    </row>
    <row r="119" spans="2:24" ht="19.899999999999999" customHeight="1">
      <c r="B119" s="924">
        <f t="shared" si="11"/>
        <v>16</v>
      </c>
      <c r="C119" s="925">
        <f t="shared" si="8"/>
        <v>7.5</v>
      </c>
      <c r="D119" s="926">
        <f t="shared" si="12"/>
        <v>1.5</v>
      </c>
      <c r="E119" s="927">
        <f>+VLOOKUP(D119,Tra!$C$19:$J$115,5,0)</f>
        <v>0.53500000000000003</v>
      </c>
      <c r="F119" s="928">
        <f t="shared" si="16"/>
        <v>3030</v>
      </c>
      <c r="G119" s="927">
        <f t="shared" si="13"/>
        <v>0.59551333786993055</v>
      </c>
      <c r="H119" s="925">
        <f t="shared" si="9"/>
        <v>9.147595005099399</v>
      </c>
      <c r="I119" s="1260">
        <f t="shared" si="14"/>
        <v>7.5750192942092884E-2</v>
      </c>
      <c r="J119" s="932" t="str">
        <f t="shared" si="17"/>
        <v>STOP</v>
      </c>
      <c r="K119" s="1261"/>
      <c r="L119" s="11"/>
      <c r="M119" s="923" t="e">
        <f t="shared" ref="M119:M125" si="18">+J119/I119</f>
        <v>#VALUE!</v>
      </c>
      <c r="N119" s="6" t="e">
        <f t="shared" ref="N119:N125" si="19">+IF(J119/I119&lt;=$I$126,"X","")</f>
        <v>#VALUE!</v>
      </c>
      <c r="O119" s="4">
        <v>1</v>
      </c>
      <c r="X119" s="4">
        <f>IF(C119&lt;D67,K67,K68)</f>
        <v>0</v>
      </c>
    </row>
    <row r="120" spans="2:24" ht="19.899999999999999" hidden="1" customHeight="1">
      <c r="B120" s="933">
        <f t="shared" si="11"/>
        <v>17</v>
      </c>
      <c r="C120" s="925">
        <f t="shared" si="8"/>
        <v>8</v>
      </c>
      <c r="D120" s="926">
        <f t="shared" si="12"/>
        <v>1.6</v>
      </c>
      <c r="E120" s="927">
        <f>+VLOOKUP(D120,Tra!$C$19:$J$115,5,0)</f>
        <v>0.496</v>
      </c>
      <c r="F120" s="928">
        <f t="shared" si="16"/>
        <v>3030</v>
      </c>
      <c r="G120" s="927">
        <f t="shared" si="13"/>
        <v>0.5521020852027767</v>
      </c>
      <c r="H120" s="925">
        <f t="shared" si="9"/>
        <v>9.6816598981285296</v>
      </c>
      <c r="I120" s="920">
        <f t="shared" si="14"/>
        <v>7.0735691808923307E-2</v>
      </c>
      <c r="J120" s="922" t="str">
        <f t="shared" si="17"/>
        <v>STOP</v>
      </c>
      <c r="K120" s="1261"/>
      <c r="L120" s="1262"/>
      <c r="M120" s="923" t="e">
        <f t="shared" si="18"/>
        <v>#VALUE!</v>
      </c>
      <c r="N120" s="6" t="e">
        <f t="shared" si="19"/>
        <v>#VALUE!</v>
      </c>
      <c r="O120" s="4">
        <v>1</v>
      </c>
      <c r="X120" s="4" t="e">
        <f>IF(C120&lt;D68,K68,#REF!)</f>
        <v>#REF!</v>
      </c>
    </row>
    <row r="121" spans="2:24" ht="19.899999999999999" hidden="1" customHeight="1">
      <c r="B121" s="933">
        <f t="shared" si="11"/>
        <v>18</v>
      </c>
      <c r="C121" s="925">
        <f t="shared" si="8"/>
        <v>8.5</v>
      </c>
      <c r="D121" s="926">
        <f t="shared" si="12"/>
        <v>1.7</v>
      </c>
      <c r="E121" s="927">
        <f>+VLOOKUP(D121,Tra!$C$19:$J$115,5,0)</f>
        <v>0.46675</v>
      </c>
      <c r="F121" s="928">
        <f t="shared" si="16"/>
        <v>3030</v>
      </c>
      <c r="G121" s="927">
        <f t="shared" si="13"/>
        <v>0.51954364570241129</v>
      </c>
      <c r="H121" s="925">
        <f t="shared" si="9"/>
        <v>10.21572479115766</v>
      </c>
      <c r="I121" s="931">
        <f t="shared" ref="I121:I123" si="20">0.8*$C$105*(G121+I122)/2/F121*1000</f>
        <v>3.666704875956478E-2</v>
      </c>
      <c r="J121" s="932" t="str">
        <f t="shared" si="17"/>
        <v>STOP</v>
      </c>
      <c r="K121" s="1261">
        <f t="shared" ref="K121:K124" si="21">0.8*$C$105*(I121+I122)/2/F121*1000</f>
        <v>4.7940060570666604E-3</v>
      </c>
      <c r="L121" s="1262"/>
      <c r="M121" s="923" t="e">
        <f t="shared" si="18"/>
        <v>#VALUE!</v>
      </c>
      <c r="N121" s="6" t="e">
        <f t="shared" si="19"/>
        <v>#VALUE!</v>
      </c>
      <c r="O121" s="4">
        <v>1</v>
      </c>
      <c r="X121" s="4" t="e">
        <f>IF(C121&lt;#REF!,#REF!,#REF!)</f>
        <v>#REF!</v>
      </c>
    </row>
    <row r="122" spans="2:24" ht="19.899999999999999" hidden="1" customHeight="1">
      <c r="B122" s="933">
        <f t="shared" si="11"/>
        <v>19</v>
      </c>
      <c r="C122" s="925">
        <f t="shared" si="8"/>
        <v>9</v>
      </c>
      <c r="D122" s="926">
        <f t="shared" si="12"/>
        <v>1.8</v>
      </c>
      <c r="E122" s="927">
        <f>+VLOOKUP(D122,Tra!$C$19:$J$115,5,0)</f>
        <v>0.4375</v>
      </c>
      <c r="F122" s="928">
        <f t="shared" si="16"/>
        <v>3030</v>
      </c>
      <c r="G122" s="934">
        <f t="shared" si="13"/>
        <v>0.48698520620204599</v>
      </c>
      <c r="H122" s="925">
        <f t="shared" si="9"/>
        <v>10.749789684186791</v>
      </c>
      <c r="I122" s="931">
        <f t="shared" si="20"/>
        <v>3.5962143004995124E-2</v>
      </c>
      <c r="J122" s="932" t="str">
        <f t="shared" si="17"/>
        <v>STOP</v>
      </c>
      <c r="K122" s="1261">
        <f t="shared" si="21"/>
        <v>6.191643784067672E-3</v>
      </c>
      <c r="L122" s="1262"/>
      <c r="M122" s="923" t="e">
        <f t="shared" si="18"/>
        <v>#VALUE!</v>
      </c>
      <c r="N122" s="6" t="e">
        <f t="shared" si="19"/>
        <v>#VALUE!</v>
      </c>
      <c r="O122" s="4">
        <v>1</v>
      </c>
      <c r="X122" s="4" t="e">
        <f>IF(C122&lt;#REF!,#REF!,K69)</f>
        <v>#REF!</v>
      </c>
    </row>
    <row r="123" spans="2:24" ht="19.899999999999999" hidden="1" customHeight="1">
      <c r="B123" s="933">
        <f t="shared" si="11"/>
        <v>20</v>
      </c>
      <c r="C123" s="925">
        <f t="shared" si="8"/>
        <v>9.5</v>
      </c>
      <c r="D123" s="926">
        <f t="shared" si="12"/>
        <v>1.9</v>
      </c>
      <c r="E123" s="927">
        <f>+VLOOKUP(D123,Tra!$C$19:$J$115,5,0)</f>
        <v>0.40825</v>
      </c>
      <c r="F123" s="928">
        <f t="shared" si="16"/>
        <v>3030</v>
      </c>
      <c r="G123" s="934">
        <f t="shared" si="13"/>
        <v>0.45442676670168058</v>
      </c>
      <c r="H123" s="925">
        <f t="shared" si="9"/>
        <v>11.283854577215921</v>
      </c>
      <c r="I123" s="931">
        <f t="shared" si="20"/>
        <v>5.7841260323630093E-2</v>
      </c>
      <c r="J123" s="932" t="str">
        <f t="shared" si="17"/>
        <v>STOP</v>
      </c>
      <c r="K123" s="1261">
        <f t="shared" si="21"/>
        <v>3.1663999176564046E-2</v>
      </c>
      <c r="L123" s="1262"/>
      <c r="M123" s="923" t="e">
        <f t="shared" si="18"/>
        <v>#VALUE!</v>
      </c>
      <c r="N123" s="6" t="e">
        <f t="shared" si="19"/>
        <v>#VALUE!</v>
      </c>
      <c r="O123" s="4">
        <v>1</v>
      </c>
      <c r="X123" s="4">
        <f>IF(C123&lt;D69,K69,K70)</f>
        <v>0</v>
      </c>
    </row>
    <row r="124" spans="2:24" ht="19.899999999999999" hidden="1" customHeight="1">
      <c r="B124" s="933">
        <f t="shared" si="11"/>
        <v>21</v>
      </c>
      <c r="C124" s="925">
        <f t="shared" si="8"/>
        <v>10</v>
      </c>
      <c r="D124" s="926">
        <f t="shared" si="12"/>
        <v>2</v>
      </c>
      <c r="E124" s="927">
        <f>+VLOOKUP(D124,Tra!$C$19:$J$115,5,0)</f>
        <v>0.379</v>
      </c>
      <c r="F124" s="928">
        <f t="shared" si="16"/>
        <v>3030</v>
      </c>
      <c r="G124" s="934">
        <f t="shared" si="13"/>
        <v>0.42186832720131523</v>
      </c>
      <c r="H124" s="925">
        <f t="shared" si="9"/>
        <v>11.817919470245052</v>
      </c>
      <c r="I124" s="936">
        <f t="shared" ref="I124:I125" si="22">$H$101*E124</f>
        <v>0.42186832720131523</v>
      </c>
      <c r="J124" s="932" t="str">
        <f t="shared" si="17"/>
        <v>STOP</v>
      </c>
      <c r="K124" s="1261">
        <f t="shared" si="21"/>
        <v>5.4130896847804984E-2</v>
      </c>
      <c r="L124" s="1262"/>
      <c r="M124" s="923" t="e">
        <f t="shared" si="18"/>
        <v>#VALUE!</v>
      </c>
      <c r="N124" s="6" t="e">
        <f t="shared" si="19"/>
        <v>#VALUE!</v>
      </c>
      <c r="O124" s="4">
        <v>1</v>
      </c>
      <c r="X124" s="4">
        <f>IF(C124&lt;D70,K70,K71)</f>
        <v>0</v>
      </c>
    </row>
    <row r="125" spans="2:24" ht="19.899999999999999" hidden="1" customHeight="1">
      <c r="B125" s="940">
        <f t="shared" si="11"/>
        <v>22</v>
      </c>
      <c r="C125" s="925">
        <f t="shared" si="8"/>
        <v>10.5</v>
      </c>
      <c r="D125" s="926">
        <f t="shared" si="12"/>
        <v>2.1</v>
      </c>
      <c r="E125" s="927">
        <f>+VLOOKUP(D125,Tra!$C$19:$J$115,5,0)</f>
        <v>0.35775000000000001</v>
      </c>
      <c r="F125" s="928">
        <f t="shared" si="16"/>
        <v>3030</v>
      </c>
      <c r="G125" s="934">
        <f t="shared" si="13"/>
        <v>0.39821476004293016</v>
      </c>
      <c r="H125" s="925">
        <f t="shared" si="9"/>
        <v>12.351984363274184</v>
      </c>
      <c r="I125" s="943">
        <f t="shared" si="22"/>
        <v>0.39821476004293016</v>
      </c>
      <c r="J125" s="932" t="str">
        <f t="shared" si="17"/>
        <v>STOP</v>
      </c>
      <c r="K125" s="1261" t="e">
        <f>0.8*$C$105*(I125+#REF!)/2/F125*1000</f>
        <v>#REF!</v>
      </c>
      <c r="L125" s="1262"/>
      <c r="M125" s="923" t="e">
        <f t="shared" si="18"/>
        <v>#VALUE!</v>
      </c>
      <c r="N125" s="6" t="e">
        <f t="shared" si="19"/>
        <v>#VALUE!</v>
      </c>
      <c r="O125" s="4">
        <v>1</v>
      </c>
      <c r="X125" s="4">
        <f>IF(C125&lt;D71,K71,K72)</f>
        <v>0</v>
      </c>
    </row>
    <row r="126" spans="2:24" ht="19.899999999999999" customHeight="1">
      <c r="B126" s="945" t="s">
        <v>680</v>
      </c>
      <c r="C126" s="945"/>
      <c r="D126" s="945"/>
      <c r="E126" s="945"/>
      <c r="F126" s="945"/>
      <c r="G126" s="1568" t="s">
        <v>966</v>
      </c>
      <c r="H126" s="1568"/>
      <c r="I126" s="355">
        <v>5</v>
      </c>
      <c r="J126" s="842"/>
      <c r="M126" s="923"/>
    </row>
    <row r="127" spans="2:24" ht="19.899999999999999" hidden="1" customHeight="1">
      <c r="B127" s="946" t="s">
        <v>681</v>
      </c>
      <c r="C127" s="355"/>
      <c r="D127" s="910" t="s">
        <v>534</v>
      </c>
      <c r="E127" s="357">
        <f>+SUMIF(N104:N125,"X",$K$104:$K$125)</f>
        <v>0</v>
      </c>
      <c r="F127" s="856" t="s">
        <v>30</v>
      </c>
      <c r="G127" s="842" t="s">
        <v>601</v>
      </c>
      <c r="H127" s="355">
        <v>20</v>
      </c>
      <c r="I127" s="842" t="s">
        <v>54</v>
      </c>
      <c r="J127" s="842" t="str">
        <f>"="&amp;200</f>
        <v>=200</v>
      </c>
      <c r="K127" s="4" t="s">
        <v>554</v>
      </c>
      <c r="L127" s="3" t="str">
        <f>IF(H127*10&gt;E127,"=&gt; Thỏa mãn ","NO")</f>
        <v xml:space="preserve">=&gt; Thỏa mãn </v>
      </c>
      <c r="M127" s="923"/>
    </row>
    <row r="128" spans="2:24" ht="19.899999999999999" hidden="1" customHeight="1">
      <c r="B128" s="856" t="s">
        <v>682</v>
      </c>
      <c r="C128" s="356"/>
      <c r="D128" s="856"/>
      <c r="E128" s="946"/>
      <c r="F128" s="946"/>
      <c r="G128" s="355"/>
      <c r="H128" s="355"/>
      <c r="I128" s="910"/>
      <c r="J128" s="910"/>
      <c r="K128" s="11"/>
      <c r="M128" s="923"/>
    </row>
    <row r="129" spans="1:26" ht="19.899999999999999" hidden="1" customHeight="1">
      <c r="A129" s="947"/>
      <c r="B129" s="842"/>
      <c r="C129" s="356"/>
      <c r="D129" s="856"/>
      <c r="E129" s="946"/>
      <c r="F129" s="946"/>
      <c r="G129" s="355"/>
      <c r="H129" s="355"/>
      <c r="I129" s="910"/>
      <c r="J129" s="910"/>
      <c r="K129" s="11"/>
      <c r="M129" s="923"/>
    </row>
    <row r="130" spans="1:26" ht="19.899999999999999" hidden="1" customHeight="1">
      <c r="A130" s="947"/>
      <c r="B130" s="842"/>
      <c r="C130" s="356"/>
      <c r="D130" s="948"/>
      <c r="E130" s="946"/>
      <c r="F130" s="946"/>
      <c r="G130" s="355"/>
      <c r="H130" s="355"/>
      <c r="I130" s="910"/>
      <c r="J130" s="910"/>
      <c r="K130" s="11"/>
      <c r="M130" s="923"/>
    </row>
    <row r="131" spans="1:26" ht="19.899999999999999" customHeight="1">
      <c r="B131" s="842" t="s">
        <v>983</v>
      </c>
      <c r="C131" s="910"/>
      <c r="D131" s="910" t="s">
        <v>535</v>
      </c>
      <c r="E131" s="357">
        <f>SUMIF(J104:J120,"CONT",C104:C125)/(W107/2)</f>
        <v>3</v>
      </c>
      <c r="F131" s="856" t="s">
        <v>0</v>
      </c>
      <c r="H131" s="857" t="s">
        <v>681</v>
      </c>
      <c r="I131" s="355" t="s">
        <v>683</v>
      </c>
      <c r="J131" s="357">
        <f>SUMIF(J104:J118,"CONT",I104:I118)</f>
        <v>1.2295532168796179</v>
      </c>
      <c r="K131" s="856" t="s">
        <v>30</v>
      </c>
      <c r="M131" s="923"/>
      <c r="V131" s="4" t="str">
        <f>IF(J131&lt;200,"OK","NOT")</f>
        <v>OK</v>
      </c>
    </row>
    <row r="132" spans="1:26" ht="19.899999999999999" hidden="1" customHeight="1">
      <c r="B132" s="355"/>
      <c r="C132" s="356"/>
      <c r="D132" s="357"/>
      <c r="E132" s="910"/>
      <c r="F132" s="842"/>
      <c r="G132" s="842"/>
      <c r="H132" s="842"/>
      <c r="I132" s="842"/>
      <c r="J132" s="842"/>
    </row>
    <row r="133" spans="1:26" ht="19.899999999999999" hidden="1" customHeight="1">
      <c r="A133" s="2" t="s">
        <v>224</v>
      </c>
      <c r="B133" s="842"/>
      <c r="C133" s="842"/>
      <c r="D133" s="949">
        <f>C113</f>
        <v>4.5</v>
      </c>
      <c r="E133" s="909" t="s">
        <v>967</v>
      </c>
      <c r="F133" s="950">
        <f>G113</f>
        <v>0.87434715307818767</v>
      </c>
      <c r="G133" s="951"/>
      <c r="H133" s="856" t="s">
        <v>968</v>
      </c>
      <c r="I133" s="842"/>
      <c r="J133" s="950">
        <f>0.1*H113</f>
        <v>0.59432056469246142</v>
      </c>
      <c r="K133" s="4" t="s">
        <v>10</v>
      </c>
    </row>
    <row r="134" spans="1:26" ht="19.899999999999999" hidden="1" customHeight="1">
      <c r="A134" s="2" t="s">
        <v>225</v>
      </c>
      <c r="B134" s="842"/>
      <c r="C134" s="842"/>
      <c r="D134" s="842"/>
      <c r="E134" s="866">
        <f>+D133</f>
        <v>4.5</v>
      </c>
      <c r="F134" s="842" t="s">
        <v>0</v>
      </c>
      <c r="G134" s="842"/>
      <c r="H134" s="842"/>
      <c r="I134" s="842"/>
      <c r="J134" s="842"/>
    </row>
    <row r="135" spans="1:26" ht="19.899999999999999" customHeight="1">
      <c r="B135" s="1253" t="s">
        <v>226</v>
      </c>
      <c r="C135" s="1253"/>
      <c r="D135" s="1253"/>
      <c r="E135" s="1253"/>
      <c r="F135" s="1253"/>
      <c r="G135" s="1253"/>
      <c r="H135" s="1253"/>
      <c r="I135" s="1252" t="s">
        <v>1010</v>
      </c>
      <c r="J135" s="357">
        <f>Y52-K47</f>
        <v>166.63573913951021</v>
      </c>
      <c r="K135" s="856" t="s">
        <v>31</v>
      </c>
      <c r="O135" s="952"/>
    </row>
    <row r="136" spans="1:26" ht="19.899999999999999" hidden="1" customHeight="1">
      <c r="A136" s="953"/>
      <c r="B136" s="842"/>
      <c r="C136" s="842"/>
      <c r="D136" s="842"/>
      <c r="E136" s="842"/>
      <c r="F136" s="842"/>
      <c r="G136" s="842"/>
      <c r="H136" s="842"/>
      <c r="I136" s="842"/>
      <c r="J136" s="859"/>
      <c r="O136" s="952"/>
    </row>
    <row r="137" spans="1:26" ht="19.899999999999999" customHeight="1">
      <c r="B137" s="1569" t="s">
        <v>969</v>
      </c>
      <c r="C137" s="1569"/>
      <c r="D137" s="1569"/>
      <c r="E137" s="1570" t="s">
        <v>970</v>
      </c>
      <c r="F137" s="821" t="s">
        <v>437</v>
      </c>
      <c r="G137" s="1570" t="s">
        <v>6</v>
      </c>
      <c r="H137" s="1571">
        <f>+SUMIF(C104:C125,"&lt;="&amp;E131,F104:F125)*$C$105/E131</f>
        <v>2403.3333333333335</v>
      </c>
      <c r="I137" s="1570" t="s">
        <v>10</v>
      </c>
      <c r="J137" s="842"/>
    </row>
    <row r="138" spans="1:26" ht="19.899999999999999" customHeight="1">
      <c r="B138" s="1569"/>
      <c r="C138" s="1569"/>
      <c r="D138" s="1569"/>
      <c r="E138" s="1570"/>
      <c r="F138" s="954" t="s">
        <v>438</v>
      </c>
      <c r="G138" s="1570"/>
      <c r="H138" s="1571"/>
      <c r="I138" s="1570"/>
      <c r="J138" s="842"/>
    </row>
    <row r="139" spans="1:26" ht="19.899999999999999" customHeight="1">
      <c r="A139" s="908"/>
      <c r="B139" s="1569" t="s">
        <v>523</v>
      </c>
      <c r="C139" s="1569"/>
      <c r="D139" s="1570" t="s">
        <v>971</v>
      </c>
      <c r="E139" s="955" t="s">
        <v>972</v>
      </c>
      <c r="F139" s="1570" t="s">
        <v>6</v>
      </c>
      <c r="G139" s="1566">
        <f>0.5*J135*(1-0.42^2)/(H137*(K11/2)^3)</f>
        <v>1.3218638730476631E-4</v>
      </c>
      <c r="H139" s="1572" t="str">
        <f>IF(I139&gt;G139, "&lt; [tg] ="," &gt; [tg] =")</f>
        <v>&lt; [tg] =</v>
      </c>
      <c r="I139" s="1599">
        <v>2.5000000000000001E-3</v>
      </c>
      <c r="J139" s="842"/>
      <c r="K139" s="7"/>
      <c r="L139" s="7"/>
      <c r="V139" s="4" t="str">
        <f>IF(G139&lt;I139,"OK","NOT")</f>
        <v>OK</v>
      </c>
    </row>
    <row r="140" spans="1:26" ht="19.899999999999999" customHeight="1">
      <c r="B140" s="1569"/>
      <c r="C140" s="1569"/>
      <c r="D140" s="1570"/>
      <c r="E140" s="956" t="s">
        <v>973</v>
      </c>
      <c r="F140" s="1570"/>
      <c r="G140" s="1566"/>
      <c r="H140" s="1572"/>
      <c r="I140" s="1599"/>
      <c r="J140" s="842"/>
      <c r="K140" s="7"/>
      <c r="L140" s="7"/>
    </row>
    <row r="141" spans="1:26" ht="19.899999999999999" customHeight="1">
      <c r="A141" s="424" t="s">
        <v>684</v>
      </c>
      <c r="B141" s="842"/>
      <c r="C141" s="842"/>
      <c r="D141" s="842"/>
      <c r="E141" s="842"/>
      <c r="F141" s="842"/>
      <c r="G141" s="842"/>
      <c r="H141" s="842"/>
      <c r="I141" s="842"/>
      <c r="J141" s="842"/>
      <c r="K141" s="355"/>
      <c r="L141" s="856"/>
      <c r="W141" s="1559" t="s">
        <v>849</v>
      </c>
      <c r="X141" s="1559"/>
      <c r="Y141" s="1559"/>
      <c r="Z141" s="1559"/>
    </row>
    <row r="142" spans="1:26" ht="19.899999999999999" customHeight="1">
      <c r="A142" s="879" t="s">
        <v>685</v>
      </c>
      <c r="B142" s="842"/>
      <c r="C142" s="842"/>
      <c r="D142" s="842"/>
      <c r="E142" s="842"/>
      <c r="F142" s="842"/>
      <c r="G142" s="842"/>
      <c r="H142" s="842"/>
      <c r="I142" s="842"/>
      <c r="J142" s="842"/>
      <c r="K142" s="355"/>
      <c r="L142" s="856"/>
      <c r="W142" s="12"/>
      <c r="X142" s="12" t="s">
        <v>149</v>
      </c>
      <c r="Y142" s="12" t="s">
        <v>150</v>
      </c>
      <c r="Z142" s="12" t="s">
        <v>765</v>
      </c>
    </row>
    <row r="143" spans="1:26" ht="22.15" customHeight="1">
      <c r="A143" s="842"/>
      <c r="B143" s="911" t="s">
        <v>686</v>
      </c>
      <c r="C143" s="842"/>
      <c r="D143" s="842"/>
      <c r="E143" s="842"/>
      <c r="F143" s="842"/>
      <c r="G143" s="842"/>
      <c r="H143" s="760">
        <f>(TAN(RADIANS(45-$H$56/2)))^2</f>
        <v>0.50753731543405889</v>
      </c>
      <c r="I143" s="842"/>
      <c r="J143" s="842"/>
      <c r="K143" s="355"/>
      <c r="L143" s="856"/>
      <c r="W143" s="12" t="s">
        <v>766</v>
      </c>
      <c r="X143" s="957">
        <f>C40</f>
        <v>15.495652173913046</v>
      </c>
      <c r="Y143" s="146">
        <f>F40</f>
        <v>2.3999999999999995</v>
      </c>
      <c r="Z143" s="12">
        <f>SQRT(X143^2+Y143^2)</f>
        <v>15.680409315285621</v>
      </c>
    </row>
    <row r="144" spans="1:26" ht="22.15" customHeight="1">
      <c r="A144" s="842"/>
      <c r="B144" s="911" t="s">
        <v>687</v>
      </c>
      <c r="C144" s="842"/>
      <c r="D144" s="842"/>
      <c r="E144" s="842"/>
      <c r="F144" s="909" t="s">
        <v>974</v>
      </c>
      <c r="G144" s="355">
        <f>U144</f>
        <v>-2.16</v>
      </c>
      <c r="H144" s="842" t="s">
        <v>600</v>
      </c>
      <c r="I144" s="842"/>
      <c r="J144" s="355">
        <f>G144*K10</f>
        <v>-21.6</v>
      </c>
      <c r="K144" s="856" t="s">
        <v>592</v>
      </c>
      <c r="L144" s="856"/>
      <c r="N144" s="4">
        <f>TAN(RADIANS(45-H56/2))</f>
        <v>0.71241653225768065</v>
      </c>
      <c r="U144" s="4">
        <f>ROUND(0.5*$E$56*$K$38^2*H143-2*$I$56*$K$38*SQRT(H143),2)</f>
        <v>-2.16</v>
      </c>
      <c r="W144" s="12" t="s">
        <v>767</v>
      </c>
      <c r="X144" s="957">
        <f>C43</f>
        <v>9.6240000000000023</v>
      </c>
      <c r="Y144" s="957">
        <f>F43</f>
        <v>6.644869565217391</v>
      </c>
      <c r="Z144" s="12">
        <f t="shared" ref="Z144:Z146" si="23">SQRT(X144^2+Y144^2)</f>
        <v>11.695112976741713</v>
      </c>
    </row>
    <row r="145" spans="1:26" ht="22.15" customHeight="1">
      <c r="A145" s="842"/>
      <c r="B145" s="958" t="s">
        <v>688</v>
      </c>
      <c r="C145" s="842"/>
      <c r="D145" s="842"/>
      <c r="E145" s="842"/>
      <c r="F145" s="842"/>
      <c r="G145" s="909"/>
      <c r="H145" s="760">
        <f>(TAN(RADIANS(45+$H$56/2)))^2</f>
        <v>1.9702984777479358</v>
      </c>
      <c r="I145" s="842"/>
      <c r="J145" s="842"/>
      <c r="K145" s="355"/>
      <c r="L145" s="856"/>
      <c r="W145" s="12" t="s">
        <v>549</v>
      </c>
      <c r="X145" s="957">
        <f>C46</f>
        <v>15.495652173913046</v>
      </c>
      <c r="Y145" s="957">
        <f>F46</f>
        <v>2.3999999999999995</v>
      </c>
      <c r="Z145" s="12">
        <f t="shared" si="23"/>
        <v>15.680409315285621</v>
      </c>
    </row>
    <row r="146" spans="1:26" ht="22.15" customHeight="1">
      <c r="A146" s="842"/>
      <c r="B146" s="911" t="s">
        <v>689</v>
      </c>
      <c r="C146" s="842"/>
      <c r="D146" s="842"/>
      <c r="E146" s="842"/>
      <c r="F146" s="909" t="s">
        <v>975</v>
      </c>
      <c r="G146" s="355">
        <f>U146</f>
        <v>7.3</v>
      </c>
      <c r="H146" s="842" t="s">
        <v>600</v>
      </c>
      <c r="I146" s="842"/>
      <c r="J146" s="355">
        <f>G146*K10</f>
        <v>73</v>
      </c>
      <c r="K146" s="856" t="s">
        <v>592</v>
      </c>
      <c r="L146" s="856"/>
      <c r="U146" s="4">
        <f>ROUND(0.5*$E$56*$K$38^2*H145+2*$I$56*$K$38*SQRT(H145),2)</f>
        <v>7.3</v>
      </c>
      <c r="W146" s="12" t="s">
        <v>768</v>
      </c>
      <c r="X146" s="957">
        <f>C49</f>
        <v>8.4347826086956523</v>
      </c>
      <c r="Y146" s="957">
        <f>F49</f>
        <v>0</v>
      </c>
      <c r="Z146" s="12">
        <f t="shared" si="23"/>
        <v>8.4347826086956523</v>
      </c>
    </row>
    <row r="147" spans="1:26" ht="22.15" customHeight="1">
      <c r="A147" s="842"/>
      <c r="B147" s="911" t="s">
        <v>690</v>
      </c>
      <c r="C147" s="842"/>
      <c r="D147" s="842" t="s">
        <v>976</v>
      </c>
      <c r="E147" s="1254">
        <f>J144+MAX(Z143:Z146)</f>
        <v>-5.9195906847143807</v>
      </c>
      <c r="F147" s="842" t="s">
        <v>592</v>
      </c>
      <c r="G147" s="842"/>
      <c r="H147" s="842"/>
      <c r="I147" s="842"/>
      <c r="J147" s="842"/>
      <c r="K147" s="355"/>
      <c r="L147" s="856"/>
    </row>
    <row r="148" spans="1:26" ht="22.15" customHeight="1">
      <c r="A148" s="842"/>
      <c r="B148" s="842" t="s">
        <v>691</v>
      </c>
      <c r="C148" s="842"/>
      <c r="D148" s="842"/>
      <c r="E148" s="857">
        <f>ROUND(SUM(K30*2.5+MAX(E34:E37))*0.45*0.9+J146,2)</f>
        <v>140.78</v>
      </c>
      <c r="F148" s="842" t="s">
        <v>592</v>
      </c>
      <c r="H148" s="857" t="s">
        <v>979</v>
      </c>
      <c r="I148" s="355">
        <f>ABS(ROUND(E148/E147,2))</f>
        <v>23.78</v>
      </c>
      <c r="J148" s="355" t="s">
        <v>598</v>
      </c>
      <c r="K148" s="856" t="str">
        <f>IF(I148&gt;1.5,"Thỏa mãn điều kiện","NO")</f>
        <v>Thỏa mãn điều kiện</v>
      </c>
      <c r="L148" s="856"/>
      <c r="V148" s="4" t="str">
        <f>IF(I148&gt;1.5,"OK","NO")</f>
        <v>OK</v>
      </c>
    </row>
    <row r="149" spans="1:26" ht="22.15" customHeight="1">
      <c r="A149" s="842"/>
      <c r="B149" s="959" t="s">
        <v>593</v>
      </c>
      <c r="C149" s="842"/>
      <c r="D149" s="842"/>
      <c r="E149" s="842"/>
      <c r="F149" s="842"/>
      <c r="G149" s="842"/>
      <c r="H149" s="842"/>
      <c r="I149" s="842"/>
      <c r="J149" s="842"/>
      <c r="K149" s="355"/>
      <c r="L149" s="856"/>
      <c r="N149" s="960" t="s">
        <v>594</v>
      </c>
    </row>
    <row r="150" spans="1:26" ht="22.15" customHeight="1">
      <c r="A150" s="842"/>
      <c r="B150" s="959" t="s">
        <v>977</v>
      </c>
      <c r="C150" s="842"/>
      <c r="D150" s="842"/>
      <c r="E150" s="842"/>
      <c r="F150" s="842"/>
      <c r="G150" s="842"/>
      <c r="H150" s="842"/>
      <c r="I150" s="842"/>
      <c r="J150" s="842"/>
      <c r="K150" s="355"/>
      <c r="L150" s="856"/>
      <c r="N150" s="960" t="s">
        <v>595</v>
      </c>
    </row>
    <row r="151" spans="1:26" ht="22.15" customHeight="1">
      <c r="A151" s="842"/>
      <c r="B151" s="959" t="s">
        <v>978</v>
      </c>
      <c r="C151" s="842"/>
      <c r="D151" s="842"/>
      <c r="E151" s="842"/>
      <c r="F151" s="842"/>
      <c r="G151" s="842"/>
      <c r="H151" s="842"/>
      <c r="I151" s="842"/>
      <c r="J151" s="842"/>
      <c r="K151" s="355"/>
      <c r="L151" s="856"/>
      <c r="N151" s="960" t="s">
        <v>596</v>
      </c>
    </row>
    <row r="152" spans="1:26" ht="22.15" customHeight="1">
      <c r="A152" s="842"/>
      <c r="B152" s="959" t="s">
        <v>1012</v>
      </c>
      <c r="C152" s="842"/>
      <c r="D152" s="842"/>
      <c r="E152" s="842"/>
      <c r="F152" s="842"/>
      <c r="G152" s="842"/>
      <c r="I152" s="959" t="s">
        <v>693</v>
      </c>
      <c r="J152" s="842"/>
      <c r="K152" s="355"/>
      <c r="L152" s="856"/>
      <c r="N152" s="960" t="s">
        <v>597</v>
      </c>
    </row>
    <row r="153" spans="1:26" ht="22.15" customHeight="1">
      <c r="A153" s="961" t="s">
        <v>692</v>
      </c>
      <c r="B153" s="842"/>
      <c r="C153" s="842"/>
      <c r="D153" s="842"/>
      <c r="E153" s="842"/>
      <c r="F153" s="842"/>
      <c r="G153" s="842"/>
      <c r="H153" s="842"/>
      <c r="I153" s="842"/>
      <c r="J153" s="842"/>
      <c r="K153" s="355"/>
      <c r="L153" s="856"/>
    </row>
    <row r="154" spans="1:26" ht="19.899999999999999" customHeight="1">
      <c r="A154" s="842"/>
      <c r="B154" s="842"/>
      <c r="C154" s="842"/>
      <c r="D154" s="842"/>
      <c r="E154" s="357">
        <f>0.9*(C67*K11/2)/((F40*K14+F41)*1.2)</f>
        <v>8.6428164967949694</v>
      </c>
      <c r="F154" s="842" t="s">
        <v>599</v>
      </c>
      <c r="G154" s="856" t="str">
        <f>IF(E154&gt;1.5,"Thỏa mãn điều kiện","NO")</f>
        <v>Thỏa mãn điều kiện</v>
      </c>
      <c r="H154" s="842"/>
      <c r="I154" s="842"/>
      <c r="J154" s="842"/>
      <c r="K154" s="355"/>
      <c r="L154" s="856"/>
      <c r="V154" s="4" t="str">
        <f>IF(E154&gt;1.5,"OK", "NO")</f>
        <v>OK</v>
      </c>
    </row>
    <row r="155" spans="1:26" ht="19.899999999999999" customHeight="1">
      <c r="A155" s="842"/>
      <c r="B155" s="842"/>
      <c r="C155" s="842"/>
      <c r="D155" s="842"/>
      <c r="E155" s="842"/>
      <c r="F155" s="842"/>
      <c r="G155" s="842"/>
      <c r="H155" s="842"/>
      <c r="I155" s="842"/>
      <c r="J155" s="842"/>
      <c r="K155" s="355"/>
      <c r="L155" s="856"/>
    </row>
    <row r="156" spans="1:26" ht="19.899999999999999" hidden="1" customHeight="1"/>
    <row r="187" spans="1:17" ht="19.899999999999999" customHeight="1">
      <c r="A187" s="5" t="s">
        <v>522</v>
      </c>
    </row>
    <row r="188" spans="1:17" ht="19.899999999999999" customHeight="1">
      <c r="A188" s="2" t="s">
        <v>537</v>
      </c>
      <c r="C188" s="6" t="str">
        <f>IF(D188="M200","B15  -  Mác","B20-  Mác")</f>
        <v>B15  -  Mác</v>
      </c>
      <c r="D188" s="962" t="s">
        <v>5</v>
      </c>
      <c r="I188" s="6" t="s">
        <v>540</v>
      </c>
      <c r="J188" s="963" t="s">
        <v>56</v>
      </c>
      <c r="K188" s="4" t="s">
        <v>538</v>
      </c>
      <c r="O188" s="185" t="s">
        <v>280</v>
      </c>
      <c r="P188" s="964">
        <f>+(K11-K10)/2</f>
        <v>1</v>
      </c>
      <c r="Q188" s="965" t="s">
        <v>281</v>
      </c>
    </row>
    <row r="189" spans="1:17" ht="19.899999999999999" customHeight="1">
      <c r="B189" s="2" t="s">
        <v>541</v>
      </c>
      <c r="E189" s="2">
        <f>IF(D188="M200",85,IF(D188="M250",115,IF(D188="M300",130,"Maùc beâ toâng")))</f>
        <v>85</v>
      </c>
      <c r="F189" s="2" t="s">
        <v>66</v>
      </c>
      <c r="J189" s="6" t="s">
        <v>543</v>
      </c>
      <c r="K189" s="2">
        <f>IF(J188="AI",2250,IF(J188="AII",2800,IF(J188="AIII",3650,"nhóm cốt thép")))</f>
        <v>3650</v>
      </c>
      <c r="L189" s="4" t="s">
        <v>66</v>
      </c>
      <c r="O189" s="966" t="s">
        <v>282</v>
      </c>
      <c r="P189" s="9" t="e">
        <f>+F197-K11/2</f>
        <v>#REF!</v>
      </c>
      <c r="Q189" s="967" t="s">
        <v>281</v>
      </c>
    </row>
    <row r="190" spans="1:17" ht="19.899999999999999" customHeight="1">
      <c r="B190" s="2" t="s">
        <v>542</v>
      </c>
      <c r="E190" s="2">
        <f>IF(D188="M200",7.5,IF(D188="M250",8.8,IF(D188="M300",10,"Maùc be toâng")))</f>
        <v>7.5</v>
      </c>
      <c r="F190" s="2" t="s">
        <v>66</v>
      </c>
      <c r="O190" s="966" t="s">
        <v>283</v>
      </c>
      <c r="P190" s="4">
        <f>+K25/2</f>
        <v>1.75</v>
      </c>
      <c r="Q190" s="967" t="s">
        <v>281</v>
      </c>
    </row>
    <row r="191" spans="1:17" ht="19.899999999999999" customHeight="1">
      <c r="A191" s="2" t="s">
        <v>227</v>
      </c>
      <c r="O191" s="968" t="e">
        <f>+IF(P190&gt;P189,"ok")</f>
        <v>#REF!</v>
      </c>
      <c r="Q191" s="967"/>
    </row>
    <row r="192" spans="1:17" ht="19.899999999999999" customHeight="1">
      <c r="B192" s="3" t="s">
        <v>166</v>
      </c>
      <c r="D192" s="6" t="s">
        <v>63</v>
      </c>
      <c r="E192" s="4" t="s">
        <v>6</v>
      </c>
      <c r="F192" s="437" t="e">
        <f>#REF!+#REF!*K14</f>
        <v>#REF!</v>
      </c>
      <c r="G192" s="437"/>
      <c r="H192" s="2" t="s">
        <v>4</v>
      </c>
      <c r="O192" s="966" t="s">
        <v>11</v>
      </c>
      <c r="Q192" s="967"/>
    </row>
    <row r="193" spans="1:17" ht="19.899999999999999" customHeight="1">
      <c r="D193" s="6" t="s">
        <v>7</v>
      </c>
      <c r="E193" s="4" t="s">
        <v>6</v>
      </c>
      <c r="F193" s="100" t="e">
        <f>#REF!/K32</f>
        <v>#REF!</v>
      </c>
      <c r="G193" s="100"/>
      <c r="H193" s="2" t="s">
        <v>10</v>
      </c>
      <c r="O193" s="966" t="s">
        <v>284</v>
      </c>
      <c r="Q193" s="967"/>
    </row>
    <row r="194" spans="1:17" ht="19.899999999999999" customHeight="1">
      <c r="D194" s="6" t="s">
        <v>8</v>
      </c>
      <c r="E194" s="4" t="s">
        <v>6</v>
      </c>
      <c r="F194" s="100" t="e">
        <f>F193+F192/K34</f>
        <v>#REF!</v>
      </c>
      <c r="G194" s="100"/>
      <c r="H194" s="2" t="s">
        <v>10</v>
      </c>
      <c r="O194" s="966" t="s">
        <v>285</v>
      </c>
      <c r="Q194" s="967"/>
    </row>
    <row r="195" spans="1:17" ht="19.899999999999999" customHeight="1">
      <c r="D195" s="6" t="s">
        <v>9</v>
      </c>
      <c r="E195" s="4" t="s">
        <v>6</v>
      </c>
      <c r="F195" s="100" t="e">
        <f>F193-F192/K34</f>
        <v>#REF!</v>
      </c>
      <c r="G195" s="100"/>
      <c r="H195" s="2" t="s">
        <v>10</v>
      </c>
      <c r="O195" s="966" t="s">
        <v>286</v>
      </c>
      <c r="Q195" s="967"/>
    </row>
    <row r="196" spans="1:17" ht="19.899999999999999" customHeight="1">
      <c r="A196" s="2" t="s">
        <v>228</v>
      </c>
      <c r="O196" s="966" t="s">
        <v>287</v>
      </c>
      <c r="Q196" s="967"/>
    </row>
    <row r="197" spans="1:17" ht="19.899999999999999" customHeight="1">
      <c r="B197" s="2" t="s">
        <v>11</v>
      </c>
      <c r="D197" s="6"/>
      <c r="E197" s="4" t="s">
        <v>6</v>
      </c>
      <c r="F197" s="100" t="e">
        <f>(F194*K11)/(F194-F195)</f>
        <v>#REF!</v>
      </c>
      <c r="G197" s="100"/>
      <c r="H197" s="100"/>
      <c r="O197" s="966" t="s">
        <v>288</v>
      </c>
      <c r="Q197" s="967"/>
    </row>
    <row r="198" spans="1:17" ht="19.899999999999999" customHeight="1">
      <c r="A198" s="2" t="s">
        <v>229</v>
      </c>
      <c r="O198" s="966"/>
      <c r="Q198" s="967"/>
    </row>
    <row r="199" spans="1:17" ht="19.899999999999999" customHeight="1">
      <c r="D199" s="6" t="s">
        <v>15</v>
      </c>
      <c r="E199" s="4" t="s">
        <v>6</v>
      </c>
      <c r="F199" s="100" t="e">
        <f>(F194*(F197-G26)/F197)</f>
        <v>#REF!</v>
      </c>
      <c r="H199" s="2" t="s">
        <v>10</v>
      </c>
      <c r="O199" s="966" t="s">
        <v>289</v>
      </c>
      <c r="Q199" s="967"/>
    </row>
    <row r="200" spans="1:17" ht="19.899999999999999" customHeight="1">
      <c r="D200" s="6" t="s">
        <v>16</v>
      </c>
      <c r="E200" s="4" t="s">
        <v>6</v>
      </c>
      <c r="F200" s="100" t="e">
        <f>(F194*(F197-K28-K16)/F197)</f>
        <v>#REF!</v>
      </c>
      <c r="H200" s="2" t="s">
        <v>10</v>
      </c>
      <c r="O200" s="966" t="s">
        <v>290</v>
      </c>
      <c r="Q200" s="967"/>
    </row>
    <row r="201" spans="1:17" ht="19.899999999999999" customHeight="1">
      <c r="D201" s="6" t="s">
        <v>14</v>
      </c>
      <c r="E201" s="4" t="s">
        <v>6</v>
      </c>
      <c r="F201" s="100" t="e">
        <f>-(F195*(K11-F197-K28)/(K11-F197))</f>
        <v>#REF!</v>
      </c>
      <c r="H201" s="2" t="s">
        <v>10</v>
      </c>
      <c r="O201" s="966"/>
      <c r="Q201" s="967"/>
    </row>
    <row r="202" spans="1:17" ht="19.899999999999999" customHeight="1">
      <c r="D202" s="6" t="s">
        <v>13</v>
      </c>
      <c r="E202" s="4" t="s">
        <v>6</v>
      </c>
      <c r="F202" s="100" t="e">
        <f>F195*(F197-K11+K28+K16)/(K11-F197)</f>
        <v>#REF!</v>
      </c>
      <c r="H202" s="2" t="s">
        <v>10</v>
      </c>
      <c r="O202" s="29" t="s">
        <v>299</v>
      </c>
      <c r="P202" s="854"/>
      <c r="Q202" s="969"/>
    </row>
    <row r="203" spans="1:17" ht="19.899999999999999" customHeight="1">
      <c r="D203" s="6" t="s">
        <v>12</v>
      </c>
      <c r="E203" s="4" t="s">
        <v>6</v>
      </c>
      <c r="F203" s="100" t="e">
        <f>F194*(F197-K11/2)/F197</f>
        <v>#REF!</v>
      </c>
      <c r="H203" s="2" t="s">
        <v>10</v>
      </c>
    </row>
    <row r="204" spans="1:17" ht="19.899999999999999" customHeight="1">
      <c r="D204" s="6" t="s">
        <v>22</v>
      </c>
      <c r="E204" s="4" t="s">
        <v>6</v>
      </c>
      <c r="F204" s="970" t="e">
        <f>F194*(F197-K28*2-K16)/F197</f>
        <v>#REF!</v>
      </c>
      <c r="H204" s="2" t="s">
        <v>10</v>
      </c>
    </row>
    <row r="205" spans="1:17" ht="19.899999999999999" customHeight="1">
      <c r="D205" s="6" t="s">
        <v>23</v>
      </c>
      <c r="E205" s="4" t="s">
        <v>6</v>
      </c>
      <c r="F205" s="970" t="e">
        <f>F194*(F197-K11/2+K20/2)/F197</f>
        <v>#REF!</v>
      </c>
      <c r="H205" s="2" t="s">
        <v>10</v>
      </c>
    </row>
    <row r="206" spans="1:17" ht="19.899999999999999" customHeight="1">
      <c r="D206" s="6" t="s">
        <v>154</v>
      </c>
      <c r="E206" s="4" t="s">
        <v>6</v>
      </c>
      <c r="F206" s="970" t="e">
        <f>(F194*(F197-(K11-K10)/2)/F197)</f>
        <v>#REF!</v>
      </c>
      <c r="H206" s="2" t="s">
        <v>10</v>
      </c>
    </row>
    <row r="207" spans="1:17" ht="19.899999999999999" customHeight="1">
      <c r="D207" s="6"/>
      <c r="E207" s="4"/>
      <c r="F207" s="100"/>
      <c r="G207" s="100"/>
      <c r="H207" s="100"/>
    </row>
    <row r="208" spans="1:17" ht="19.899999999999999" customHeight="1">
      <c r="A208" s="6" t="s">
        <v>9</v>
      </c>
      <c r="D208" s="6"/>
      <c r="E208" s="4" t="s">
        <v>12</v>
      </c>
      <c r="F208" s="970" t="s">
        <v>16</v>
      </c>
      <c r="G208" s="100"/>
      <c r="H208" s="100" t="s">
        <v>15</v>
      </c>
    </row>
    <row r="209" spans="1:14" ht="19.899999999999999" customHeight="1">
      <c r="D209" s="6"/>
      <c r="E209" s="4"/>
      <c r="F209" s="100"/>
      <c r="G209" s="100"/>
      <c r="H209" s="100"/>
    </row>
    <row r="210" spans="1:14" ht="19.899999999999999" customHeight="1">
      <c r="A210" s="6"/>
      <c r="B210" s="6" t="s">
        <v>14</v>
      </c>
      <c r="C210" s="4" t="s">
        <v>13</v>
      </c>
      <c r="D210" s="6" t="s">
        <v>41</v>
      </c>
      <c r="E210" s="4" t="s">
        <v>12</v>
      </c>
      <c r="J210" s="2" t="s">
        <v>8</v>
      </c>
    </row>
    <row r="211" spans="1:14" ht="19.899999999999999" customHeight="1">
      <c r="D211" s="6"/>
      <c r="G211" s="2" t="s">
        <v>35</v>
      </c>
    </row>
    <row r="212" spans="1:14" ht="19.899999999999999" customHeight="1">
      <c r="B212" s="6"/>
      <c r="D212" s="4"/>
    </row>
    <row r="213" spans="1:14" ht="19.899999999999999" customHeight="1">
      <c r="E213" s="2" t="s">
        <v>40</v>
      </c>
    </row>
    <row r="214" spans="1:14" ht="19.899999999999999" customHeight="1">
      <c r="A214" s="971" t="s">
        <v>519</v>
      </c>
    </row>
    <row r="215" spans="1:14" ht="19.899999999999999" customHeight="1">
      <c r="B215" s="972" t="s">
        <v>231</v>
      </c>
    </row>
    <row r="216" spans="1:14" ht="19.899999999999999" customHeight="1">
      <c r="B216" s="973" t="s">
        <v>230</v>
      </c>
    </row>
    <row r="217" spans="1:14" ht="19.899999999999999" customHeight="1">
      <c r="B217" s="973" t="s">
        <v>525</v>
      </c>
    </row>
    <row r="218" spans="1:14" ht="19.899999999999999" customHeight="1">
      <c r="B218" s="5" t="s">
        <v>232</v>
      </c>
      <c r="E218" s="4" t="s">
        <v>43</v>
      </c>
      <c r="F218" s="2">
        <f>K28+K16/2</f>
        <v>4</v>
      </c>
      <c r="G218" s="2" t="s">
        <v>0</v>
      </c>
    </row>
    <row r="219" spans="1:14" ht="19.899999999999999" customHeight="1">
      <c r="B219" s="5"/>
      <c r="E219" s="4" t="s">
        <v>44</v>
      </c>
      <c r="F219" s="2">
        <f>K26+K16/2</f>
        <v>3</v>
      </c>
      <c r="G219" s="2" t="s">
        <v>0</v>
      </c>
    </row>
    <row r="220" spans="1:14" ht="19.899999999999999" customHeight="1">
      <c r="B220" s="2" t="s">
        <v>233</v>
      </c>
    </row>
    <row r="221" spans="1:14" ht="19.899999999999999" customHeight="1">
      <c r="B221" s="2" t="s">
        <v>234</v>
      </c>
      <c r="E221" s="4" t="s">
        <v>167</v>
      </c>
      <c r="F221" s="100" t="e">
        <f>F194/(1+F218^4/(F219^4))</f>
        <v>#REF!</v>
      </c>
      <c r="G221" s="2" t="s">
        <v>235</v>
      </c>
      <c r="M221" s="11"/>
      <c r="N221" s="419" t="e">
        <f>+F194/(1+F219^4/F218^4)</f>
        <v>#REF!</v>
      </c>
    </row>
    <row r="222" spans="1:14" ht="19.899999999999999" customHeight="1">
      <c r="E222" s="4" t="s">
        <v>168</v>
      </c>
      <c r="F222" s="100" t="e">
        <f>+F194-F221</f>
        <v>#REF!</v>
      </c>
      <c r="G222" s="2" t="s">
        <v>235</v>
      </c>
      <c r="M222" s="11"/>
      <c r="N222" s="419" t="e">
        <f>+F194-N221</f>
        <v>#REF!</v>
      </c>
    </row>
    <row r="223" spans="1:14" ht="19.899999999999999" customHeight="1">
      <c r="B223" s="2" t="s">
        <v>238</v>
      </c>
      <c r="D223" s="2" t="s">
        <v>169</v>
      </c>
      <c r="J223" s="4"/>
    </row>
    <row r="224" spans="1:14" ht="19.899999999999999" customHeight="1">
      <c r="B224" s="4" t="s">
        <v>170</v>
      </c>
      <c r="C224" s="923" t="e">
        <f>F221*F218^2/2*100000</f>
        <v>#REF!</v>
      </c>
      <c r="D224" s="2" t="s">
        <v>17</v>
      </c>
      <c r="E224" s="6" t="s">
        <v>236</v>
      </c>
      <c r="F224" s="2">
        <f>K19*100</f>
        <v>35</v>
      </c>
      <c r="G224" s="2" t="s">
        <v>18</v>
      </c>
      <c r="I224" s="4">
        <f>+F218</f>
        <v>4</v>
      </c>
      <c r="M224" s="9"/>
    </row>
    <row r="225" spans="2:13" ht="19.899999999999999" customHeight="1">
      <c r="B225" s="4" t="s">
        <v>171</v>
      </c>
      <c r="C225" s="923" t="e">
        <f>F222*F219^2/2*100000</f>
        <v>#REF!</v>
      </c>
      <c r="D225" s="2" t="s">
        <v>17</v>
      </c>
      <c r="E225" s="6" t="s">
        <v>122</v>
      </c>
      <c r="F225" s="962">
        <v>7.5</v>
      </c>
      <c r="G225" s="2" t="s">
        <v>18</v>
      </c>
      <c r="M225" s="9"/>
    </row>
    <row r="226" spans="2:13" ht="19.899999999999999" customHeight="1">
      <c r="E226" s="974" t="s">
        <v>172</v>
      </c>
      <c r="F226" s="2">
        <f>+F224-F225</f>
        <v>27.5</v>
      </c>
      <c r="G226" s="2" t="s">
        <v>18</v>
      </c>
      <c r="M226" s="9"/>
    </row>
    <row r="227" spans="2:13" ht="19.899999999999999" customHeight="1">
      <c r="B227" s="4" t="s">
        <v>173</v>
      </c>
      <c r="C227" s="9" t="e">
        <f>+C224/(E189*100*F226^2)</f>
        <v>#REF!</v>
      </c>
      <c r="D227" s="2" t="s">
        <v>174</v>
      </c>
      <c r="E227" s="974"/>
      <c r="J227" s="4">
        <f>+F219</f>
        <v>3</v>
      </c>
      <c r="M227" s="9"/>
    </row>
    <row r="228" spans="2:13" ht="19.899999999999999" customHeight="1">
      <c r="B228" s="4" t="s">
        <v>175</v>
      </c>
      <c r="C228" s="9" t="e">
        <f>+C225/(E189*100*F226^2)</f>
        <v>#REF!</v>
      </c>
      <c r="D228" s="2" t="s">
        <v>174</v>
      </c>
      <c r="E228" s="974"/>
      <c r="M228" s="9"/>
    </row>
    <row r="229" spans="2:13" ht="19.899999999999999" customHeight="1">
      <c r="B229" s="4" t="s">
        <v>176</v>
      </c>
      <c r="C229" s="10" t="e">
        <f>0.5*(1+SQRT(1-2*C227))</f>
        <v>#REF!</v>
      </c>
      <c r="E229" s="4"/>
      <c r="F229" s="9"/>
      <c r="G229" s="9"/>
      <c r="M229" s="9"/>
    </row>
    <row r="230" spans="2:13" ht="19.899999999999999" customHeight="1">
      <c r="B230" s="4" t="s">
        <v>177</v>
      </c>
      <c r="C230" s="10" t="e">
        <f>0.5*(1+SQRT(1-2*C228))</f>
        <v>#REF!</v>
      </c>
      <c r="E230" s="4"/>
      <c r="F230" s="9"/>
      <c r="G230" s="9"/>
      <c r="M230" s="9"/>
    </row>
    <row r="231" spans="2:13" ht="19.899999999999999" customHeight="1">
      <c r="B231" s="2" t="s">
        <v>239</v>
      </c>
      <c r="M231" s="9"/>
    </row>
    <row r="232" spans="2:13" ht="19.899999999999999" customHeight="1">
      <c r="B232" s="2" t="s">
        <v>244</v>
      </c>
      <c r="D232" s="893" t="str">
        <f>J188</f>
        <v>AIII</v>
      </c>
      <c r="E232" s="4" t="s">
        <v>538</v>
      </c>
      <c r="F232" s="9"/>
      <c r="G232" s="9"/>
      <c r="M232" s="9"/>
    </row>
    <row r="233" spans="2:13" ht="19.899999999999999" customHeight="1">
      <c r="B233" s="2" t="s">
        <v>237</v>
      </c>
      <c r="D233" s="2">
        <f>IF(D232="AI",2250,IF(D232="AII",2800,IF(D232="AIII",3650,"nhóm cốt thép")))</f>
        <v>3650</v>
      </c>
      <c r="E233" s="4" t="s">
        <v>66</v>
      </c>
      <c r="F233" s="9"/>
      <c r="G233" s="9"/>
      <c r="M233" s="9"/>
    </row>
    <row r="234" spans="2:13" ht="19.899999999999999" customHeight="1">
      <c r="B234" s="6" t="s">
        <v>178</v>
      </c>
      <c r="C234" s="975" t="e">
        <f>+C224/(D233*C229*$F$226)</f>
        <v>#REF!</v>
      </c>
      <c r="D234" s="2" t="s">
        <v>20</v>
      </c>
      <c r="E234" s="4"/>
      <c r="F234" s="9"/>
      <c r="G234" s="9"/>
      <c r="M234" s="9"/>
    </row>
    <row r="235" spans="2:13" ht="19.899999999999999" customHeight="1">
      <c r="B235" s="6" t="s">
        <v>179</v>
      </c>
      <c r="C235" s="975" t="e">
        <f>+C225/(D233*C230*F226)</f>
        <v>#REF!</v>
      </c>
      <c r="D235" s="2" t="s">
        <v>20</v>
      </c>
      <c r="E235" s="4"/>
      <c r="F235" s="9"/>
      <c r="G235" s="9"/>
      <c r="M235" s="9"/>
    </row>
    <row r="236" spans="2:13" ht="19.899999999999999" customHeight="1">
      <c r="B236" s="2" t="s">
        <v>240</v>
      </c>
      <c r="C236" s="976" t="str">
        <f>12&amp;D232  &amp;"   a  ="</f>
        <v>12AIII   a  =</v>
      </c>
      <c r="D236" s="963">
        <v>200</v>
      </c>
      <c r="E236" s="903"/>
      <c r="F236" s="9"/>
      <c r="G236" s="9"/>
      <c r="M236" s="9"/>
    </row>
    <row r="237" spans="2:13" ht="19.899999999999999" customHeight="1">
      <c r="C237" s="973" t="s">
        <v>58</v>
      </c>
      <c r="D237" s="442" t="str">
        <f>ROUND(VLOOKUP(VALUE(LEFT(C236,2)),$P$21:$S$41,4,0)*1000/D236,2) &amp;"  (cm²/m dài)"</f>
        <v>5.65  (cm²/m dài)</v>
      </c>
      <c r="E237" s="111"/>
      <c r="F237" s="9"/>
      <c r="G237" s="9"/>
      <c r="M237" s="9"/>
    </row>
    <row r="238" spans="2:13" ht="19.899999999999999" customHeight="1">
      <c r="C238" s="972" t="s">
        <v>111</v>
      </c>
      <c r="E238" s="3" t="str">
        <f>0.1*100*F226/100&amp;" (cm²/m dài)"</f>
        <v>2.75 (cm²/m dài)</v>
      </c>
      <c r="F238" s="9"/>
      <c r="G238" s="9"/>
      <c r="M238" s="9"/>
    </row>
    <row r="239" spans="2:13" ht="19.899999999999999" customHeight="1">
      <c r="B239" s="5" t="s">
        <v>241</v>
      </c>
      <c r="C239" s="972"/>
      <c r="E239" s="4" t="s">
        <v>180</v>
      </c>
      <c r="F239" s="9">
        <f>K7</f>
        <v>4</v>
      </c>
      <c r="G239" s="9"/>
      <c r="M239" s="9"/>
    </row>
    <row r="240" spans="2:13" ht="19.899999999999999" customHeight="1">
      <c r="C240" s="972"/>
      <c r="E240" s="4" t="s">
        <v>181</v>
      </c>
      <c r="F240" s="9">
        <f>K28+K16/2</f>
        <v>4</v>
      </c>
      <c r="G240" s="9"/>
      <c r="M240" s="9"/>
    </row>
    <row r="241" spans="2:13" ht="19.899999999999999" customHeight="1">
      <c r="B241" s="2" t="s">
        <v>279</v>
      </c>
      <c r="C241" s="972"/>
      <c r="D241" s="10">
        <f>+F239/F240</f>
        <v>1</v>
      </c>
      <c r="E241" s="3" t="str">
        <f>IF(D241&lt;2,"&lt; 2  Tính theo bản ngàm 3 cạnh","&gt;= 2 Tính theo bản console")</f>
        <v>&lt; 2  Tính theo bản ngàm 3 cạnh</v>
      </c>
      <c r="F241" s="9"/>
      <c r="G241" s="9"/>
      <c r="I241" s="977">
        <f>+F239</f>
        <v>4</v>
      </c>
      <c r="M241" s="9"/>
    </row>
    <row r="242" spans="2:13" ht="19.899999999999999" customHeight="1">
      <c r="B242" s="978" t="s">
        <v>520</v>
      </c>
      <c r="C242" s="972"/>
      <c r="E242" s="4"/>
      <c r="F242" s="9"/>
      <c r="G242" s="9"/>
      <c r="M242" s="9"/>
    </row>
    <row r="243" spans="2:13" ht="19.899999999999999" customHeight="1">
      <c r="B243" s="2" t="s">
        <v>245</v>
      </c>
      <c r="C243" s="972"/>
      <c r="E243" s="4"/>
      <c r="F243" s="9"/>
      <c r="G243" s="9"/>
      <c r="M243" s="9"/>
    </row>
    <row r="244" spans="2:13" ht="19.899999999999999" customHeight="1">
      <c r="B244" s="6" t="s">
        <v>182</v>
      </c>
      <c r="C244" s="979">
        <f>+IF(D241&lt;=1.5,IF(D241&lt;=1.4,IF(D241&lt;=1.3,IF(D241&lt;=1.2,IF(D241&lt;=1.1,Tra!O$5+(D241-Tra!$L$5)*Tra!S$5,Tra!O$6+(D241-Tra!$L$6)*Tra!S$6),Tra!O$7+(D241-Tra!$L$7)*Tra!S$7),Tra!O$8+(D241-Tra!$L$8)*Tra!S$8),Tra!O$9+(D241-Tra!$L$9)*Tra!S$9),Tra!O$10)</f>
        <v>5.0999999999999997E-2</v>
      </c>
      <c r="D244" s="6" t="s">
        <v>183</v>
      </c>
      <c r="E244" s="979">
        <f>+IF(D241&lt;=1.5,IF(D241&lt;=1.4,IF(D241&lt;=1.3,IF(D241&lt;=1.2,IF(D241&lt;=1.1,Tra!M$5+(D241-Tra!$L$5)*Tra!Q$5,Tra!M$6+(D241-Tra!$L$6)*Tra!Q$6),Tra!M$7+(D241-Tra!$L$7)*Tra!Q$7),Tra!M$8+(D241-Tra!$L$8)*Tra!Q$8),Tra!M$9+(D241-Tra!$L$9)*Tra!Q$9),Tra!M$10)</f>
        <v>9.9000000000000008E-3</v>
      </c>
      <c r="F244" s="9"/>
      <c r="G244" s="977">
        <f>+F240</f>
        <v>4</v>
      </c>
      <c r="M244" s="9"/>
    </row>
    <row r="245" spans="2:13" ht="19.899999999999999" customHeight="1">
      <c r="B245" s="6" t="s">
        <v>184</v>
      </c>
      <c r="C245" s="979">
        <f>+IF(D241&lt;=1.5,IF(D241&lt;=1.4,IF(D241&lt;=1.3,IF(D241&lt;=1.2,IF(D241&lt;=1.1,Tra!P$5+(D241-Tra!$L$5)*Tra!T$5,Tra!P$6+(D241-Tra!$L$6)*Tra!T$6),Tra!P$7+(D241-Tra!$L$7)*Tra!T$7),Tra!P$8+(D241-Tra!$L$8)*Tra!T$8),Tra!P$9+(D241-Tra!$L$9)*Tra!T$9),Tra!P$10)</f>
        <v>8.5300000000000001E-2</v>
      </c>
      <c r="D245" s="6" t="s">
        <v>185</v>
      </c>
      <c r="E245" s="979">
        <f>+IF(D241&lt;=1.5,IF(D241&lt;=1.4,IF(D241&lt;=1.3,IF(D241&lt;=1.2,IF(D241&lt;=1.1,Tra!N$5+(D241-Tra!$L$5)*Tra!R$5,Tra!N$6+(D241-Tra!$L$6)*Tra!R$6),Tra!N$7+(D241-Tra!$L$7)*Tra!R$7),Tra!N$8+(D241-Tra!$L$8)*Tra!R$8),Tra!N$9+(D241-Tra!$L$9)*Tra!R$9),Tra!N$10)</f>
        <v>4.5699999999999998E-2</v>
      </c>
      <c r="F245" s="9"/>
      <c r="G245" s="9"/>
      <c r="M245" s="9"/>
    </row>
    <row r="246" spans="2:13" ht="19.899999999999999" customHeight="1">
      <c r="B246" s="3" t="s">
        <v>242</v>
      </c>
      <c r="D246" s="6"/>
      <c r="E246" s="4" t="s">
        <v>186</v>
      </c>
      <c r="F246" s="9" t="e">
        <f>+F194</f>
        <v>#REF!</v>
      </c>
      <c r="G246" s="2" t="s">
        <v>10</v>
      </c>
      <c r="M246" s="9"/>
    </row>
    <row r="247" spans="2:13" ht="19.899999999999999" customHeight="1">
      <c r="B247" s="6" t="s">
        <v>170</v>
      </c>
      <c r="C247" s="980" t="e">
        <f>+IF(D241&lt;2,C244*F246*F239*F240*1000,0)</f>
        <v>#REF!</v>
      </c>
      <c r="D247" s="3" t="s">
        <v>60</v>
      </c>
      <c r="E247" s="6" t="s">
        <v>187</v>
      </c>
      <c r="F247" s="981" t="e">
        <f>+IF(D241&lt;2,E244*F246*F239*F240*1000,0)</f>
        <v>#REF!</v>
      </c>
      <c r="G247" s="3" t="s">
        <v>60</v>
      </c>
      <c r="M247" s="9"/>
    </row>
    <row r="248" spans="2:13" ht="19.899999999999999" customHeight="1">
      <c r="B248" s="6" t="s">
        <v>171</v>
      </c>
      <c r="C248" s="980" t="e">
        <f>+IF(D241&lt;2,C245*F246*F239*F240*1000,0)</f>
        <v>#REF!</v>
      </c>
      <c r="D248" s="3" t="s">
        <v>60</v>
      </c>
      <c r="E248" s="6" t="s">
        <v>188</v>
      </c>
      <c r="F248" s="981" t="e">
        <f>+IF(D241&lt;2,E245*F246*F239*F240*1000,0)</f>
        <v>#REF!</v>
      </c>
      <c r="G248" s="3" t="s">
        <v>60</v>
      </c>
      <c r="M248" s="9"/>
    </row>
    <row r="249" spans="2:13" ht="19.899999999999999" customHeight="1">
      <c r="B249" s="3" t="s">
        <v>243</v>
      </c>
      <c r="D249" s="982" t="e">
        <f>+MAX(C247,C248,F247,F248)</f>
        <v>#REF!</v>
      </c>
      <c r="E249" s="3" t="s">
        <v>60</v>
      </c>
      <c r="F249" s="9"/>
      <c r="G249" s="9"/>
      <c r="M249" s="9"/>
    </row>
    <row r="250" spans="2:13" ht="19.899999999999999" customHeight="1">
      <c r="B250" s="6" t="s">
        <v>59</v>
      </c>
      <c r="C250" s="10" t="e">
        <f>+D249*100/(E189*100*F226^2)</f>
        <v>#REF!</v>
      </c>
      <c r="D250" s="2" t="s">
        <v>174</v>
      </c>
      <c r="E250" s="903" t="s">
        <v>539</v>
      </c>
      <c r="F250" s="983" t="e">
        <f>0.5*(1+SQRT(1-2*C250))</f>
        <v>#REF!</v>
      </c>
      <c r="G250" s="9"/>
      <c r="M250" s="9"/>
    </row>
    <row r="251" spans="2:13" ht="19.899999999999999" customHeight="1">
      <c r="B251" s="2" t="s">
        <v>239</v>
      </c>
      <c r="E251" s="3"/>
      <c r="F251" s="9"/>
      <c r="G251" s="9"/>
      <c r="M251" s="9"/>
    </row>
    <row r="252" spans="2:13" ht="19.899999999999999" customHeight="1">
      <c r="B252" s="2" t="s">
        <v>244</v>
      </c>
      <c r="D252" s="2" t="str">
        <f>+D232</f>
        <v>AIII</v>
      </c>
      <c r="E252" s="3"/>
      <c r="F252" s="9"/>
      <c r="G252" s="9"/>
      <c r="M252" s="9"/>
    </row>
    <row r="253" spans="2:13" ht="19.899999999999999" customHeight="1">
      <c r="B253" s="2" t="s">
        <v>237</v>
      </c>
      <c r="D253" s="2">
        <f>IF(D252="AI",2250,IF(D252="AII",2800,IF(D252="AIII",3650,"nhóm cốt thép")))</f>
        <v>3650</v>
      </c>
      <c r="E253" s="3" t="s">
        <v>66</v>
      </c>
      <c r="F253" s="9"/>
      <c r="G253" s="9"/>
      <c r="M253" s="9"/>
    </row>
    <row r="254" spans="2:13" ht="19.899999999999999" customHeight="1">
      <c r="B254" s="6" t="s">
        <v>61</v>
      </c>
      <c r="C254" s="984" t="e">
        <f>+D249*100/(D253*F250*F226)</f>
        <v>#REF!</v>
      </c>
      <c r="D254" s="442" t="s">
        <v>62</v>
      </c>
      <c r="E254" s="3"/>
      <c r="F254" s="9"/>
      <c r="G254" s="9"/>
      <c r="M254" s="9"/>
    </row>
    <row r="255" spans="2:13" ht="19.899999999999999" customHeight="1">
      <c r="F255" s="9"/>
      <c r="G255" s="9"/>
      <c r="M255" s="9"/>
    </row>
    <row r="256" spans="2:13" ht="19.899999999999999" customHeight="1">
      <c r="B256" s="978" t="s">
        <v>521</v>
      </c>
      <c r="D256" s="982"/>
      <c r="E256" s="3"/>
      <c r="F256" s="9"/>
      <c r="G256" s="9"/>
      <c r="M256" s="9"/>
    </row>
    <row r="257" spans="1:16" ht="19.899999999999999" customHeight="1">
      <c r="B257" s="2" t="s">
        <v>246</v>
      </c>
      <c r="D257" s="985">
        <f>IF(E241="&gt;= 2 Tính theo bản console",(F199*F240^2/2+(F194-F199)*F240^2/3)*1000,0)</f>
        <v>0</v>
      </c>
      <c r="E257" s="3" t="s">
        <v>247</v>
      </c>
      <c r="F257" s="9"/>
      <c r="G257" s="9"/>
      <c r="M257" s="9"/>
    </row>
    <row r="258" spans="1:16" ht="19.899999999999999" customHeight="1">
      <c r="B258" s="6" t="s">
        <v>42</v>
      </c>
      <c r="C258" s="10">
        <f>+D257*100/(E189*100*F226^2)</f>
        <v>0</v>
      </c>
      <c r="D258" s="2" t="s">
        <v>174</v>
      </c>
      <c r="E258" s="903" t="s">
        <v>539</v>
      </c>
      <c r="F258" s="983">
        <f>0.5*(1+SQRT(1-2*C258))</f>
        <v>1</v>
      </c>
      <c r="G258" s="9"/>
      <c r="M258" s="9"/>
    </row>
    <row r="259" spans="1:16" ht="19.899999999999999" customHeight="1">
      <c r="B259" s="2" t="s">
        <v>239</v>
      </c>
      <c r="E259" s="3"/>
      <c r="F259" s="9"/>
      <c r="G259" s="9"/>
      <c r="M259" s="9"/>
    </row>
    <row r="260" spans="1:16" ht="19.899999999999999" customHeight="1">
      <c r="B260" s="2" t="s">
        <v>244</v>
      </c>
      <c r="D260" s="2" t="str">
        <f>+D252</f>
        <v>AIII</v>
      </c>
      <c r="E260" s="3"/>
      <c r="F260" s="9"/>
      <c r="G260" s="9"/>
      <c r="M260" s="9"/>
    </row>
    <row r="261" spans="1:16" ht="19.899999999999999" customHeight="1">
      <c r="B261" s="2" t="s">
        <v>237</v>
      </c>
      <c r="D261" s="2">
        <f>IF(D260="AI",2250,IF(D260="AII",2800,IF(D260="AIII",3650,"nhóm cốt thép")))</f>
        <v>3650</v>
      </c>
      <c r="E261" s="3" t="s">
        <v>66</v>
      </c>
      <c r="F261" s="9"/>
      <c r="G261" s="9"/>
      <c r="M261" s="9"/>
    </row>
    <row r="262" spans="1:16" ht="19.899999999999999" customHeight="1">
      <c r="B262" s="6" t="s">
        <v>61</v>
      </c>
      <c r="C262" s="984">
        <f>+D257*100/(D261*F258*F226)</f>
        <v>0</v>
      </c>
      <c r="D262" s="442" t="s">
        <v>62</v>
      </c>
      <c r="E262" s="3"/>
      <c r="F262" s="9"/>
      <c r="G262" s="9"/>
      <c r="M262" s="9"/>
    </row>
    <row r="263" spans="1:16" ht="19.899999999999999" customHeight="1">
      <c r="B263" s="6"/>
      <c r="C263" s="10"/>
      <c r="D263" s="442"/>
      <c r="E263" s="3"/>
      <c r="F263" s="9"/>
      <c r="G263" s="9"/>
      <c r="M263" s="9"/>
    </row>
    <row r="264" spans="1:16" ht="19.899999999999999" customHeight="1">
      <c r="B264" s="2" t="s">
        <v>240</v>
      </c>
      <c r="C264" s="2" t="str">
        <f>C236</f>
        <v>12AIII   a  =</v>
      </c>
      <c r="D264" s="986">
        <v>200</v>
      </c>
      <c r="E264" s="3"/>
      <c r="F264" s="9"/>
      <c r="G264" s="9"/>
      <c r="M264" s="9"/>
    </row>
    <row r="265" spans="1:16" ht="19.899999999999999" customHeight="1">
      <c r="B265" s="3"/>
      <c r="C265" s="903" t="s">
        <v>58</v>
      </c>
      <c r="D265" s="442" t="str">
        <f>ROUND(VLOOKUP(VALUE(LEFT(C264,2)),$P$21:$S$41,4,0)*1000/D264,2) &amp;"  (cm²/m dài)"</f>
        <v>5.65  (cm²/m dài)</v>
      </c>
      <c r="E265" s="3"/>
      <c r="F265" s="9"/>
      <c r="G265" s="9"/>
      <c r="M265" s="9"/>
    </row>
    <row r="266" spans="1:16" ht="19.899999999999999" customHeight="1">
      <c r="A266" s="971" t="s">
        <v>518</v>
      </c>
      <c r="I266" s="981" t="e">
        <f>(F194+F204)*(2*K28+K16)/2*1000</f>
        <v>#REF!</v>
      </c>
      <c r="J266" s="4" t="s">
        <v>21</v>
      </c>
    </row>
    <row r="267" spans="1:16" ht="19.899999999999999" customHeight="1">
      <c r="J267" s="981"/>
    </row>
    <row r="268" spans="1:16" ht="19.899999999999999" customHeight="1">
      <c r="J268" s="981"/>
      <c r="M268" s="4" t="s">
        <v>155</v>
      </c>
      <c r="N268" s="977" t="e">
        <f>0.5*(K26+K16/2)^2*F199*2*1000</f>
        <v>#REF!</v>
      </c>
      <c r="O268" s="4" t="s">
        <v>159</v>
      </c>
      <c r="P268" s="11">
        <f>+K28+N272/2</f>
        <v>4.25</v>
      </c>
    </row>
    <row r="269" spans="1:16" ht="19.899999999999999" customHeight="1">
      <c r="J269" s="981"/>
      <c r="M269" s="4" t="s">
        <v>156</v>
      </c>
      <c r="N269" s="987" t="e">
        <f>0.5*(K26+K16/2)^2*0.5*(F194-F199)*2*1000</f>
        <v>#REF!</v>
      </c>
      <c r="O269" s="4" t="s">
        <v>160</v>
      </c>
      <c r="P269" s="11">
        <f>1/2*K28</f>
        <v>1.875</v>
      </c>
    </row>
    <row r="270" spans="1:16" ht="19.899999999999999" customHeight="1">
      <c r="J270" s="981"/>
      <c r="M270" s="4" t="s">
        <v>158</v>
      </c>
      <c r="N270" s="987" t="e">
        <f>+(K26+K16/2)*N272*F206*2*1000</f>
        <v>#REF!</v>
      </c>
      <c r="O270" s="4" t="s">
        <v>161</v>
      </c>
      <c r="P270" s="11">
        <f>2/3*K28</f>
        <v>2.5</v>
      </c>
    </row>
    <row r="271" spans="1:16" ht="19.899999999999999" customHeight="1">
      <c r="J271" s="981"/>
      <c r="L271" s="988"/>
      <c r="M271" s="4" t="s">
        <v>116</v>
      </c>
      <c r="N271" s="923">
        <f>+(K11-K8)/2-K16/2</f>
        <v>3.75</v>
      </c>
    </row>
    <row r="272" spans="1:16" ht="19.899999999999999" customHeight="1">
      <c r="J272" s="981"/>
      <c r="L272" s="988"/>
      <c r="M272" s="4" t="s">
        <v>157</v>
      </c>
      <c r="N272" s="11">
        <f>+K28-K26</f>
        <v>1</v>
      </c>
    </row>
    <row r="273" spans="2:14" ht="19.899999999999999" customHeight="1">
      <c r="J273" s="981"/>
      <c r="L273" s="988"/>
      <c r="M273" s="4" t="s">
        <v>162</v>
      </c>
      <c r="N273" s="977" t="e">
        <f>L277*L280^2*100*2/3</f>
        <v>#REF!</v>
      </c>
    </row>
    <row r="274" spans="2:14" ht="19.899999999999999" customHeight="1">
      <c r="J274" s="981"/>
      <c r="L274" s="988"/>
      <c r="M274" s="4" t="s">
        <v>162</v>
      </c>
      <c r="N274" s="989" t="e">
        <f>+(N268*P268+N269*P269+N270*P270)*100</f>
        <v>#REF!</v>
      </c>
    </row>
    <row r="275" spans="2:14" ht="19.899999999999999" customHeight="1">
      <c r="I275" s="981" t="e">
        <f>(F194+F205)*(K11-K20)*1000/4</f>
        <v>#REF!</v>
      </c>
      <c r="J275" s="4" t="s">
        <v>21</v>
      </c>
      <c r="L275" s="988"/>
    </row>
    <row r="276" spans="2:14" ht="19.899999999999999" customHeight="1">
      <c r="L276" s="988"/>
    </row>
    <row r="277" spans="2:14" ht="19.899999999999999" customHeight="1">
      <c r="J277" s="981"/>
      <c r="K277" s="4" t="s">
        <v>32</v>
      </c>
      <c r="L277" s="988" t="e">
        <f>I285</f>
        <v>#REF!</v>
      </c>
    </row>
    <row r="278" spans="2:14" ht="19.899999999999999" customHeight="1">
      <c r="J278" s="981"/>
      <c r="K278" s="4" t="s">
        <v>33</v>
      </c>
      <c r="L278" s="988" t="e">
        <f>I275</f>
        <v>#REF!</v>
      </c>
    </row>
    <row r="279" spans="2:14" ht="19.899999999999999" customHeight="1">
      <c r="J279" s="981"/>
      <c r="K279" s="4" t="s">
        <v>526</v>
      </c>
      <c r="L279" s="988">
        <f>K7</f>
        <v>4</v>
      </c>
    </row>
    <row r="280" spans="2:14" ht="19.899999999999999" customHeight="1">
      <c r="J280" s="981"/>
      <c r="K280" s="4" t="s">
        <v>527</v>
      </c>
      <c r="L280" s="988">
        <f>(K10-K7)/2</f>
        <v>3</v>
      </c>
    </row>
    <row r="281" spans="2:14" ht="19.899999999999999" customHeight="1">
      <c r="J281" s="981"/>
      <c r="K281" s="4" t="s">
        <v>34</v>
      </c>
      <c r="L281" s="988" t="e">
        <f>0.5*(L277*L280+L279*L278-L280*L278)</f>
        <v>#REF!</v>
      </c>
    </row>
    <row r="282" spans="2:14" ht="19.899999999999999" customHeight="1">
      <c r="J282" s="981"/>
    </row>
    <row r="283" spans="2:14" ht="19.899999999999999" customHeight="1">
      <c r="J283" s="981"/>
    </row>
    <row r="285" spans="2:14" ht="19.899999999999999" customHeight="1">
      <c r="E285" s="4"/>
      <c r="I285" s="981" t="e">
        <f>I266</f>
        <v>#REF!</v>
      </c>
      <c r="J285" s="4" t="s">
        <v>21</v>
      </c>
    </row>
    <row r="286" spans="2:14" ht="19.899999999999999" customHeight="1">
      <c r="B286" s="2" t="s">
        <v>238</v>
      </c>
      <c r="D286" s="4" t="s">
        <v>67</v>
      </c>
      <c r="E286" s="990" t="e">
        <f>+N274</f>
        <v>#REF!</v>
      </c>
      <c r="F286" s="2" t="s">
        <v>17</v>
      </c>
      <c r="H286" s="100"/>
      <c r="M286" s="977"/>
    </row>
    <row r="287" spans="2:14" ht="19.899999999999999" customHeight="1">
      <c r="B287" s="2" t="s">
        <v>248</v>
      </c>
      <c r="D287" s="4" t="s">
        <v>67</v>
      </c>
      <c r="E287" s="990" t="e">
        <f>(0.5*L281*L279-0.5*L277*L280*(2*L280/3+L279/2)-L278*(L280/2*(L280/3-L280+L279/2))-L278*(L279-2*L280)^2/8)*100</f>
        <v>#REF!</v>
      </c>
      <c r="F287" s="2" t="s">
        <v>17</v>
      </c>
      <c r="H287" s="100"/>
    </row>
    <row r="288" spans="2:14" ht="19.899999999999999" customHeight="1">
      <c r="B288" s="2" t="s">
        <v>249</v>
      </c>
      <c r="D288" s="4" t="s">
        <v>68</v>
      </c>
      <c r="E288" s="2">
        <f>100*K16</f>
        <v>50</v>
      </c>
      <c r="F288" s="2" t="s">
        <v>18</v>
      </c>
      <c r="G288" s="4"/>
      <c r="H288" s="4"/>
      <c r="I288" s="2" t="s">
        <v>189</v>
      </c>
      <c r="J288" s="2">
        <f>F225</f>
        <v>7.5</v>
      </c>
      <c r="K288" s="4" t="s">
        <v>18</v>
      </c>
    </row>
    <row r="289" spans="2:11" ht="19.899999999999999" customHeight="1">
      <c r="D289" s="4" t="s">
        <v>69</v>
      </c>
      <c r="E289" s="2">
        <f>100*K17</f>
        <v>100</v>
      </c>
      <c r="F289" s="2" t="s">
        <v>18</v>
      </c>
      <c r="G289" s="4"/>
      <c r="H289" s="4"/>
      <c r="I289" s="2" t="s">
        <v>70</v>
      </c>
      <c r="J289" s="2">
        <f>E289-J288-4</f>
        <v>88.5</v>
      </c>
      <c r="K289" s="4" t="s">
        <v>18</v>
      </c>
    </row>
    <row r="290" spans="2:11" ht="19.899999999999999" customHeight="1">
      <c r="B290" s="978" t="s">
        <v>250</v>
      </c>
      <c r="D290" s="4" t="s">
        <v>67</v>
      </c>
      <c r="E290" s="991" t="e">
        <f>+E286</f>
        <v>#REF!</v>
      </c>
      <c r="F290" s="2" t="s">
        <v>17</v>
      </c>
      <c r="G290" s="4"/>
      <c r="H290" s="4"/>
    </row>
    <row r="291" spans="2:11" ht="19.899999999999999" customHeight="1">
      <c r="D291" s="903" t="s">
        <v>544</v>
      </c>
      <c r="E291" s="419" t="e">
        <f>E286/($E$189*$E$288*$J$289^2)</f>
        <v>#REF!</v>
      </c>
      <c r="F291" s="2" t="s">
        <v>19</v>
      </c>
    </row>
    <row r="292" spans="2:11" ht="19.899999999999999" customHeight="1">
      <c r="D292" s="903" t="s">
        <v>545</v>
      </c>
      <c r="E292" s="992" t="e">
        <f>0.5*(1+SQRT(1-2*E291))</f>
        <v>#REF!</v>
      </c>
    </row>
    <row r="293" spans="2:11" ht="19.899999999999999" customHeight="1">
      <c r="E293" s="419"/>
    </row>
    <row r="294" spans="2:11" ht="19.899999999999999" customHeight="1">
      <c r="B294" s="2" t="s">
        <v>253</v>
      </c>
      <c r="D294" s="2" t="s">
        <v>56</v>
      </c>
    </row>
    <row r="295" spans="2:11" ht="19.899999999999999" customHeight="1">
      <c r="B295" s="2" t="s">
        <v>237</v>
      </c>
      <c r="D295" s="2">
        <f>IF(D294="AI",2250,IF(D294="AII",2800,IF(D294="AIII",3650,"nhóm cốt thép")))</f>
        <v>3650</v>
      </c>
      <c r="E295" s="419" t="s">
        <v>66</v>
      </c>
    </row>
    <row r="296" spans="2:11" ht="19.899999999999999" customHeight="1">
      <c r="C296" s="903" t="s">
        <v>58</v>
      </c>
      <c r="D296" s="993" t="e">
        <f>+E290/(D295*E292*$J$289)</f>
        <v>#REF!</v>
      </c>
      <c r="E296" s="2" t="s">
        <v>20</v>
      </c>
    </row>
    <row r="297" spans="2:11" ht="19.899999999999999" customHeight="1">
      <c r="D297" s="4"/>
      <c r="E297" s="419"/>
    </row>
    <row r="298" spans="2:11" ht="19.899999999999999" customHeight="1">
      <c r="B298" s="978" t="s">
        <v>252</v>
      </c>
      <c r="D298" s="4" t="s">
        <v>67</v>
      </c>
      <c r="E298" s="994" t="e">
        <f>+ABS(E287)</f>
        <v>#REF!</v>
      </c>
      <c r="F298" s="2" t="s">
        <v>17</v>
      </c>
    </row>
    <row r="299" spans="2:11" ht="19.899999999999999" customHeight="1">
      <c r="D299" s="903" t="s">
        <v>544</v>
      </c>
      <c r="E299" s="419" t="e">
        <f>E298/($E$189*$E$288*$J$289^2)</f>
        <v>#REF!</v>
      </c>
      <c r="F299" s="2" t="s">
        <v>19</v>
      </c>
    </row>
    <row r="300" spans="2:11" ht="19.899999999999999" customHeight="1">
      <c r="D300" s="903" t="s">
        <v>545</v>
      </c>
      <c r="E300" s="992" t="e">
        <f>0.5*(1+SQRT(1-2*E299))</f>
        <v>#REF!</v>
      </c>
    </row>
    <row r="301" spans="2:11" ht="19.899999999999999" customHeight="1">
      <c r="D301" s="903"/>
      <c r="E301" s="442"/>
    </row>
    <row r="302" spans="2:11" ht="19.899999999999999" customHeight="1">
      <c r="B302" s="2" t="s">
        <v>253</v>
      </c>
      <c r="D302" s="8" t="str">
        <f>J188</f>
        <v>AIII</v>
      </c>
      <c r="E302" s="442"/>
    </row>
    <row r="303" spans="2:11" ht="19.899999999999999" customHeight="1">
      <c r="B303" s="2" t="s">
        <v>237</v>
      </c>
      <c r="D303" s="2">
        <f>IF(D302="AI",2250,IF(D302="AII",2800,IF(D302="AIII",3650,"nhóm cốt thép")))</f>
        <v>3650</v>
      </c>
      <c r="E303" s="419" t="s">
        <v>66</v>
      </c>
    </row>
    <row r="304" spans="2:11" ht="19.899999999999999" customHeight="1">
      <c r="C304" s="903" t="s">
        <v>58</v>
      </c>
      <c r="D304" s="993" t="e">
        <f>+E298/(D303*E300*$J$289)</f>
        <v>#REF!</v>
      </c>
      <c r="E304" s="2" t="s">
        <v>20</v>
      </c>
    </row>
    <row r="305" spans="1:11" ht="19.899999999999999" customHeight="1">
      <c r="B305" s="2" t="s">
        <v>251</v>
      </c>
      <c r="C305" s="995" t="str">
        <f>"06"&amp;"Ø"&amp;20&amp;D302</f>
        <v>06Ø20AIII</v>
      </c>
      <c r="D305" s="903" t="s">
        <v>58</v>
      </c>
      <c r="E305" s="442" t="str">
        <f>+ROUND(LEFT(C305,2)*VLOOKUP(VALUE(MID(C305,4,2)),$P$21:$S$41,4,0),2)&amp;"  cm²"</f>
        <v>18.84  cm²</v>
      </c>
    </row>
    <row r="306" spans="1:11" ht="19.899999999999999" customHeight="1">
      <c r="B306" s="978" t="s">
        <v>291</v>
      </c>
      <c r="D306" s="903"/>
      <c r="E306" s="996"/>
    </row>
    <row r="307" spans="1:11" ht="19.899999999999999" customHeight="1">
      <c r="B307" s="2" t="s">
        <v>292</v>
      </c>
      <c r="D307" s="903"/>
      <c r="E307" s="996"/>
    </row>
    <row r="308" spans="1:11" ht="19.899999999999999" customHeight="1">
      <c r="C308" s="6" t="s">
        <v>79</v>
      </c>
      <c r="D308" s="997" t="e">
        <f>1/2*N270*G26</f>
        <v>#REF!</v>
      </c>
      <c r="E308" s="996" t="s">
        <v>21</v>
      </c>
    </row>
    <row r="309" spans="1:11" ht="19.899999999999999" customHeight="1">
      <c r="B309" s="2" t="s">
        <v>277</v>
      </c>
      <c r="C309" s="6"/>
      <c r="D309" s="997"/>
      <c r="E309" s="996"/>
    </row>
    <row r="310" spans="1:11" ht="19.899999999999999" customHeight="1">
      <c r="C310" s="6" t="s">
        <v>293</v>
      </c>
      <c r="D310" s="997">
        <f>0.6*E190*E288*J289</f>
        <v>19912.5</v>
      </c>
      <c r="E310" s="2" t="s">
        <v>300</v>
      </c>
      <c r="F310" s="8" t="e">
        <f>+IF(D310&gt;D308, "Bêtông đủ khả năng chịu cắt","Qc &lt; Q ==&gt; Tính cốt đai")</f>
        <v>#REF!</v>
      </c>
      <c r="G310" s="8"/>
      <c r="H310" s="8"/>
    </row>
    <row r="311" spans="1:11" ht="19.899999999999999" customHeight="1">
      <c r="B311" s="2" t="s">
        <v>294</v>
      </c>
      <c r="C311" s="998">
        <v>10</v>
      </c>
      <c r="D311" s="982" t="s">
        <v>295</v>
      </c>
      <c r="E311" s="2">
        <f>+C311*C311*3.14/4/100</f>
        <v>0.78500000000000003</v>
      </c>
      <c r="F311" s="2" t="s">
        <v>20</v>
      </c>
    </row>
    <row r="312" spans="1:11" ht="19.899999999999999" customHeight="1">
      <c r="B312" s="6" t="s">
        <v>296</v>
      </c>
      <c r="C312" s="998">
        <v>2</v>
      </c>
      <c r="D312" s="982" t="s">
        <v>297</v>
      </c>
      <c r="E312" s="8">
        <v>30</v>
      </c>
      <c r="F312" s="2" t="s">
        <v>18</v>
      </c>
    </row>
    <row r="313" spans="1:11" ht="19.899999999999999" customHeight="1">
      <c r="B313" s="6"/>
      <c r="C313" s="998"/>
      <c r="D313"/>
    </row>
    <row r="314" spans="1:11" ht="19.899999999999999" customHeight="1">
      <c r="B314" s="6"/>
      <c r="E314" s="999">
        <f>0.8*2300*C312*E311/E312</f>
        <v>96.293333333333337</v>
      </c>
      <c r="F314" s="442" t="s">
        <v>21</v>
      </c>
    </row>
    <row r="315" spans="1:11" ht="19.899999999999999" customHeight="1">
      <c r="B315" s="6"/>
      <c r="C315" s="998"/>
      <c r="D315" s="982"/>
    </row>
    <row r="316" spans="1:11" ht="19.899999999999999" customHeight="1">
      <c r="B316" s="6"/>
      <c r="C316" s="998"/>
      <c r="D316" s="982"/>
      <c r="E316" s="1000">
        <f>2.8*J289*SQRT(E190*E288*E314)</f>
        <v>47088.520601097669</v>
      </c>
      <c r="F316" s="442" t="s">
        <v>298</v>
      </c>
    </row>
    <row r="317" spans="1:11" ht="19.899999999999999" customHeight="1">
      <c r="C317" s="998"/>
      <c r="D317" s="982"/>
    </row>
    <row r="318" spans="1:11" ht="19.899999999999999" customHeight="1">
      <c r="B318" s="3" t="str">
        <f>+"Bố trí cốt đai Ø = "&amp;C311&amp;" ,n = "&amp;C312&amp;" nhánh, u =  "&amp;E312&amp;" cm"</f>
        <v>Bố trí cốt đai Ø = 10 ,n = 2 nhánh, u =  30 cm</v>
      </c>
      <c r="C318" s="998"/>
      <c r="D318" s="982"/>
    </row>
    <row r="319" spans="1:11" ht="19.899999999999999" customHeight="1">
      <c r="A319" s="971" t="s">
        <v>517</v>
      </c>
    </row>
    <row r="320" spans="1:11" ht="19.899999999999999" customHeight="1">
      <c r="B320" s="5" t="s">
        <v>258</v>
      </c>
      <c r="J320" s="100" t="e">
        <f>+ROUND(C322,2)</f>
        <v>#REF!</v>
      </c>
      <c r="K320" s="2" t="s">
        <v>3</v>
      </c>
    </row>
    <row r="321" spans="2:11" ht="19.899999999999999" customHeight="1">
      <c r="B321" s="2" t="s">
        <v>254</v>
      </c>
      <c r="E321" s="2" t="s">
        <v>255</v>
      </c>
    </row>
    <row r="322" spans="2:11" ht="19.899999999999999" customHeight="1">
      <c r="B322" s="6" t="s">
        <v>78</v>
      </c>
      <c r="C322" s="981" t="e">
        <f>#REF!</f>
        <v>#REF!</v>
      </c>
      <c r="D322" s="2" t="s">
        <v>3</v>
      </c>
      <c r="E322" s="6" t="s">
        <v>74</v>
      </c>
      <c r="F322" s="2">
        <f>K23*100</f>
        <v>70</v>
      </c>
      <c r="G322" s="3" t="s">
        <v>18</v>
      </c>
      <c r="I322" s="982" t="e">
        <f>+ROUND(C323,2)</f>
        <v>#REF!</v>
      </c>
      <c r="J322" s="2" t="s">
        <v>3</v>
      </c>
    </row>
    <row r="323" spans="2:11" ht="19.899999999999999" customHeight="1">
      <c r="B323" s="6" t="s">
        <v>79</v>
      </c>
      <c r="C323" s="981" t="e">
        <f>+#REF!</f>
        <v>#REF!</v>
      </c>
      <c r="D323" s="2" t="s">
        <v>3</v>
      </c>
      <c r="E323" s="6" t="s">
        <v>69</v>
      </c>
      <c r="F323" s="2">
        <f>+F322</f>
        <v>70</v>
      </c>
      <c r="G323" s="3" t="s">
        <v>18</v>
      </c>
      <c r="K323" s="1560">
        <f>F324</f>
        <v>250</v>
      </c>
    </row>
    <row r="324" spans="2:11" ht="19.899999999999999" customHeight="1">
      <c r="B324" s="2" t="s">
        <v>256</v>
      </c>
      <c r="E324" s="6" t="s">
        <v>75</v>
      </c>
      <c r="F324" s="2">
        <f>(K14-K17)*100</f>
        <v>250</v>
      </c>
      <c r="G324" s="3" t="s">
        <v>18</v>
      </c>
      <c r="K324" s="1560"/>
    </row>
    <row r="325" spans="2:11" ht="19.899999999999999" customHeight="1">
      <c r="B325" s="6" t="s">
        <v>67</v>
      </c>
      <c r="C325" s="981" t="e">
        <f>I322*F324/100</f>
        <v>#REF!</v>
      </c>
      <c r="D325" s="2" t="s">
        <v>4</v>
      </c>
      <c r="E325" s="6" t="s">
        <v>190</v>
      </c>
      <c r="F325" s="962">
        <v>7.5</v>
      </c>
      <c r="G325" s="2" t="s">
        <v>18</v>
      </c>
      <c r="I325" s="6"/>
      <c r="J325" s="6"/>
      <c r="K325" s="1560"/>
    </row>
    <row r="326" spans="2:11" ht="19.899999999999999" customHeight="1">
      <c r="B326" s="6" t="s">
        <v>191</v>
      </c>
      <c r="C326" s="981" t="e">
        <f>+C322*0.8</f>
        <v>#REF!</v>
      </c>
      <c r="D326" s="2" t="s">
        <v>3</v>
      </c>
      <c r="E326" s="6" t="s">
        <v>70</v>
      </c>
      <c r="F326" s="2">
        <f>F323-F325</f>
        <v>62.5</v>
      </c>
      <c r="G326" s="2" t="s">
        <v>18</v>
      </c>
      <c r="I326" s="6"/>
      <c r="J326" s="6"/>
      <c r="K326" s="1560"/>
    </row>
    <row r="327" spans="2:11" ht="19.899999999999999" customHeight="1">
      <c r="B327" s="6" t="s">
        <v>192</v>
      </c>
      <c r="C327" s="981" t="e">
        <f>+C325*0.8</f>
        <v>#REF!</v>
      </c>
      <c r="D327" s="2" t="s">
        <v>4</v>
      </c>
      <c r="E327" s="6"/>
      <c r="I327" s="6"/>
      <c r="J327" s="6"/>
      <c r="K327" s="1560"/>
    </row>
    <row r="328" spans="2:11" ht="19.899999999999999" customHeight="1">
      <c r="B328" s="3" t="s">
        <v>257</v>
      </c>
      <c r="F328" s="6"/>
      <c r="J328" s="6"/>
      <c r="K328" s="1560"/>
    </row>
    <row r="329" spans="2:11" ht="19.899999999999999" customHeight="1">
      <c r="B329" s="6" t="s">
        <v>193</v>
      </c>
      <c r="C329" s="2">
        <f>+MAX(F323/25,2)</f>
        <v>2.8</v>
      </c>
      <c r="D329" s="2" t="s">
        <v>18</v>
      </c>
      <c r="F329" s="6"/>
      <c r="J329" s="1561" t="s">
        <v>546</v>
      </c>
      <c r="K329" s="1561"/>
    </row>
    <row r="330" spans="2:11" ht="19.899999999999999" customHeight="1">
      <c r="B330" s="6"/>
      <c r="F330" s="6"/>
      <c r="J330" s="6"/>
    </row>
    <row r="331" spans="2:11" ht="19.899999999999999" customHeight="1">
      <c r="B331" s="6"/>
      <c r="F331" s="6"/>
      <c r="J331" s="6"/>
    </row>
    <row r="332" spans="2:11" ht="19.899999999999999" customHeight="1">
      <c r="B332" s="3" t="s">
        <v>259</v>
      </c>
      <c r="F332" s="4"/>
    </row>
    <row r="333" spans="2:11" ht="19.899999999999999" customHeight="1">
      <c r="B333" s="6" t="s">
        <v>194</v>
      </c>
      <c r="C333" s="981" t="e">
        <f>C325*100000/(C322*1000)</f>
        <v>#REF!</v>
      </c>
      <c r="D333" s="2" t="s">
        <v>18</v>
      </c>
    </row>
    <row r="334" spans="2:11" ht="19.899999999999999" customHeight="1">
      <c r="B334" s="2" t="s">
        <v>260</v>
      </c>
    </row>
    <row r="335" spans="2:11" ht="19.899999999999999" customHeight="1">
      <c r="B335" s="6" t="s">
        <v>195</v>
      </c>
      <c r="C335" s="100" t="e">
        <f>+C333+C329</f>
        <v>#REF!</v>
      </c>
      <c r="D335" s="2" t="s">
        <v>18</v>
      </c>
      <c r="E335" s="4"/>
    </row>
    <row r="336" spans="2:11" ht="19.899999999999999" customHeight="1">
      <c r="B336" s="6" t="s">
        <v>196</v>
      </c>
      <c r="C336" s="981" t="e">
        <f>+C335/F323</f>
        <v>#REF!</v>
      </c>
      <c r="F336" s="4"/>
    </row>
    <row r="337" spans="2:9" ht="19.899999999999999" customHeight="1">
      <c r="B337" s="3" t="s">
        <v>261</v>
      </c>
    </row>
    <row r="338" spans="2:9" ht="19.899999999999999" customHeight="1">
      <c r="B338" s="6" t="s">
        <v>80</v>
      </c>
      <c r="C338" s="10" t="e">
        <f>+IF(C336&lt;=0.05,0.84,IF(C336&gt;=5,0.122,0.11/(0.1+C336)+0.1))</f>
        <v>#REF!</v>
      </c>
    </row>
    <row r="339" spans="2:9" ht="19.899999999999999" customHeight="1">
      <c r="B339" s="3" t="s">
        <v>262</v>
      </c>
      <c r="F339" s="4"/>
    </row>
    <row r="340" spans="2:9" ht="19.899999999999999" customHeight="1">
      <c r="B340" s="6" t="s">
        <v>197</v>
      </c>
      <c r="C340" s="981" t="e">
        <f>1+(C327+C326*F323/(2*100))/(C325+C322*F323/(2*100))</f>
        <v>#REF!</v>
      </c>
      <c r="F340" s="4"/>
    </row>
    <row r="341" spans="2:9" ht="19.899999999999999" customHeight="1">
      <c r="B341" s="3" t="s">
        <v>263</v>
      </c>
      <c r="C341" s="6" t="s">
        <v>81</v>
      </c>
      <c r="D341" s="995">
        <v>2E-3</v>
      </c>
      <c r="I341" s="4"/>
    </row>
    <row r="342" spans="2:9" ht="19.899999999999999" customHeight="1">
      <c r="B342" s="2" t="s">
        <v>82</v>
      </c>
      <c r="C342" s="6" t="s">
        <v>198</v>
      </c>
      <c r="D342" s="991">
        <f>+D341*F322*F326*(0.5*F323-F325)^2</f>
        <v>6617.1875</v>
      </c>
      <c r="E342" s="2" t="s">
        <v>199</v>
      </c>
      <c r="F342" s="3" t="s">
        <v>200</v>
      </c>
      <c r="I342" s="4"/>
    </row>
    <row r="343" spans="2:9" ht="19.899999999999999" customHeight="1">
      <c r="C343" s="6" t="s">
        <v>201</v>
      </c>
      <c r="D343" s="991">
        <f>+(F322*F323^3)/12</f>
        <v>2000833.3333333333</v>
      </c>
      <c r="E343" s="2" t="s">
        <v>199</v>
      </c>
      <c r="F343" s="3" t="s">
        <v>202</v>
      </c>
      <c r="I343" s="4"/>
    </row>
    <row r="344" spans="2:9" ht="19.899999999999999" customHeight="1">
      <c r="C344" s="1001" t="s">
        <v>83</v>
      </c>
      <c r="D344" s="8">
        <f>2.1*1000000</f>
        <v>2100000</v>
      </c>
      <c r="E344" s="2" t="s">
        <v>85</v>
      </c>
      <c r="I344" s="4"/>
    </row>
    <row r="345" spans="2:9" ht="19.899999999999999" customHeight="1">
      <c r="C345" s="1001" t="s">
        <v>84</v>
      </c>
      <c r="D345" s="8">
        <v>240000</v>
      </c>
      <c r="E345" s="2" t="s">
        <v>85</v>
      </c>
      <c r="I345" s="4"/>
    </row>
    <row r="346" spans="2:9" ht="19.899999999999999" customHeight="1">
      <c r="B346" s="2" t="s">
        <v>264</v>
      </c>
      <c r="I346" s="4"/>
    </row>
    <row r="347" spans="2:9" ht="19.899999999999999" customHeight="1">
      <c r="I347" s="4"/>
    </row>
    <row r="348" spans="2:9" ht="19.899999999999999" customHeight="1">
      <c r="D348" s="6" t="s">
        <v>6</v>
      </c>
      <c r="E348" s="981" t="e">
        <f>+(6.4/F324^2)*((C338/C340)*D345*D343+D344*D342)/1000</f>
        <v>#REF!</v>
      </c>
      <c r="F348" s="2" t="s">
        <v>3</v>
      </c>
      <c r="I348" s="4"/>
    </row>
    <row r="349" spans="2:9" ht="19.899999999999999" customHeight="1">
      <c r="I349" s="4"/>
    </row>
    <row r="350" spans="2:9" ht="19.899999999999999" customHeight="1">
      <c r="B350" s="2" t="s">
        <v>265</v>
      </c>
      <c r="D350" s="6" t="s">
        <v>6</v>
      </c>
      <c r="E350" s="1002" t="e">
        <f>1/(1-C322/E348)</f>
        <v>#REF!</v>
      </c>
      <c r="I350" s="4"/>
    </row>
    <row r="351" spans="2:9" ht="19.899999999999999" customHeight="1">
      <c r="I351" s="4"/>
    </row>
    <row r="352" spans="2:9" ht="19.899999999999999" customHeight="1">
      <c r="I352" s="4"/>
    </row>
    <row r="353" spans="2:18" ht="19.899999999999999" customHeight="1">
      <c r="B353" s="2" t="s">
        <v>266</v>
      </c>
      <c r="D353" s="6" t="s">
        <v>76</v>
      </c>
      <c r="E353" s="100" t="e">
        <f>+E350*C335+F323/2-F325</f>
        <v>#REF!</v>
      </c>
      <c r="F353" s="2" t="s">
        <v>18</v>
      </c>
      <c r="G353" s="2" t="s">
        <v>203</v>
      </c>
      <c r="I353" s="4"/>
    </row>
    <row r="354" spans="2:18" ht="19.899999999999999" customHeight="1">
      <c r="D354" s="6" t="s">
        <v>77</v>
      </c>
      <c r="E354" s="100" t="e">
        <f>ABS(E350*C335-F323/2+F325)</f>
        <v>#REF!</v>
      </c>
      <c r="G354" s="2" t="s">
        <v>204</v>
      </c>
    </row>
    <row r="355" spans="2:18" ht="19.899999999999999" customHeight="1">
      <c r="B355" s="2" t="s">
        <v>267</v>
      </c>
      <c r="D355" s="6" t="s">
        <v>86</v>
      </c>
      <c r="E355" s="981" t="e">
        <f>+C322*1000/(E189*F322)</f>
        <v>#REF!</v>
      </c>
      <c r="F355" s="2" t="s">
        <v>18</v>
      </c>
      <c r="H355" s="100"/>
    </row>
    <row r="356" spans="2:18" ht="19.899999999999999" customHeight="1">
      <c r="D356" s="6" t="s">
        <v>205</v>
      </c>
      <c r="E356" s="100">
        <f>0.62*F326</f>
        <v>38.75</v>
      </c>
      <c r="F356" s="2" t="s">
        <v>18</v>
      </c>
      <c r="G356" s="973" t="s">
        <v>65</v>
      </c>
      <c r="H356" s="3" t="e">
        <f>+IF(E355&lt;=E356,"x&lt;αoho ","x&gt;αoho")</f>
        <v>#REF!</v>
      </c>
    </row>
    <row r="357" spans="2:18" ht="19.899999999999999" customHeight="1">
      <c r="C357" s="974" t="s">
        <v>65</v>
      </c>
      <c r="D357" s="3" t="e">
        <f>+IF(E355&lt;=E356,"Xảy ra trường hợp nén lệch tâm lớn","Xảy ra trường hợp nén lệch tâm bé ")</f>
        <v>#REF!</v>
      </c>
      <c r="E357" s="100"/>
      <c r="H357" s="100"/>
    </row>
    <row r="358" spans="2:18" ht="19.899999999999999" customHeight="1">
      <c r="B358" s="429" t="s">
        <v>268</v>
      </c>
      <c r="C358" s="974"/>
      <c r="D358" s="3"/>
      <c r="E358" s="100"/>
      <c r="H358" s="100"/>
      <c r="K358" s="111"/>
      <c r="L358" s="1003"/>
      <c r="N358" s="11"/>
      <c r="Q358" s="11"/>
      <c r="R358" s="11"/>
    </row>
    <row r="359" spans="2:18" ht="19.899999999999999" customHeight="1">
      <c r="B359" s="2" t="s">
        <v>272</v>
      </c>
      <c r="D359" s="2" t="str">
        <f>+D302</f>
        <v>AIII</v>
      </c>
      <c r="E359" s="100"/>
      <c r="H359" s="100"/>
      <c r="N359" s="11"/>
      <c r="Q359" s="11"/>
      <c r="R359" s="11"/>
    </row>
    <row r="360" spans="2:18" ht="19.899999999999999" customHeight="1">
      <c r="B360" s="2" t="s">
        <v>237</v>
      </c>
      <c r="D360" s="2">
        <f>IF(D359="AI",2250,IF(D359="AII",2800,IF(D359="AIII",3650,"nhóm cốt thép")))</f>
        <v>3650</v>
      </c>
      <c r="E360" s="100" t="s">
        <v>66</v>
      </c>
      <c r="H360" s="100"/>
      <c r="N360" s="11"/>
      <c r="Q360" s="11"/>
      <c r="R360" s="11"/>
    </row>
    <row r="361" spans="2:18" ht="19.899999999999999" customHeight="1">
      <c r="C361" s="2" t="e">
        <f>+IF(E355&gt;2*F325,"x&gt;2a' ==&gt;","x&lt;2a' ==&gt;")</f>
        <v>#REF!</v>
      </c>
      <c r="D361" s="3" t="e">
        <f>+IF(E355&gt;2*F325,"Fa = F'a = N(e-ho+0.5x)/(R'a(ho-a'))","Fa = F'a = Ne'/(Ra(ho-a'))")</f>
        <v>#REF!</v>
      </c>
      <c r="E361" s="100"/>
      <c r="H361" s="100"/>
      <c r="N361" s="11"/>
      <c r="Q361" s="11"/>
      <c r="R361" s="11"/>
    </row>
    <row r="362" spans="2:18" ht="19.899999999999999" customHeight="1">
      <c r="D362" s="6" t="s">
        <v>87</v>
      </c>
      <c r="E362" s="1004" t="e">
        <f>+IF(E355&gt;2*F325,C322*1000*(E353-F326+0.5*E355)/(D360*(F326-F325)),C322*1000*E354/(D360*(F326-F325)))</f>
        <v>#REF!</v>
      </c>
      <c r="F362" s="2" t="s">
        <v>20</v>
      </c>
      <c r="H362" s="100"/>
      <c r="N362" s="11"/>
      <c r="Q362" s="11"/>
      <c r="R362" s="11"/>
    </row>
    <row r="363" spans="2:18" ht="19.899999999999999" customHeight="1">
      <c r="B363" s="1005" t="s">
        <v>269</v>
      </c>
      <c r="C363" s="1006" t="s">
        <v>88</v>
      </c>
      <c r="D363" s="1007" t="e">
        <f>+E362*2/(F322*F326)</f>
        <v>#REF!</v>
      </c>
      <c r="E363" s="1008" t="s">
        <v>270</v>
      </c>
      <c r="F363" s="1005"/>
      <c r="G363" s="1009" t="s">
        <v>81</v>
      </c>
      <c r="H363" s="1007" t="e">
        <f>+D363/2+D341/2</f>
        <v>#REF!</v>
      </c>
      <c r="L363" s="1003"/>
      <c r="M363" s="1010"/>
      <c r="N363" s="1011"/>
      <c r="P363" s="11"/>
      <c r="Q363" s="1010"/>
      <c r="R363" s="1010"/>
    </row>
    <row r="364" spans="2:18" ht="19.899999999999999" customHeight="1">
      <c r="B364" s="1012" t="s">
        <v>271</v>
      </c>
      <c r="C364" s="1013"/>
      <c r="D364" s="1014"/>
      <c r="E364" s="1015"/>
      <c r="F364" s="1016"/>
      <c r="G364" s="1016"/>
      <c r="H364" s="1015"/>
      <c r="K364" s="111"/>
      <c r="L364" s="1003"/>
      <c r="N364" s="11"/>
      <c r="Q364" s="11"/>
      <c r="R364" s="11"/>
    </row>
    <row r="365" spans="2:18" ht="19.899999999999999" customHeight="1">
      <c r="B365" s="1016" t="s">
        <v>272</v>
      </c>
      <c r="C365" s="1016"/>
      <c r="D365" s="1016" t="str">
        <f>+D359</f>
        <v>AIII</v>
      </c>
      <c r="E365" s="1015"/>
      <c r="F365" s="1016"/>
      <c r="G365" s="1016"/>
      <c r="H365" s="1015"/>
      <c r="N365" s="11"/>
      <c r="Q365" s="11"/>
      <c r="R365" s="11"/>
    </row>
    <row r="366" spans="2:18" ht="19.899999999999999" customHeight="1">
      <c r="B366" s="1016" t="s">
        <v>237</v>
      </c>
      <c r="C366" s="1016"/>
      <c r="D366" s="2">
        <f>IF(D365="AI",2250,IF(D365="AII",2800,IF(D365="AIII",3650,"Nhóm cốt thép")))</f>
        <v>3650</v>
      </c>
      <c r="E366" s="1015" t="s">
        <v>66</v>
      </c>
      <c r="F366" s="1016"/>
      <c r="G366" s="1016"/>
      <c r="H366" s="1015"/>
      <c r="N366" s="11"/>
      <c r="Q366" s="11"/>
      <c r="R366" s="11"/>
    </row>
    <row r="367" spans="2:18" ht="19.899999999999999" customHeight="1">
      <c r="B367" s="1016"/>
      <c r="C367" s="1017" t="s">
        <v>206</v>
      </c>
      <c r="D367" s="1014">
        <f>0.4*(1.25*F323-0.62*F326)</f>
        <v>19.5</v>
      </c>
      <c r="E367" s="1015" t="s">
        <v>18</v>
      </c>
      <c r="F367" s="1016" t="s">
        <v>207</v>
      </c>
      <c r="G367" s="1016"/>
      <c r="H367" s="1015"/>
      <c r="N367" s="11"/>
      <c r="Q367" s="11"/>
      <c r="R367" s="11"/>
    </row>
    <row r="368" spans="2:18" ht="19.899999999999999" customHeight="1">
      <c r="B368" s="1016"/>
      <c r="C368" s="1017" t="s">
        <v>208</v>
      </c>
      <c r="D368" s="1018" t="e">
        <f>+E350*C335</f>
        <v>#REF!</v>
      </c>
      <c r="E368" s="1015" t="s">
        <v>18</v>
      </c>
      <c r="F368" s="1016"/>
      <c r="G368" s="1016"/>
      <c r="H368" s="1015"/>
      <c r="M368" s="9"/>
      <c r="N368" s="11"/>
      <c r="Q368" s="11"/>
      <c r="R368" s="11"/>
    </row>
    <row r="369" spans="2:18" ht="19.899999999999999" customHeight="1">
      <c r="B369" s="1016"/>
      <c r="C369" s="1017" t="s">
        <v>209</v>
      </c>
      <c r="D369" s="1018">
        <f>0.2*F326</f>
        <v>12.5</v>
      </c>
      <c r="E369" s="1015" t="s">
        <v>18</v>
      </c>
      <c r="F369" s="1016"/>
      <c r="G369" s="1015"/>
      <c r="H369" s="1019"/>
      <c r="M369" s="9"/>
      <c r="N369" s="11"/>
      <c r="P369" s="11"/>
      <c r="Q369" s="1010"/>
      <c r="R369" s="1010"/>
    </row>
    <row r="370" spans="2:18" ht="19.899999999999999" customHeight="1">
      <c r="B370" s="1016" t="s">
        <v>89</v>
      </c>
      <c r="C370" s="1016" t="e">
        <f>+IF(D368&lt;=D369," ηeo &lt;0.2ho ","ηeo &gt; 0.2ho ")</f>
        <v>#REF!</v>
      </c>
      <c r="D370" s="1013" t="s">
        <v>65</v>
      </c>
      <c r="E370" s="1020" t="e">
        <f>+IF(D368&lt;=D369,"x' = h-(1.8+0.5h/ho-1.4αo)ηαo","x' = 1.8(eogh-ηeo)+αoho")</f>
        <v>#REF!</v>
      </c>
      <c r="F370" s="1016"/>
      <c r="G370" s="1015"/>
      <c r="H370" s="1019"/>
      <c r="M370" s="903"/>
      <c r="N370" s="903"/>
      <c r="P370" s="11"/>
      <c r="Q370" s="1010"/>
      <c r="R370" s="1010"/>
    </row>
    <row r="371" spans="2:18" ht="19.899999999999999" customHeight="1">
      <c r="B371" s="1016"/>
      <c r="C371" s="1017" t="s">
        <v>90</v>
      </c>
      <c r="D371" s="1021" t="e">
        <f>+IF(D368&lt;=D369,F323-(1.8+0.5*F323/F326-1.4*0.62)*E350*C335,1.8*(D367-D368)+0.62*F326)</f>
        <v>#REF!</v>
      </c>
      <c r="E371" s="1015" t="s">
        <v>18</v>
      </c>
      <c r="F371" s="1016"/>
      <c r="G371" s="1015"/>
      <c r="H371" s="1019"/>
      <c r="M371" s="997"/>
      <c r="N371" s="11"/>
      <c r="P371" s="11"/>
      <c r="Q371" s="1010"/>
      <c r="R371" s="1010"/>
    </row>
    <row r="372" spans="2:18" ht="19.899999999999999" customHeight="1">
      <c r="B372" s="1016" t="s">
        <v>91</v>
      </c>
      <c r="C372" s="1562" t="s">
        <v>92</v>
      </c>
      <c r="D372" s="1563" t="s">
        <v>93</v>
      </c>
      <c r="E372" s="1563"/>
      <c r="F372" s="1022"/>
      <c r="G372" s="1015"/>
      <c r="H372" s="1019"/>
      <c r="L372" s="1554"/>
      <c r="M372" s="1564"/>
      <c r="N372" s="1564"/>
      <c r="P372" s="11"/>
      <c r="Q372" s="1010"/>
      <c r="R372" s="1010"/>
    </row>
    <row r="373" spans="2:18" ht="19.899999999999999" customHeight="1">
      <c r="B373" s="1016"/>
      <c r="C373" s="1562"/>
      <c r="D373" s="1565" t="s">
        <v>94</v>
      </c>
      <c r="E373" s="1565"/>
      <c r="F373" s="1016"/>
      <c r="G373" s="1015"/>
      <c r="H373" s="1019"/>
      <c r="L373" s="1554"/>
      <c r="M373" s="1564"/>
      <c r="N373" s="1564"/>
      <c r="P373" s="11"/>
      <c r="Q373" s="1010"/>
      <c r="R373" s="1010"/>
    </row>
    <row r="374" spans="2:18" ht="19.899999999999999" customHeight="1">
      <c r="B374" s="1016"/>
      <c r="C374" s="1023" t="s">
        <v>92</v>
      </c>
      <c r="D374" s="1024" t="e">
        <f>+(C322*1000*E353-E189*F322*D371*(F326-0.5*D371))/(D366*(F326-F325))</f>
        <v>#REF!</v>
      </c>
      <c r="E374" s="1022" t="s">
        <v>20</v>
      </c>
      <c r="F374" s="1015"/>
      <c r="G374" s="1015"/>
      <c r="H374" s="1015"/>
      <c r="J374" s="4"/>
      <c r="L374" s="448"/>
      <c r="M374" s="9"/>
      <c r="O374" s="11"/>
      <c r="P374" s="11"/>
      <c r="Q374" s="11"/>
      <c r="R374" s="11"/>
    </row>
    <row r="375" spans="2:18" ht="19.899999999999999" customHeight="1">
      <c r="B375" s="1016"/>
      <c r="C375" s="1013" t="s">
        <v>88</v>
      </c>
      <c r="D375" s="1025" t="e">
        <f>+D374*2/(F322*F326)</f>
        <v>#REF!</v>
      </c>
      <c r="E375" s="1026" t="s">
        <v>270</v>
      </c>
      <c r="F375" s="1016"/>
      <c r="G375" s="1027" t="s">
        <v>81</v>
      </c>
      <c r="H375" s="1028" t="e">
        <f>+D375/2+D341/2</f>
        <v>#REF!</v>
      </c>
      <c r="J375" s="4"/>
      <c r="L375" s="1003"/>
      <c r="M375" s="1010"/>
      <c r="N375" s="1011"/>
      <c r="P375" s="11"/>
      <c r="Q375" s="1010"/>
      <c r="R375" s="1010"/>
    </row>
    <row r="376" spans="2:18" ht="19.899999999999999" customHeight="1">
      <c r="B376" s="1016"/>
      <c r="C376" s="1013"/>
      <c r="D376" s="1025"/>
      <c r="E376" s="1026"/>
      <c r="F376" s="1016"/>
      <c r="G376" s="1027"/>
      <c r="H376" s="1028"/>
      <c r="J376" s="4"/>
      <c r="L376" s="1003"/>
      <c r="M376" s="1010"/>
      <c r="N376" s="1011"/>
      <c r="P376" s="11"/>
      <c r="Q376" s="1010"/>
      <c r="R376" s="1010"/>
    </row>
    <row r="377" spans="2:18" ht="19.899999999999999" customHeight="1">
      <c r="B377" s="1016"/>
      <c r="C377" s="1013"/>
      <c r="D377" s="1025"/>
      <c r="E377" s="1026"/>
      <c r="F377" s="1016"/>
      <c r="G377" s="1027"/>
      <c r="H377" s="1028"/>
      <c r="J377" s="4"/>
      <c r="L377" s="1003"/>
      <c r="M377" s="1010"/>
      <c r="N377" s="1011"/>
      <c r="P377" s="11"/>
      <c r="Q377" s="1010"/>
      <c r="R377" s="1010"/>
    </row>
    <row r="378" spans="2:18" ht="19.899999999999999" customHeight="1">
      <c r="B378" s="1016"/>
      <c r="C378" s="1013"/>
      <c r="D378" s="1025"/>
      <c r="E378" s="1026"/>
      <c r="F378" s="1016"/>
      <c r="G378" s="1027"/>
      <c r="H378" s="1028"/>
      <c r="J378" s="4"/>
      <c r="L378" s="1003"/>
      <c r="M378" s="1010"/>
      <c r="N378" s="1011"/>
      <c r="P378" s="11"/>
      <c r="Q378" s="1010"/>
      <c r="R378" s="1010"/>
    </row>
    <row r="379" spans="2:18" ht="19.899999999999999" customHeight="1">
      <c r="B379" s="1016"/>
      <c r="C379" s="1013"/>
      <c r="D379" s="1025"/>
      <c r="E379" s="1026"/>
      <c r="F379" s="1016"/>
      <c r="G379" s="1027"/>
      <c r="H379" s="1028"/>
      <c r="J379" s="4"/>
      <c r="L379" s="1003"/>
      <c r="M379" s="1010"/>
      <c r="N379" s="1011"/>
      <c r="P379" s="11"/>
      <c r="Q379" s="1010"/>
      <c r="R379" s="1010"/>
    </row>
    <row r="380" spans="2:18" ht="19.899999999999999" customHeight="1">
      <c r="B380" s="5" t="s">
        <v>273</v>
      </c>
      <c r="J380" s="970" t="e">
        <f>+ROUND(C382,2) &amp;" (T)"</f>
        <v>#REF!</v>
      </c>
    </row>
    <row r="381" spans="2:18" ht="19.899999999999999" customHeight="1">
      <c r="B381" s="2" t="s">
        <v>254</v>
      </c>
    </row>
    <row r="382" spans="2:18" ht="19.899999999999999" customHeight="1">
      <c r="B382" s="6" t="s">
        <v>78</v>
      </c>
      <c r="C382" s="100" t="e">
        <f>#REF!</f>
        <v>#REF!</v>
      </c>
      <c r="D382" s="2" t="s">
        <v>3</v>
      </c>
      <c r="E382" s="6"/>
      <c r="I382" s="4" t="e">
        <f>ROUND(I322,2)&amp;" (T)"</f>
        <v>#REF!</v>
      </c>
    </row>
    <row r="383" spans="2:18" ht="19.899999999999999" customHeight="1">
      <c r="B383" s="6" t="s">
        <v>79</v>
      </c>
      <c r="C383" s="2" t="e">
        <f>+#REF!</f>
        <v>#REF!</v>
      </c>
      <c r="D383" s="2" t="s">
        <v>3</v>
      </c>
      <c r="E383" s="6"/>
      <c r="J383" s="1558">
        <f>K323</f>
        <v>250</v>
      </c>
    </row>
    <row r="384" spans="2:18" ht="19.899999999999999" customHeight="1">
      <c r="B384" s="2" t="s">
        <v>256</v>
      </c>
      <c r="E384" s="6"/>
      <c r="J384" s="1558"/>
    </row>
    <row r="385" spans="2:10" ht="19.899999999999999" customHeight="1">
      <c r="B385" s="6" t="s">
        <v>67</v>
      </c>
      <c r="C385" s="994" t="e">
        <f>+C383*F324/100</f>
        <v>#REF!</v>
      </c>
      <c r="D385" s="2" t="s">
        <v>4</v>
      </c>
      <c r="E385" s="6"/>
      <c r="J385" s="1558"/>
    </row>
    <row r="386" spans="2:10" ht="19.899999999999999" customHeight="1">
      <c r="B386" s="2" t="s">
        <v>274</v>
      </c>
      <c r="J386" s="1558"/>
    </row>
    <row r="387" spans="2:10" ht="19.899999999999999" customHeight="1">
      <c r="C387" s="6" t="s">
        <v>95</v>
      </c>
      <c r="D387" s="981" t="e">
        <f>+C385/C382*100</f>
        <v>#REF!</v>
      </c>
      <c r="E387" s="2" t="s">
        <v>18</v>
      </c>
      <c r="F387" s="3" t="s">
        <v>96</v>
      </c>
      <c r="J387" s="1558"/>
    </row>
    <row r="388" spans="2:10" ht="19.899999999999999" customHeight="1">
      <c r="C388" s="6" t="s">
        <v>97</v>
      </c>
      <c r="D388" s="2">
        <f>0.5*F323-F325</f>
        <v>27.5</v>
      </c>
      <c r="E388" s="2" t="s">
        <v>18</v>
      </c>
    </row>
    <row r="389" spans="2:10" ht="19.899999999999999" customHeight="1">
      <c r="C389" s="974" t="s">
        <v>65</v>
      </c>
      <c r="D389" s="2" t="e">
        <f>+IF(D387&lt;=D388,"eo &lt; 0.5h-a  Lệch tâm bé","eo &gt; ho-a  Lệch tâm lớn")</f>
        <v>#REF!</v>
      </c>
      <c r="J389" s="4" t="s">
        <v>546</v>
      </c>
    </row>
    <row r="390" spans="2:10" ht="19.899999999999999" customHeight="1">
      <c r="B390" s="429" t="s">
        <v>275</v>
      </c>
    </row>
    <row r="391" spans="2:10" ht="19.899999999999999" customHeight="1">
      <c r="B391" s="429"/>
      <c r="C391" s="6" t="s">
        <v>98</v>
      </c>
      <c r="D391" s="981" t="e">
        <f>0.5*F323-D387-F325</f>
        <v>#REF!</v>
      </c>
      <c r="E391" s="2" t="s">
        <v>18</v>
      </c>
      <c r="F391" s="2" t="s">
        <v>105</v>
      </c>
    </row>
    <row r="392" spans="2:10" ht="19.899999999999999" customHeight="1">
      <c r="B392" s="429"/>
      <c r="C392" s="6" t="s">
        <v>99</v>
      </c>
      <c r="D392" s="981" t="e">
        <f>0.5*F323+D387-F325</f>
        <v>#REF!</v>
      </c>
      <c r="E392" s="2" t="s">
        <v>18</v>
      </c>
      <c r="F392" s="2" t="s">
        <v>106</v>
      </c>
    </row>
    <row r="393" spans="2:10" ht="19.899999999999999" customHeight="1">
      <c r="B393" s="2" t="s">
        <v>272</v>
      </c>
      <c r="D393" s="2" t="str">
        <f>+D365</f>
        <v>AIII</v>
      </c>
      <c r="E393" s="100"/>
    </row>
    <row r="394" spans="2:10" ht="19.899999999999999" customHeight="1">
      <c r="B394" s="2" t="s">
        <v>237</v>
      </c>
      <c r="D394" s="2">
        <f>IF(D393="AI",2250,IF(D393="AII",2800,IF(D393="AIII",3650,"Nhoùm coát theùp")))</f>
        <v>3650</v>
      </c>
      <c r="E394" s="100" t="s">
        <v>66</v>
      </c>
    </row>
    <row r="395" spans="2:10" ht="19.899999999999999" customHeight="1">
      <c r="B395" s="429"/>
      <c r="C395" s="1551" t="s">
        <v>100</v>
      </c>
      <c r="D395" s="854" t="s">
        <v>101</v>
      </c>
      <c r="E395" s="1552" t="s">
        <v>6</v>
      </c>
      <c r="F395" s="1553" t="e">
        <f>+C382*1000*D391/(D394*(F326-F325))</f>
        <v>#REF!</v>
      </c>
      <c r="G395" s="1554" t="s">
        <v>20</v>
      </c>
      <c r="H395" s="1554"/>
    </row>
    <row r="396" spans="2:10" ht="19.899999999999999" customHeight="1">
      <c r="C396" s="1551"/>
      <c r="D396" s="4" t="s">
        <v>94</v>
      </c>
      <c r="E396" s="1552"/>
      <c r="F396" s="1553"/>
      <c r="G396" s="1554"/>
      <c r="H396" s="1554"/>
    </row>
    <row r="397" spans="2:10" ht="19.899999999999999" customHeight="1">
      <c r="C397" s="1551" t="s">
        <v>102</v>
      </c>
      <c r="D397" s="854" t="s">
        <v>103</v>
      </c>
      <c r="E397" s="1552" t="s">
        <v>6</v>
      </c>
      <c r="F397" s="1553" t="e">
        <f>+C382*1000*D392/(D394*(F326-F325))*1.05</f>
        <v>#REF!</v>
      </c>
      <c r="G397" s="1554" t="s">
        <v>20</v>
      </c>
      <c r="H397" s="448"/>
    </row>
    <row r="398" spans="2:10" ht="19.899999999999999" customHeight="1">
      <c r="C398" s="1551"/>
      <c r="D398" s="4" t="s">
        <v>104</v>
      </c>
      <c r="E398" s="1552"/>
      <c r="F398" s="1553"/>
      <c r="G398" s="1554"/>
      <c r="H398" s="448"/>
    </row>
    <row r="399" spans="2:10" ht="19.899999999999999" customHeight="1">
      <c r="B399" s="1029" t="s">
        <v>278</v>
      </c>
      <c r="C399" s="1030"/>
      <c r="D399" s="1031"/>
      <c r="E399" s="1032"/>
      <c r="F399" s="1032"/>
      <c r="G399" s="1033"/>
      <c r="H399" s="1033"/>
    </row>
    <row r="400" spans="2:10" ht="19.899999999999999" customHeight="1">
      <c r="B400" s="1029"/>
      <c r="C400" s="1030" t="s">
        <v>98</v>
      </c>
      <c r="D400" s="1034" t="e">
        <f>+D387-0.5*F323+F325</f>
        <v>#REF!</v>
      </c>
      <c r="E400" s="1033" t="s">
        <v>18</v>
      </c>
      <c r="F400" s="1035" t="s">
        <v>107</v>
      </c>
      <c r="G400" s="1033"/>
      <c r="H400" s="1033"/>
    </row>
    <row r="401" spans="1:22" ht="19.899999999999999" customHeight="1">
      <c r="B401" s="1035"/>
      <c r="C401" s="1036" t="s">
        <v>99</v>
      </c>
      <c r="D401" s="1037" t="e">
        <f>+D387+0.5*F326-F325</f>
        <v>#REF!</v>
      </c>
      <c r="E401" s="1033" t="s">
        <v>18</v>
      </c>
      <c r="F401" s="1035" t="s">
        <v>109</v>
      </c>
      <c r="G401" s="1035"/>
      <c r="H401" s="1033"/>
    </row>
    <row r="402" spans="1:22" ht="19.899999999999999" customHeight="1">
      <c r="B402" s="1035" t="s">
        <v>272</v>
      </c>
      <c r="C402" s="1035"/>
      <c r="D402" s="1035" t="str">
        <f>+D294</f>
        <v>AIII</v>
      </c>
      <c r="E402" s="1035"/>
      <c r="F402" s="1035"/>
      <c r="G402" s="1035"/>
      <c r="H402" s="1033"/>
    </row>
    <row r="403" spans="1:22" ht="19.899999999999999" customHeight="1">
      <c r="B403" s="1035" t="s">
        <v>237</v>
      </c>
      <c r="C403" s="1035"/>
      <c r="D403" s="2">
        <f>IF(D402="AI",2250,IF(D402="AII",2800,IF(D402="AIII",3650,"Nhoùm coát theùp")))</f>
        <v>3650</v>
      </c>
      <c r="E403" s="1038" t="s">
        <v>66</v>
      </c>
      <c r="F403" s="1035"/>
      <c r="G403" s="1035"/>
      <c r="H403" s="1033"/>
    </row>
    <row r="404" spans="1:22" ht="19.899999999999999" customHeight="1">
      <c r="B404" s="1035"/>
      <c r="C404" s="1555" t="s">
        <v>108</v>
      </c>
      <c r="D404" s="1039" t="s">
        <v>103</v>
      </c>
      <c r="E404" s="1555" t="s">
        <v>6</v>
      </c>
      <c r="F404" s="1556" t="e">
        <f>+C382*1000*D401/(D403*(F326-F325))</f>
        <v>#REF!</v>
      </c>
      <c r="G404" s="1555" t="s">
        <v>20</v>
      </c>
      <c r="H404" s="1033"/>
    </row>
    <row r="405" spans="1:22" ht="19.899999999999999" customHeight="1">
      <c r="B405" s="1035"/>
      <c r="C405" s="1555"/>
      <c r="D405" s="1031" t="s">
        <v>110</v>
      </c>
      <c r="E405" s="1555"/>
      <c r="F405" s="1557"/>
      <c r="G405" s="1555"/>
      <c r="H405" s="1033"/>
    </row>
    <row r="406" spans="1:22" ht="19.899999999999999" customHeight="1">
      <c r="B406" s="2" t="s">
        <v>251</v>
      </c>
      <c r="C406" s="8" t="str">
        <f>"08"&amp;"Ø"&amp;20&amp;D402</f>
        <v>08Ø20AIII</v>
      </c>
      <c r="D406" s="903" t="s">
        <v>547</v>
      </c>
      <c r="E406" s="9" t="str">
        <f>+ROUND(LEFT(C406,2)*VLOOKUP(VALUE(MID(C406,4,2)),$P$21:$S$41,4,0),2)&amp;"  cm²"</f>
        <v>25.12  cm²</v>
      </c>
    </row>
    <row r="407" spans="1:22" ht="19.899999999999999" customHeight="1">
      <c r="A407" s="971" t="s">
        <v>516</v>
      </c>
    </row>
    <row r="408" spans="1:22" ht="19.899999999999999" customHeight="1">
      <c r="B408" s="2" t="s">
        <v>276</v>
      </c>
      <c r="C408" s="100" t="e">
        <f>+C323</f>
        <v>#REF!</v>
      </c>
      <c r="D408" s="2" t="s">
        <v>3</v>
      </c>
    </row>
    <row r="409" spans="1:22" ht="19.899999999999999" customHeight="1">
      <c r="B409" s="2" t="s">
        <v>277</v>
      </c>
    </row>
    <row r="410" spans="1:22" ht="19.899999999999999" customHeight="1">
      <c r="B410" s="6" t="s">
        <v>210</v>
      </c>
      <c r="C410" s="100">
        <f>0.6*E190*F322*F326/1000</f>
        <v>19.6875</v>
      </c>
      <c r="D410" s="2" t="s">
        <v>3</v>
      </c>
    </row>
    <row r="411" spans="1:22" ht="19.899999999999999" customHeight="1">
      <c r="B411" s="974" t="s">
        <v>65</v>
      </c>
      <c r="C411" s="2" t="e">
        <f>+IF(C410&gt;C408, "Qc &gt; Q  ==&gt; Bêtông đủ khả năng chịu cắt","Qc &lt; Q ==&gt; Tính cốt đai")</f>
        <v>#REF!</v>
      </c>
    </row>
    <row r="412" spans="1:22" ht="19.899999999999999" customHeight="1">
      <c r="C412" s="2" t="e">
        <f>+IF(C410&gt;C408," Chỉ đặt cốt đai theo cấu tạo","Tính cột đai")</f>
        <v>#REF!</v>
      </c>
    </row>
    <row r="414" spans="1:22" ht="19.899999999999999" customHeight="1">
      <c r="I414" s="437"/>
    </row>
    <row r="415" spans="1:22" ht="19.899999999999999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7"/>
      <c r="L415" s="25"/>
      <c r="M415" s="17"/>
      <c r="N415" s="17"/>
      <c r="O415" s="17"/>
      <c r="P415" s="17"/>
      <c r="Q415" s="17"/>
      <c r="R415" s="17"/>
      <c r="S415" s="17"/>
      <c r="T415" s="17"/>
      <c r="U415" s="17"/>
      <c r="V415" s="17"/>
    </row>
    <row r="416" spans="1:22" ht="19.899999999999999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7"/>
      <c r="L416" s="25"/>
      <c r="M416" s="17"/>
      <c r="N416" s="17"/>
      <c r="O416" s="17"/>
      <c r="P416" s="17"/>
      <c r="Q416" s="17"/>
      <c r="R416" s="17"/>
      <c r="S416" s="17"/>
      <c r="T416" s="17"/>
      <c r="U416" s="17"/>
      <c r="V416" s="17"/>
    </row>
    <row r="417" spans="1:22" ht="19.899999999999999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7"/>
      <c r="L417" s="25"/>
      <c r="M417" s="17"/>
      <c r="N417" s="17"/>
      <c r="O417" s="17"/>
      <c r="P417" s="17"/>
      <c r="Q417" s="17"/>
      <c r="R417" s="17"/>
      <c r="S417" s="17"/>
      <c r="T417" s="17"/>
      <c r="U417" s="17"/>
      <c r="V417" s="17"/>
    </row>
    <row r="418" spans="1:22" ht="19.899999999999999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7"/>
      <c r="L418" s="25"/>
      <c r="M418" s="17"/>
      <c r="N418" s="17"/>
      <c r="O418" s="17"/>
      <c r="P418" s="17"/>
      <c r="Q418" s="17"/>
      <c r="R418" s="17"/>
      <c r="S418" s="17"/>
      <c r="T418" s="17"/>
      <c r="U418" s="17"/>
      <c r="V418" s="17"/>
    </row>
    <row r="419" spans="1:22" ht="19.899999999999999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7"/>
      <c r="L419" s="25"/>
      <c r="M419" s="17"/>
      <c r="N419" s="17"/>
      <c r="O419" s="17"/>
      <c r="P419" s="17"/>
      <c r="Q419" s="17"/>
      <c r="R419" s="17"/>
      <c r="S419" s="17"/>
      <c r="T419" s="17"/>
      <c r="U419" s="17"/>
      <c r="V419" s="17"/>
    </row>
    <row r="420" spans="1:22" ht="19.899999999999999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7"/>
      <c r="L420" s="25"/>
      <c r="M420" s="17"/>
      <c r="N420" s="17"/>
      <c r="O420" s="17"/>
      <c r="P420" s="17"/>
      <c r="Q420" s="17"/>
      <c r="R420" s="17"/>
      <c r="S420" s="17"/>
      <c r="T420" s="17"/>
      <c r="U420" s="17"/>
      <c r="V420" s="17"/>
    </row>
    <row r="421" spans="1:22" ht="19.899999999999999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7"/>
      <c r="L421" s="25"/>
      <c r="M421" s="17"/>
      <c r="N421" s="17"/>
      <c r="O421" s="17"/>
      <c r="P421" s="17"/>
      <c r="Q421" s="17"/>
      <c r="R421" s="17"/>
      <c r="S421" s="17"/>
      <c r="T421" s="17"/>
      <c r="U421" s="17"/>
      <c r="V421" s="17"/>
    </row>
    <row r="422" spans="1:22" ht="19.899999999999999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7"/>
      <c r="L422" s="25"/>
      <c r="M422" s="17"/>
      <c r="N422" s="17"/>
      <c r="O422" s="17"/>
      <c r="P422" s="17"/>
      <c r="Q422" s="17"/>
      <c r="R422" s="17"/>
      <c r="S422" s="17"/>
      <c r="T422" s="17"/>
      <c r="U422" s="17"/>
      <c r="V422" s="17"/>
    </row>
    <row r="423" spans="1:22" ht="19.899999999999999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7"/>
      <c r="L423" s="25"/>
      <c r="M423" s="17"/>
      <c r="N423" s="17"/>
      <c r="O423" s="17"/>
      <c r="P423" s="17"/>
      <c r="Q423" s="17"/>
      <c r="R423" s="17"/>
      <c r="S423" s="17"/>
      <c r="T423" s="17"/>
      <c r="U423" s="17"/>
      <c r="V423" s="17"/>
    </row>
    <row r="424" spans="1:22" ht="19.899999999999999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7"/>
      <c r="L424" s="25"/>
      <c r="M424" s="17"/>
      <c r="N424" s="17"/>
      <c r="O424" s="17"/>
      <c r="P424" s="17"/>
      <c r="Q424" s="17"/>
      <c r="R424" s="17"/>
      <c r="S424" s="17"/>
      <c r="T424" s="17"/>
      <c r="U424" s="17"/>
      <c r="V424" s="17"/>
    </row>
    <row r="425" spans="1:22" ht="19.899999999999999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7"/>
      <c r="L425" s="25"/>
      <c r="M425" s="17"/>
      <c r="N425" s="17"/>
      <c r="O425" s="17"/>
      <c r="P425" s="17"/>
      <c r="Q425" s="17"/>
      <c r="R425" s="17"/>
      <c r="S425" s="17"/>
      <c r="T425" s="17"/>
      <c r="U425" s="17"/>
      <c r="V425" s="17"/>
    </row>
    <row r="426" spans="1:22" ht="19.899999999999999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7"/>
      <c r="L426" s="25"/>
      <c r="M426" s="17"/>
      <c r="N426" s="17"/>
      <c r="O426" s="17"/>
      <c r="P426" s="17"/>
      <c r="Q426" s="17"/>
      <c r="R426" s="17"/>
      <c r="S426" s="17"/>
      <c r="T426" s="17"/>
      <c r="U426" s="17"/>
      <c r="V426" s="17"/>
    </row>
    <row r="427" spans="1:22" ht="19.899999999999999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7"/>
      <c r="L427" s="25"/>
      <c r="M427" s="17"/>
      <c r="N427" s="17"/>
      <c r="O427" s="17"/>
      <c r="P427" s="17"/>
      <c r="Q427" s="17"/>
      <c r="R427" s="17"/>
      <c r="S427" s="17"/>
      <c r="T427" s="17"/>
      <c r="U427" s="17"/>
      <c r="V427" s="17"/>
    </row>
    <row r="428" spans="1:22" ht="19.899999999999999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7"/>
      <c r="L428" s="25"/>
      <c r="M428" s="17"/>
      <c r="N428" s="17"/>
      <c r="O428" s="17"/>
      <c r="P428" s="17"/>
      <c r="Q428" s="17"/>
      <c r="R428" s="17"/>
      <c r="S428" s="17"/>
      <c r="T428" s="17"/>
      <c r="U428" s="17"/>
      <c r="V428" s="17"/>
    </row>
    <row r="429" spans="1:22" ht="19.899999999999999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7"/>
      <c r="L429" s="25"/>
      <c r="M429" s="17"/>
      <c r="N429" s="17"/>
      <c r="O429" s="17"/>
      <c r="P429" s="17"/>
      <c r="Q429" s="17"/>
      <c r="R429" s="17"/>
      <c r="S429" s="17"/>
      <c r="T429" s="17"/>
      <c r="U429" s="17"/>
      <c r="V429" s="17"/>
    </row>
    <row r="430" spans="1:22" ht="19.899999999999999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7"/>
      <c r="L430" s="25"/>
      <c r="M430" s="17"/>
      <c r="N430" s="17"/>
      <c r="O430" s="17"/>
      <c r="P430" s="17"/>
      <c r="Q430" s="17"/>
      <c r="R430" s="17"/>
      <c r="S430" s="17"/>
      <c r="T430" s="17"/>
      <c r="U430" s="17"/>
      <c r="V430" s="17"/>
    </row>
    <row r="431" spans="1:22" ht="19.899999999999999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7"/>
      <c r="L431" s="25"/>
      <c r="M431" s="17"/>
      <c r="N431" s="17"/>
      <c r="O431" s="17"/>
      <c r="P431" s="17"/>
      <c r="Q431" s="17"/>
      <c r="R431" s="17"/>
      <c r="S431" s="17"/>
      <c r="T431" s="17"/>
      <c r="U431" s="17"/>
      <c r="V431" s="17"/>
    </row>
    <row r="432" spans="1:22" ht="19.899999999999999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7"/>
      <c r="L432" s="25"/>
      <c r="M432" s="17"/>
      <c r="N432" s="17"/>
      <c r="O432" s="17"/>
      <c r="P432" s="17"/>
      <c r="Q432" s="17"/>
      <c r="R432" s="17"/>
      <c r="S432" s="17"/>
      <c r="T432" s="17"/>
      <c r="U432" s="17"/>
      <c r="V432" s="17"/>
    </row>
    <row r="433" spans="1:22" ht="19.899999999999999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7"/>
      <c r="L433" s="25"/>
      <c r="M433" s="17"/>
      <c r="N433" s="17"/>
      <c r="O433" s="17"/>
      <c r="P433" s="17"/>
      <c r="Q433" s="17"/>
      <c r="R433" s="17"/>
      <c r="S433" s="17"/>
      <c r="T433" s="17"/>
      <c r="U433" s="17"/>
      <c r="V433" s="17"/>
    </row>
    <row r="434" spans="1:22" ht="19.899999999999999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7"/>
      <c r="L434" s="25"/>
      <c r="M434" s="17"/>
      <c r="N434" s="17"/>
      <c r="O434" s="17"/>
      <c r="P434" s="17"/>
      <c r="Q434" s="17"/>
      <c r="R434" s="17"/>
      <c r="S434" s="17"/>
      <c r="T434" s="17"/>
      <c r="U434" s="17"/>
      <c r="V434" s="17"/>
    </row>
    <row r="435" spans="1:22" ht="19.899999999999999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7"/>
      <c r="L435" s="25"/>
      <c r="M435" s="17"/>
      <c r="N435" s="17"/>
      <c r="O435" s="17"/>
      <c r="P435" s="17"/>
      <c r="Q435" s="17"/>
      <c r="R435" s="17"/>
      <c r="S435" s="17"/>
      <c r="T435" s="17"/>
      <c r="U435" s="17"/>
      <c r="V435" s="17"/>
    </row>
    <row r="436" spans="1:22" ht="19.899999999999999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7"/>
      <c r="L436" s="25"/>
      <c r="M436" s="17"/>
      <c r="N436" s="17"/>
      <c r="O436" s="17"/>
      <c r="P436" s="17"/>
      <c r="Q436" s="17"/>
      <c r="R436" s="17"/>
      <c r="S436" s="17"/>
      <c r="T436" s="17"/>
      <c r="U436" s="17"/>
      <c r="V436" s="17"/>
    </row>
    <row r="437" spans="1:22" ht="19.899999999999999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7"/>
      <c r="L437" s="25"/>
      <c r="M437" s="17"/>
      <c r="N437" s="17"/>
      <c r="O437" s="17"/>
      <c r="P437" s="17"/>
      <c r="Q437" s="17"/>
      <c r="R437" s="17"/>
      <c r="S437" s="17"/>
      <c r="T437" s="17"/>
      <c r="U437" s="17"/>
      <c r="V437" s="17"/>
    </row>
    <row r="438" spans="1:22" ht="19.899999999999999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7"/>
      <c r="L438" s="25"/>
      <c r="M438" s="17"/>
      <c r="N438" s="17"/>
      <c r="O438" s="17"/>
      <c r="P438" s="17"/>
      <c r="Q438" s="17"/>
      <c r="R438" s="17"/>
      <c r="S438" s="17"/>
      <c r="T438" s="17"/>
      <c r="U438" s="17"/>
      <c r="V438" s="17"/>
    </row>
    <row r="439" spans="1:22" ht="19.899999999999999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7"/>
      <c r="L439" s="25"/>
      <c r="M439" s="17"/>
      <c r="N439" s="17"/>
      <c r="O439" s="17"/>
      <c r="P439" s="17"/>
      <c r="Q439" s="17"/>
      <c r="R439" s="17"/>
      <c r="S439" s="17"/>
      <c r="T439" s="17"/>
      <c r="U439" s="17"/>
      <c r="V439" s="17"/>
    </row>
    <row r="440" spans="1:22" ht="19.899999999999999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7"/>
      <c r="L440" s="25"/>
      <c r="M440" s="17"/>
      <c r="N440" s="17"/>
      <c r="O440" s="17"/>
      <c r="P440" s="17"/>
      <c r="Q440" s="17"/>
      <c r="R440" s="17"/>
      <c r="S440" s="17"/>
      <c r="T440" s="17"/>
      <c r="U440" s="17"/>
      <c r="V440" s="17"/>
    </row>
    <row r="441" spans="1:22" ht="19.899999999999999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7"/>
      <c r="L441" s="25"/>
      <c r="M441" s="17"/>
      <c r="N441" s="17"/>
      <c r="O441" s="17"/>
      <c r="P441" s="17"/>
      <c r="Q441" s="17"/>
      <c r="R441" s="17"/>
      <c r="S441" s="17"/>
      <c r="T441" s="17"/>
      <c r="U441" s="17"/>
      <c r="V441" s="17"/>
    </row>
    <row r="442" spans="1:22" ht="19.899999999999999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7"/>
      <c r="L442" s="25"/>
      <c r="M442" s="17"/>
      <c r="N442" s="17"/>
      <c r="O442" s="17"/>
      <c r="P442" s="17"/>
      <c r="Q442" s="17"/>
      <c r="R442" s="17"/>
      <c r="S442" s="17"/>
      <c r="T442" s="17"/>
      <c r="U442" s="17"/>
      <c r="V442" s="17"/>
    </row>
    <row r="443" spans="1:22" ht="19.899999999999999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7"/>
      <c r="L443" s="25"/>
      <c r="M443" s="17"/>
      <c r="N443" s="17"/>
      <c r="O443" s="17"/>
      <c r="P443" s="17"/>
      <c r="Q443" s="17"/>
      <c r="R443" s="17"/>
      <c r="S443" s="17"/>
      <c r="T443" s="17"/>
      <c r="U443" s="17"/>
      <c r="V443" s="17"/>
    </row>
    <row r="444" spans="1:22" ht="19.899999999999999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7"/>
      <c r="L444" s="25"/>
      <c r="M444" s="17"/>
      <c r="N444" s="17"/>
      <c r="O444" s="17"/>
      <c r="P444" s="17"/>
      <c r="Q444" s="17"/>
      <c r="R444" s="17"/>
      <c r="S444" s="17"/>
      <c r="T444" s="17"/>
      <c r="U444" s="17"/>
      <c r="V444" s="17"/>
    </row>
    <row r="445" spans="1:22" ht="19.899999999999999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7"/>
      <c r="L445" s="25"/>
      <c r="M445" s="17"/>
      <c r="N445" s="17"/>
      <c r="O445" s="17"/>
      <c r="P445" s="17"/>
      <c r="Q445" s="17"/>
      <c r="R445" s="17"/>
      <c r="S445" s="17"/>
      <c r="T445" s="17"/>
      <c r="U445" s="17"/>
      <c r="V445" s="17"/>
    </row>
    <row r="446" spans="1:22" ht="19.899999999999999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7"/>
      <c r="L446" s="25"/>
      <c r="M446" s="17"/>
      <c r="N446" s="17"/>
      <c r="O446" s="17"/>
      <c r="P446" s="17"/>
      <c r="Q446" s="17"/>
      <c r="R446" s="17"/>
      <c r="S446" s="17"/>
      <c r="T446" s="17"/>
      <c r="U446" s="17"/>
      <c r="V446" s="17"/>
    </row>
    <row r="447" spans="1:22" ht="19.899999999999999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7"/>
      <c r="L447" s="25"/>
      <c r="M447" s="17"/>
      <c r="N447" s="17"/>
      <c r="O447" s="17"/>
      <c r="P447" s="17"/>
      <c r="Q447" s="17"/>
      <c r="R447" s="17"/>
      <c r="S447" s="17"/>
      <c r="T447" s="17"/>
      <c r="U447" s="17"/>
      <c r="V447" s="17"/>
    </row>
    <row r="448" spans="1:22" ht="19.899999999999999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7"/>
      <c r="L448" s="25"/>
      <c r="M448" s="17"/>
      <c r="N448" s="17"/>
      <c r="O448" s="17"/>
      <c r="P448" s="17"/>
      <c r="Q448" s="17"/>
      <c r="R448" s="17"/>
      <c r="S448" s="17"/>
      <c r="T448" s="17"/>
      <c r="U448" s="17"/>
      <c r="V448" s="17"/>
    </row>
    <row r="449" spans="1:41" ht="19.899999999999999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7"/>
      <c r="L449" s="25"/>
      <c r="M449" s="17"/>
      <c r="N449" s="17"/>
      <c r="O449" s="17"/>
      <c r="P449" s="17"/>
      <c r="Q449" s="17"/>
      <c r="R449" s="17"/>
      <c r="S449" s="17"/>
      <c r="T449" s="17"/>
      <c r="U449" s="17"/>
      <c r="V449" s="17"/>
    </row>
    <row r="450" spans="1:41" ht="19.899999999999999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7"/>
      <c r="L450" s="25"/>
      <c r="M450" s="17"/>
      <c r="N450" s="17"/>
      <c r="O450" s="17"/>
      <c r="P450" s="17"/>
      <c r="Q450" s="17"/>
      <c r="R450" s="17"/>
      <c r="S450" s="17"/>
      <c r="T450" s="17"/>
      <c r="U450" s="17"/>
      <c r="V450" s="17"/>
    </row>
    <row r="451" spans="1:41" ht="19.899999999999999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7"/>
      <c r="L451" s="25"/>
      <c r="M451" s="17"/>
      <c r="N451" s="17"/>
      <c r="O451" s="17"/>
      <c r="P451" s="17"/>
      <c r="Q451" s="17"/>
      <c r="R451" s="17"/>
      <c r="S451" s="17"/>
      <c r="T451" s="17"/>
      <c r="U451" s="17"/>
      <c r="V451" s="17"/>
    </row>
    <row r="452" spans="1:41" ht="19.899999999999999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7"/>
      <c r="L452" s="25"/>
      <c r="M452" s="17"/>
      <c r="N452" s="17"/>
      <c r="O452" s="17"/>
      <c r="P452" s="17"/>
      <c r="Q452" s="17"/>
      <c r="R452" s="17"/>
      <c r="S452" s="17"/>
      <c r="T452" s="17"/>
      <c r="U452" s="17"/>
      <c r="V452" s="17"/>
    </row>
    <row r="453" spans="1:41" ht="19.899999999999999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7"/>
      <c r="L453" s="25"/>
      <c r="M453" s="17"/>
      <c r="N453" s="17"/>
      <c r="O453" s="17"/>
      <c r="P453" s="17"/>
      <c r="Q453" s="17"/>
      <c r="R453" s="17"/>
      <c r="S453" s="17"/>
      <c r="T453" s="17"/>
      <c r="U453" s="17"/>
      <c r="V453" s="17"/>
    </row>
    <row r="454" spans="1:41" ht="19.899999999999999" customHeight="1" thickBo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7"/>
      <c r="L454" s="25"/>
      <c r="M454" s="17"/>
      <c r="N454" s="17"/>
      <c r="O454" s="17"/>
      <c r="P454" s="17"/>
      <c r="Q454" s="17"/>
      <c r="R454" s="17"/>
      <c r="S454" s="17"/>
      <c r="T454" s="17"/>
      <c r="U454" s="17"/>
      <c r="V454" s="17"/>
    </row>
    <row r="455" spans="1:41" ht="19.899999999999999" customHeight="1" thickBo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7"/>
      <c r="M455" s="62"/>
      <c r="N455" s="1040"/>
      <c r="O455" s="41"/>
      <c r="P455" s="41"/>
      <c r="Q455" s="41"/>
      <c r="R455" s="41"/>
      <c r="S455" s="41"/>
      <c r="T455" s="41"/>
      <c r="U455" s="41"/>
      <c r="V455" s="41"/>
      <c r="W455" s="1041" t="s">
        <v>422</v>
      </c>
      <c r="X455" s="1041" t="s">
        <v>423</v>
      </c>
      <c r="Y455" s="1042" t="s">
        <v>303</v>
      </c>
      <c r="Z455" s="1042" t="s">
        <v>424</v>
      </c>
      <c r="AA455" s="1534" t="s">
        <v>425</v>
      </c>
      <c r="AB455" s="1535"/>
      <c r="AC455" s="1536"/>
      <c r="AD455" s="63"/>
      <c r="AE455" s="41"/>
      <c r="AF455" s="41"/>
      <c r="AG455" s="64"/>
      <c r="AH455" s="17"/>
      <c r="AI455" s="13"/>
      <c r="AJ455" s="13"/>
      <c r="AK455" s="13"/>
      <c r="AL455" s="13"/>
      <c r="AM455" s="13"/>
      <c r="AN455" s="13"/>
      <c r="AO455" s="13"/>
    </row>
    <row r="456" spans="1:41" ht="19.899999999999999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7"/>
      <c r="M456" s="65"/>
      <c r="N456" s="1043"/>
      <c r="O456" s="17"/>
      <c r="P456" s="1044"/>
      <c r="Q456" s="17"/>
      <c r="R456" s="17"/>
      <c r="S456" s="1045" t="s">
        <v>436</v>
      </c>
      <c r="T456" s="1046"/>
      <c r="U456" s="17"/>
      <c r="V456" s="17"/>
      <c r="W456" s="1047"/>
      <c r="X456" s="1047"/>
      <c r="Y456" s="1048"/>
      <c r="Z456" s="1049"/>
      <c r="AA456" s="1049" t="s">
        <v>426</v>
      </c>
      <c r="AB456" s="1049" t="s">
        <v>427</v>
      </c>
      <c r="AC456" s="1049" t="s">
        <v>428</v>
      </c>
      <c r="AE456" s="17"/>
      <c r="AF456" s="17"/>
      <c r="AG456" s="31"/>
      <c r="AH456" s="17"/>
      <c r="AI456" s="13"/>
      <c r="AJ456" s="13"/>
      <c r="AK456" s="13"/>
      <c r="AL456" s="13"/>
      <c r="AM456" s="13"/>
      <c r="AN456" s="13"/>
      <c r="AO456" s="13"/>
    </row>
    <row r="457" spans="1:41" ht="19.899999999999999" customHeight="1" thickBo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7"/>
      <c r="M457" s="65"/>
      <c r="N457" s="1043" t="s">
        <v>301</v>
      </c>
      <c r="O457" s="17"/>
      <c r="P457" s="1050" t="str">
        <f>+O459&amp;" - "&amp;O460&amp;" x "&amp;Q460</f>
        <v>4 - 10 x 12</v>
      </c>
      <c r="Q457" s="17"/>
      <c r="R457" s="1051"/>
      <c r="S457" s="1052">
        <f>+D236</f>
        <v>200</v>
      </c>
      <c r="T457" s="1053">
        <f>+D264</f>
        <v>200</v>
      </c>
      <c r="U457" s="17"/>
      <c r="V457" s="17"/>
      <c r="W457" s="1047">
        <v>160</v>
      </c>
      <c r="X457" s="1047">
        <v>140</v>
      </c>
      <c r="Y457" s="1054" t="s">
        <v>429</v>
      </c>
      <c r="Z457" s="1055">
        <v>21.43</v>
      </c>
      <c r="AA457" s="1055">
        <f t="shared" ref="AA457:AA463" si="24">Z457*8</f>
        <v>171.44</v>
      </c>
      <c r="AB457" s="1055">
        <f>+AA457*2</f>
        <v>342.88</v>
      </c>
      <c r="AC457" s="1055">
        <f>AA457*3</f>
        <v>514.31999999999994</v>
      </c>
      <c r="AE457" s="17"/>
      <c r="AF457" s="17"/>
      <c r="AG457" s="31"/>
      <c r="AH457" s="17"/>
      <c r="AI457" s="13"/>
      <c r="AJ457" s="13"/>
      <c r="AK457" s="13"/>
      <c r="AL457" s="13"/>
      <c r="AM457" s="13"/>
      <c r="AN457" s="13"/>
      <c r="AO457" s="13"/>
    </row>
    <row r="458" spans="1:41" ht="19.899999999999999" customHeight="1" thickBo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7"/>
      <c r="M458" s="65"/>
      <c r="N458" s="17"/>
      <c r="O458" s="17"/>
      <c r="P458" s="17"/>
      <c r="Q458" s="17"/>
      <c r="R458" s="17"/>
      <c r="S458" s="17"/>
      <c r="T458" s="17"/>
      <c r="U458" s="17"/>
      <c r="V458" s="17"/>
      <c r="W458" s="1047"/>
      <c r="X458" s="1047"/>
      <c r="Y458" s="1054" t="s">
        <v>430</v>
      </c>
      <c r="Z458" s="1055">
        <v>21.65</v>
      </c>
      <c r="AA458" s="1055">
        <f>Z458*4</f>
        <v>86.6</v>
      </c>
      <c r="AB458" s="1055">
        <f t="shared" ref="AB458:AB467" si="25">+AA458*2</f>
        <v>173.2</v>
      </c>
      <c r="AC458" s="1055">
        <f t="shared" ref="AC458:AC467" si="26">AA458*3</f>
        <v>259.79999999999995</v>
      </c>
      <c r="AE458" s="17"/>
      <c r="AF458" s="17"/>
      <c r="AG458" s="31"/>
      <c r="AH458" s="17"/>
      <c r="AI458" s="13"/>
      <c r="AJ458" s="13"/>
      <c r="AK458" s="13"/>
      <c r="AL458" s="13"/>
      <c r="AM458" s="13"/>
      <c r="AN458" s="13"/>
      <c r="AO458" s="13"/>
    </row>
    <row r="459" spans="1:41" ht="19.899999999999999" customHeight="1" thickBo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7"/>
      <c r="M459" s="65"/>
      <c r="N459" s="1537" t="s">
        <v>302</v>
      </c>
      <c r="O459" s="1056">
        <f>+K7</f>
        <v>4</v>
      </c>
      <c r="P459" s="1057" t="s">
        <v>35</v>
      </c>
      <c r="Q459" s="1058">
        <f>+O459</f>
        <v>4</v>
      </c>
      <c r="R459" s="64" t="s">
        <v>0</v>
      </c>
      <c r="S459" s="17"/>
      <c r="T459" s="30" t="s">
        <v>303</v>
      </c>
      <c r="U459" s="30" t="s">
        <v>304</v>
      </c>
      <c r="V459" s="17"/>
      <c r="W459" s="1047">
        <v>180</v>
      </c>
      <c r="X459" s="1047">
        <v>160</v>
      </c>
      <c r="Y459" s="1054" t="s">
        <v>431</v>
      </c>
      <c r="Z459" s="1055">
        <v>30.44</v>
      </c>
      <c r="AA459" s="1055">
        <f t="shared" si="24"/>
        <v>243.52</v>
      </c>
      <c r="AB459" s="1055">
        <f t="shared" si="25"/>
        <v>487.04</v>
      </c>
      <c r="AC459" s="1055">
        <f t="shared" si="26"/>
        <v>730.56000000000006</v>
      </c>
      <c r="AE459" s="17"/>
      <c r="AF459" s="17"/>
      <c r="AG459" s="66"/>
      <c r="AH459" s="17"/>
      <c r="AI459" s="13"/>
      <c r="AJ459" s="13"/>
      <c r="AK459" s="13"/>
      <c r="AL459" s="13"/>
      <c r="AM459" s="13"/>
      <c r="AN459" s="13"/>
      <c r="AO459" s="13"/>
    </row>
    <row r="460" spans="1:41" ht="19.899999999999999" customHeight="1" thickBo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7"/>
      <c r="M460" s="65"/>
      <c r="N460" s="1538"/>
      <c r="O460" s="1056">
        <f>+K10</f>
        <v>10</v>
      </c>
      <c r="P460" s="1057" t="s">
        <v>35</v>
      </c>
      <c r="Q460" s="1059">
        <f>+K11</f>
        <v>12</v>
      </c>
      <c r="R460" s="31" t="s">
        <v>0</v>
      </c>
      <c r="S460" s="17"/>
      <c r="T460" s="1051" t="s">
        <v>420</v>
      </c>
      <c r="U460" s="1060">
        <f>+SUMIF(Y457:Y467,T460,AA457:AA467)</f>
        <v>356.16</v>
      </c>
      <c r="V460" s="17"/>
      <c r="W460" s="1047"/>
      <c r="X460" s="1047"/>
      <c r="Y460" s="1054" t="s">
        <v>432</v>
      </c>
      <c r="Z460" s="1055">
        <v>30.55</v>
      </c>
      <c r="AA460" s="1055">
        <f>Z460*4</f>
        <v>122.2</v>
      </c>
      <c r="AB460" s="1055">
        <f t="shared" si="25"/>
        <v>244.4</v>
      </c>
      <c r="AC460" s="1055">
        <f t="shared" si="26"/>
        <v>366.6</v>
      </c>
      <c r="AD460" s="17"/>
      <c r="AE460" s="17"/>
      <c r="AF460" s="17"/>
      <c r="AG460" s="67"/>
      <c r="AH460" s="17"/>
      <c r="AI460" s="13"/>
      <c r="AJ460" s="13"/>
      <c r="AK460" s="13"/>
      <c r="AL460" s="13"/>
      <c r="AM460" s="13"/>
      <c r="AN460" s="13"/>
      <c r="AO460" s="13"/>
    </row>
    <row r="461" spans="1:41" ht="19.899999999999999" customHeight="1" thickBo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7"/>
      <c r="M461" s="65"/>
      <c r="N461" s="1539"/>
      <c r="O461" s="1056">
        <f>+K20</f>
        <v>1</v>
      </c>
      <c r="P461" s="1057" t="s">
        <v>35</v>
      </c>
      <c r="Q461" s="1061">
        <f>+O461</f>
        <v>1</v>
      </c>
      <c r="R461" s="1062" t="s">
        <v>0</v>
      </c>
      <c r="S461" s="1063" t="s">
        <v>305</v>
      </c>
      <c r="T461" s="1063" t="s">
        <v>306</v>
      </c>
      <c r="U461" s="17"/>
      <c r="V461" s="17"/>
      <c r="W461" s="1047">
        <v>200</v>
      </c>
      <c r="X461" s="1047">
        <v>180</v>
      </c>
      <c r="Y461" s="1054" t="s">
        <v>420</v>
      </c>
      <c r="Z461" s="1055">
        <v>44.52</v>
      </c>
      <c r="AA461" s="1055">
        <f t="shared" si="24"/>
        <v>356.16</v>
      </c>
      <c r="AB461" s="1055">
        <f t="shared" si="25"/>
        <v>712.32</v>
      </c>
      <c r="AC461" s="1055">
        <f t="shared" si="26"/>
        <v>1068.48</v>
      </c>
      <c r="AD461" s="17"/>
      <c r="AE461" s="17"/>
      <c r="AF461" s="17"/>
      <c r="AG461" s="68"/>
      <c r="AH461" s="17"/>
      <c r="AI461" s="23"/>
      <c r="AJ461" s="24"/>
      <c r="AK461" s="24"/>
      <c r="AL461" s="24"/>
      <c r="AM461" s="24"/>
      <c r="AN461" s="13"/>
      <c r="AO461" s="13"/>
    </row>
    <row r="462" spans="1:41" ht="19.899999999999999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7"/>
      <c r="M462" s="65"/>
      <c r="N462" s="1064" t="s">
        <v>307</v>
      </c>
      <c r="O462" s="1065">
        <f>+K19</f>
        <v>0.35</v>
      </c>
      <c r="P462" s="1066" t="s">
        <v>0</v>
      </c>
      <c r="Q462" s="1067" t="s">
        <v>308</v>
      </c>
      <c r="R462" s="1068"/>
      <c r="S462" s="1069" t="s">
        <v>309</v>
      </c>
      <c r="T462" s="1070" t="s">
        <v>310</v>
      </c>
      <c r="U462" s="17"/>
      <c r="V462" s="17"/>
      <c r="W462" s="1047"/>
      <c r="X462" s="1047"/>
      <c r="Y462" s="1054" t="s">
        <v>433</v>
      </c>
      <c r="Z462" s="1055">
        <v>44.63</v>
      </c>
      <c r="AA462" s="1055">
        <f>Z462*4</f>
        <v>178.52</v>
      </c>
      <c r="AB462" s="1055">
        <f t="shared" si="25"/>
        <v>357.04</v>
      </c>
      <c r="AC462" s="1055">
        <f>AA462*3</f>
        <v>535.56000000000006</v>
      </c>
      <c r="AD462" s="17"/>
      <c r="AE462" s="17"/>
      <c r="AF462" s="17"/>
      <c r="AG462" s="31"/>
      <c r="AH462" s="17"/>
      <c r="AI462" s="13"/>
      <c r="AJ462" s="13"/>
      <c r="AK462" s="13"/>
      <c r="AL462" s="13"/>
      <c r="AM462" s="13"/>
      <c r="AN462" s="13"/>
      <c r="AO462" s="13"/>
    </row>
    <row r="463" spans="1:41" ht="19.899999999999999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7"/>
      <c r="M463" s="65"/>
      <c r="N463" s="1071" t="s">
        <v>311</v>
      </c>
      <c r="O463" s="1072">
        <f>+K17</f>
        <v>1</v>
      </c>
      <c r="P463" s="1073" t="s">
        <v>0</v>
      </c>
      <c r="Q463" s="16" t="s">
        <v>312</v>
      </c>
      <c r="R463" s="1074" t="s">
        <v>313</v>
      </c>
      <c r="S463" s="1074">
        <f>+IF(S457&lt;=85,S457*3/1000,IF(S457&lt;=125,S457*2/1000,S457/1000))</f>
        <v>0.2</v>
      </c>
      <c r="T463" s="1074">
        <f>+IF(T457&lt;=85,T457*3/1000,IF(T457&lt;=125,T457*2/1000,T457/1000))</f>
        <v>0.2</v>
      </c>
      <c r="U463" s="25" t="s">
        <v>0</v>
      </c>
      <c r="V463" s="17"/>
      <c r="W463" s="1047"/>
      <c r="X463" s="1047"/>
      <c r="Y463" s="1054" t="s">
        <v>434</v>
      </c>
      <c r="Z463" s="1055">
        <v>63.15</v>
      </c>
      <c r="AA463" s="1055">
        <f t="shared" si="24"/>
        <v>505.2</v>
      </c>
      <c r="AB463" s="1055">
        <f t="shared" si="25"/>
        <v>1010.4</v>
      </c>
      <c r="AC463" s="1055">
        <f t="shared" si="26"/>
        <v>1515.6</v>
      </c>
      <c r="AD463" s="17"/>
      <c r="AE463" s="17"/>
      <c r="AF463" s="17"/>
      <c r="AG463" s="31"/>
      <c r="AH463" s="17"/>
      <c r="AI463" s="13"/>
      <c r="AJ463" s="13"/>
      <c r="AK463" s="13"/>
      <c r="AL463" s="13"/>
      <c r="AM463" s="13"/>
      <c r="AN463" s="13"/>
      <c r="AO463" s="13"/>
    </row>
    <row r="464" spans="1:41" ht="19.899999999999999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7"/>
      <c r="M464" s="65"/>
      <c r="N464" s="1071" t="s">
        <v>314</v>
      </c>
      <c r="O464" s="1072">
        <f>+K14</f>
        <v>3.5</v>
      </c>
      <c r="P464" s="1073" t="s">
        <v>0</v>
      </c>
      <c r="Q464" s="16"/>
      <c r="R464" s="1074" t="s">
        <v>315</v>
      </c>
      <c r="S464" s="1074">
        <f>+S463</f>
        <v>0.2</v>
      </c>
      <c r="T464" s="32">
        <f>+T463</f>
        <v>0.2</v>
      </c>
      <c r="U464" s="25" t="s">
        <v>0</v>
      </c>
      <c r="V464" s="17"/>
      <c r="W464" s="1047">
        <v>200</v>
      </c>
      <c r="X464" s="1047">
        <v>180</v>
      </c>
      <c r="Y464" s="1054">
        <v>56</v>
      </c>
      <c r="Z464" s="1055">
        <v>31.12</v>
      </c>
      <c r="AA464" s="1055">
        <f>Z464*16</f>
        <v>497.92</v>
      </c>
      <c r="AB464" s="1055">
        <f t="shared" si="25"/>
        <v>995.84</v>
      </c>
      <c r="AC464" s="1055">
        <f t="shared" si="26"/>
        <v>1493.76</v>
      </c>
      <c r="AD464" s="17"/>
      <c r="AE464" s="17"/>
      <c r="AF464" s="17"/>
      <c r="AG464" s="31"/>
      <c r="AH464" s="17"/>
      <c r="AI464" s="13"/>
      <c r="AJ464" s="13"/>
      <c r="AK464" s="13"/>
      <c r="AL464" s="13"/>
      <c r="AM464" s="13"/>
      <c r="AN464" s="13"/>
      <c r="AO464" s="13"/>
    </row>
    <row r="465" spans="1:41" ht="19.899999999999999" customHeight="1" thickBo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7"/>
      <c r="M465" s="65"/>
      <c r="N465" s="1071" t="s">
        <v>316</v>
      </c>
      <c r="O465" s="1072">
        <f>+K23</f>
        <v>0.7</v>
      </c>
      <c r="P465" s="1073" t="s">
        <v>0</v>
      </c>
      <c r="Q465" s="1075" t="s">
        <v>317</v>
      </c>
      <c r="R465" s="1076"/>
      <c r="S465" s="1077">
        <v>0</v>
      </c>
      <c r="T465" s="1078">
        <v>0</v>
      </c>
      <c r="U465" s="17"/>
      <c r="V465" s="17"/>
      <c r="W465" s="1047">
        <v>220</v>
      </c>
      <c r="X465" s="1047">
        <v>200</v>
      </c>
      <c r="Y465" s="1054">
        <v>64</v>
      </c>
      <c r="Z465" s="1055">
        <v>44.03</v>
      </c>
      <c r="AA465" s="1055">
        <f>Z465*16</f>
        <v>704.48</v>
      </c>
      <c r="AB465" s="1055">
        <f t="shared" si="25"/>
        <v>1408.96</v>
      </c>
      <c r="AC465" s="1055">
        <f t="shared" si="26"/>
        <v>2113.44</v>
      </c>
      <c r="AD465" s="17"/>
      <c r="AE465" s="17"/>
      <c r="AF465" s="17"/>
      <c r="AG465" s="31"/>
      <c r="AH465" s="17"/>
      <c r="AI465" s="13"/>
      <c r="AJ465" s="13"/>
      <c r="AK465" s="13"/>
      <c r="AL465" s="13"/>
      <c r="AM465" s="13"/>
      <c r="AN465" s="13"/>
      <c r="AO465" s="13"/>
    </row>
    <row r="466" spans="1:41" ht="19.899999999999999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7"/>
      <c r="M466" s="65"/>
      <c r="N466" s="1071" t="s">
        <v>318</v>
      </c>
      <c r="O466" s="1072">
        <f>+K16</f>
        <v>0.5</v>
      </c>
      <c r="P466" s="1073" t="s">
        <v>0</v>
      </c>
      <c r="Q466" s="1079" t="s">
        <v>319</v>
      </c>
      <c r="R466" s="19"/>
      <c r="S466" s="1080">
        <f>+IF(O466&lt;=1,IF(O466&lt;=0.8,IF(O466&lt;=0.6,IF(O466&lt;=0.5,IF(O466&lt;=0.4,IF(O466&lt;=0.35,0.115,0.14),0.19),0.25),0.335),0.435),"NO")</f>
        <v>0.19</v>
      </c>
      <c r="T466" s="17"/>
      <c r="U466" s="17"/>
      <c r="V466" s="17"/>
      <c r="W466" s="1047">
        <v>250</v>
      </c>
      <c r="X466" s="1047">
        <v>250</v>
      </c>
      <c r="Y466" s="1054">
        <v>72</v>
      </c>
      <c r="Z466" s="1055">
        <v>58.01</v>
      </c>
      <c r="AA466" s="1055">
        <f>Z466*16</f>
        <v>928.16</v>
      </c>
      <c r="AB466" s="1055">
        <f t="shared" si="25"/>
        <v>1856.32</v>
      </c>
      <c r="AC466" s="1055">
        <f t="shared" si="26"/>
        <v>2784.48</v>
      </c>
      <c r="AD466" s="17"/>
      <c r="AE466" s="17"/>
      <c r="AF466" s="17"/>
      <c r="AG466" s="31"/>
      <c r="AH466" s="17"/>
      <c r="AI466" s="13"/>
      <c r="AJ466" s="13"/>
      <c r="AK466" s="13"/>
      <c r="AL466" s="13"/>
      <c r="AM466" s="13"/>
      <c r="AN466" s="13"/>
      <c r="AO466" s="13"/>
    </row>
    <row r="467" spans="1:41" ht="19.899999999999999" customHeight="1" thickBo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7"/>
      <c r="M467" s="65"/>
      <c r="N467" s="1071" t="s">
        <v>320</v>
      </c>
      <c r="O467" s="1072">
        <f>+K21</f>
        <v>0.35</v>
      </c>
      <c r="P467" s="1073" t="s">
        <v>0</v>
      </c>
      <c r="Q467" s="1081" t="s">
        <v>321</v>
      </c>
      <c r="R467" s="1082"/>
      <c r="S467" s="1083">
        <f>+T467</f>
        <v>0</v>
      </c>
      <c r="T467" s="17">
        <f>+IF(OR(O463-O462=1,O463-O462=1.1,O463-O462=1.2),8,IF(OR(O463-O462=0.9,O463-O462=0.8,O463-O462=0.7,O463-O462=0.6),4,0))</f>
        <v>0</v>
      </c>
      <c r="U467" s="17" t="s">
        <v>322</v>
      </c>
      <c r="V467" s="17"/>
      <c r="W467" s="1084">
        <v>250</v>
      </c>
      <c r="X467" s="1084">
        <v>250</v>
      </c>
      <c r="Y467" s="1085">
        <v>80</v>
      </c>
      <c r="Z467" s="1086">
        <v>77.37</v>
      </c>
      <c r="AA467" s="1086">
        <f>Z467*16</f>
        <v>1237.92</v>
      </c>
      <c r="AB467" s="1086">
        <f t="shared" si="25"/>
        <v>2475.84</v>
      </c>
      <c r="AC467" s="1086">
        <f t="shared" si="26"/>
        <v>3713.76</v>
      </c>
      <c r="AD467" s="17"/>
      <c r="AE467" s="17"/>
      <c r="AF467" s="17"/>
      <c r="AG467" s="31"/>
      <c r="AH467" s="17"/>
      <c r="AI467" s="13"/>
      <c r="AJ467" s="14"/>
      <c r="AK467" s="14"/>
      <c r="AL467" s="13"/>
      <c r="AM467" s="13"/>
      <c r="AN467" s="13"/>
      <c r="AO467" s="13"/>
    </row>
    <row r="468" spans="1:41" ht="19.899999999999999" customHeight="1" thickBo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7"/>
      <c r="M468" s="65"/>
      <c r="N468" s="1087" t="s">
        <v>53</v>
      </c>
      <c r="O468" s="1088">
        <v>7.4999999999999997E-2</v>
      </c>
      <c r="P468" s="1089" t="s">
        <v>0</v>
      </c>
      <c r="Q468" s="1090" t="s">
        <v>323</v>
      </c>
      <c r="R468" s="1091">
        <v>0</v>
      </c>
      <c r="S468" s="1092">
        <f>+((ROUND(((Y478-W478)/2-2*O468-O466/2)/0.3-0.3,0)+1)*2+(ROUND((W478-O466-2*O468)/0.3-0.3,0)+1)+(ROUND(((X478-V478)/2-2*O468-O466/2)/0.3-0.3,0)+1)*2+(ROUND((V478-O466-2*O468)/0.3-0.3,0)+1))*2</f>
        <v>136</v>
      </c>
      <c r="T468" s="1093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31"/>
      <c r="AH468" s="17"/>
      <c r="AI468" s="13"/>
      <c r="AJ468" s="14"/>
      <c r="AK468" s="14"/>
      <c r="AL468" s="13"/>
      <c r="AM468" s="13"/>
      <c r="AN468" s="13"/>
      <c r="AO468" s="13"/>
    </row>
    <row r="469" spans="1:41" ht="19.899999999999999" customHeight="1" thickBo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7"/>
      <c r="M469" s="65"/>
      <c r="N469" s="17"/>
      <c r="O469" s="17"/>
      <c r="P469" s="17"/>
      <c r="Q469" s="1090" t="s">
        <v>324</v>
      </c>
      <c r="R469" s="1091" t="str">
        <f>+IF(O465=0.6,20,IF(O465=0.8,28,IF(O465=1,36,IF(O465=1.2,44,"kiem tra"))))</f>
        <v>kiem tra</v>
      </c>
      <c r="S469" s="1540" t="s">
        <v>325</v>
      </c>
      <c r="T469" s="1532"/>
      <c r="U469" s="1532"/>
      <c r="V469" s="1532"/>
      <c r="W469" s="1532"/>
      <c r="X469" s="1533"/>
      <c r="Y469" s="1540" t="s">
        <v>326</v>
      </c>
      <c r="Z469" s="1532"/>
      <c r="AA469" s="1532"/>
      <c r="AB469" s="1533"/>
      <c r="AC469" s="1540" t="s">
        <v>327</v>
      </c>
      <c r="AD469" s="1532"/>
      <c r="AE469" s="1532"/>
      <c r="AF469" s="1533"/>
      <c r="AG469" s="66"/>
      <c r="AH469" s="17"/>
      <c r="AI469" s="13"/>
      <c r="AJ469" s="14"/>
      <c r="AK469" s="14"/>
      <c r="AL469" s="13"/>
      <c r="AM469" s="13"/>
      <c r="AN469" s="13"/>
      <c r="AO469" s="13"/>
    </row>
    <row r="470" spans="1:41" ht="19.899999999999999" customHeight="1" thickBo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7"/>
      <c r="M470" s="65"/>
      <c r="N470" s="17"/>
      <c r="O470" s="17"/>
      <c r="P470" s="17"/>
      <c r="Q470" s="17"/>
      <c r="R470" s="17"/>
      <c r="S470" s="1541" t="s">
        <v>313</v>
      </c>
      <c r="T470" s="1542"/>
      <c r="U470" s="1543"/>
      <c r="V470" s="1544" t="s">
        <v>315</v>
      </c>
      <c r="W470" s="1542"/>
      <c r="X470" s="1543"/>
      <c r="Y470" s="1545" t="s">
        <v>313</v>
      </c>
      <c r="Z470" s="1546"/>
      <c r="AA470" s="1547" t="s">
        <v>435</v>
      </c>
      <c r="AB470" s="1548"/>
      <c r="AC470" s="1549" t="s">
        <v>313</v>
      </c>
      <c r="AD470" s="1550"/>
      <c r="AE470" s="1526" t="s">
        <v>435</v>
      </c>
      <c r="AF470" s="1527"/>
      <c r="AG470" s="31"/>
      <c r="AH470" s="17"/>
      <c r="AI470" s="13"/>
      <c r="AJ470" s="14"/>
      <c r="AK470" s="14"/>
      <c r="AL470" s="13"/>
      <c r="AM470" s="13"/>
      <c r="AN470" s="13"/>
      <c r="AO470" s="13"/>
    </row>
    <row r="471" spans="1:41" ht="19.899999999999999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7"/>
      <c r="M471" s="44" t="s">
        <v>328</v>
      </c>
      <c r="N471" s="1094" t="s">
        <v>329</v>
      </c>
      <c r="O471" s="1094" t="s">
        <v>330</v>
      </c>
      <c r="P471" s="1094" t="s">
        <v>331</v>
      </c>
      <c r="Q471" s="1094" t="s">
        <v>332</v>
      </c>
      <c r="R471" s="1095" t="s">
        <v>333</v>
      </c>
      <c r="S471" s="1096">
        <v>1</v>
      </c>
      <c r="T471" s="1097">
        <v>2</v>
      </c>
      <c r="U471" s="1098">
        <v>3</v>
      </c>
      <c r="V471" s="1096">
        <v>1</v>
      </c>
      <c r="W471" s="1097">
        <v>2</v>
      </c>
      <c r="X471" s="1098">
        <v>3</v>
      </c>
      <c r="Y471" s="1096" t="s">
        <v>334</v>
      </c>
      <c r="Z471" s="1098" t="s">
        <v>335</v>
      </c>
      <c r="AA471" s="1079" t="s">
        <v>336</v>
      </c>
      <c r="AB471" s="1098" t="s">
        <v>337</v>
      </c>
      <c r="AC471" s="1079" t="s">
        <v>338</v>
      </c>
      <c r="AD471" s="18" t="s">
        <v>339</v>
      </c>
      <c r="AE471" s="19" t="s">
        <v>338</v>
      </c>
      <c r="AF471" s="18" t="s">
        <v>339</v>
      </c>
      <c r="AG471" s="31"/>
      <c r="AH471" s="17"/>
      <c r="AI471" s="13"/>
      <c r="AJ471" s="14"/>
      <c r="AK471" s="14"/>
      <c r="AL471" s="13"/>
      <c r="AM471" s="13"/>
      <c r="AN471" s="13"/>
      <c r="AO471" s="13"/>
    </row>
    <row r="472" spans="1:41" ht="19.899999999999999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7"/>
      <c r="M472" s="45" t="s">
        <v>57</v>
      </c>
      <c r="N472" s="1099">
        <f>+VALUE(MID(C406,4,2))</f>
        <v>20</v>
      </c>
      <c r="O472" s="1099">
        <f>+VALUE(MID(C305,4,2))</f>
        <v>20</v>
      </c>
      <c r="P472" s="1099">
        <f>+O472</f>
        <v>20</v>
      </c>
      <c r="Q472" s="1099">
        <f>+O472</f>
        <v>20</v>
      </c>
      <c r="R472" s="1100">
        <f>+O472</f>
        <v>20</v>
      </c>
      <c r="S472" s="33">
        <f>+VALUE(LEFT(C236,2))</f>
        <v>12</v>
      </c>
      <c r="T472" s="1074">
        <f>+VALUE(LEFT(C264,2))</f>
        <v>12</v>
      </c>
      <c r="U472" s="32">
        <f>+T472</f>
        <v>12</v>
      </c>
      <c r="V472" s="33">
        <f>+S472</f>
        <v>12</v>
      </c>
      <c r="W472" s="1074">
        <f>+T472</f>
        <v>12</v>
      </c>
      <c r="X472" s="32">
        <f>+W472</f>
        <v>12</v>
      </c>
      <c r="Y472" s="33">
        <f>+S472</f>
        <v>12</v>
      </c>
      <c r="Z472" s="32">
        <f>+T472</f>
        <v>12</v>
      </c>
      <c r="AA472" s="1101">
        <f>+V472</f>
        <v>12</v>
      </c>
      <c r="AB472" s="32">
        <f>+W472</f>
        <v>12</v>
      </c>
      <c r="AC472" s="1101">
        <f>+Y472</f>
        <v>12</v>
      </c>
      <c r="AD472" s="1102">
        <f>+Z472</f>
        <v>12</v>
      </c>
      <c r="AE472" s="58">
        <f>+AA472</f>
        <v>12</v>
      </c>
      <c r="AF472" s="32">
        <f>+AB472</f>
        <v>12</v>
      </c>
      <c r="AG472" s="31"/>
      <c r="AH472" s="17"/>
      <c r="AI472" s="13"/>
      <c r="AJ472" s="14"/>
      <c r="AK472" s="14"/>
      <c r="AL472" s="13"/>
      <c r="AM472" s="13"/>
      <c r="AN472" s="13"/>
      <c r="AO472" s="13"/>
    </row>
    <row r="473" spans="1:41" ht="19.899999999999999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7"/>
      <c r="M473" s="46" t="s">
        <v>340</v>
      </c>
      <c r="N473" s="1103" t="str">
        <f>+LEFT(C406,2)</f>
        <v>08</v>
      </c>
      <c r="O473" s="1103" t="e">
        <f>+MAX(LEFT(#REF!,2),LEFT(C305,2))-P473</f>
        <v>#REF!</v>
      </c>
      <c r="P473" s="1104">
        <v>3</v>
      </c>
      <c r="Q473" s="1103" t="e">
        <f>+O473</f>
        <v>#REF!</v>
      </c>
      <c r="R473" s="1105">
        <f>+P473</f>
        <v>3</v>
      </c>
      <c r="S473" s="33">
        <f>+S463</f>
        <v>0.2</v>
      </c>
      <c r="T473" s="1074">
        <f>+T463</f>
        <v>0.2</v>
      </c>
      <c r="U473" s="32">
        <f>+T473</f>
        <v>0.2</v>
      </c>
      <c r="V473" s="33">
        <f>+S464</f>
        <v>0.2</v>
      </c>
      <c r="W473" s="1074">
        <f>+T464</f>
        <v>0.2</v>
      </c>
      <c r="X473" s="32">
        <f>+W473</f>
        <v>0.2</v>
      </c>
      <c r="Y473" s="1106"/>
      <c r="Z473" s="32"/>
      <c r="AA473" s="1107"/>
      <c r="AB473" s="32"/>
      <c r="AC473" s="1107"/>
      <c r="AD473" s="1102"/>
      <c r="AE473" s="34"/>
      <c r="AF473" s="32"/>
      <c r="AG473" s="31"/>
      <c r="AH473" s="17"/>
      <c r="AI473" s="13"/>
      <c r="AJ473" s="14"/>
      <c r="AK473" s="14"/>
      <c r="AL473" s="13"/>
      <c r="AM473" s="13"/>
      <c r="AN473" s="13"/>
      <c r="AO473" s="13"/>
    </row>
    <row r="474" spans="1:41" ht="19.899999999999999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7"/>
      <c r="M474" s="1528" t="s">
        <v>341</v>
      </c>
      <c r="N474" s="1108">
        <f>+N473*4-4</f>
        <v>28</v>
      </c>
      <c r="O474" s="1108" t="e">
        <f>+O473*2</f>
        <v>#REF!</v>
      </c>
      <c r="P474" s="1108">
        <f>+P473*2</f>
        <v>6</v>
      </c>
      <c r="Q474" s="1108" t="e">
        <f>+Q473*2</f>
        <v>#REF!</v>
      </c>
      <c r="R474" s="1109">
        <f>+R473*2</f>
        <v>6</v>
      </c>
      <c r="S474" s="33">
        <f>+ROUND(((O460-O459)/2-S466-O468)/S473,0)+1</f>
        <v>15</v>
      </c>
      <c r="T474" s="1074">
        <f>+ROUND(((O459-O461)/2-S466-O468)/T473,0)+1</f>
        <v>7</v>
      </c>
      <c r="U474" s="32">
        <f>+ROUND((O461+2*O468)/U473,0)-1</f>
        <v>5</v>
      </c>
      <c r="V474" s="33">
        <f>+ROUND(((Q460-Q459)/2-S466-O468)/V473,0)+1</f>
        <v>20</v>
      </c>
      <c r="W474" s="1074">
        <f>+ROUND(((Q459-Q461)/2-S466-O468)/W473,0)+1</f>
        <v>7</v>
      </c>
      <c r="X474" s="32">
        <f>+ROUND((Q461+2*O468)/X473,0)-1</f>
        <v>5</v>
      </c>
      <c r="Y474" s="1106">
        <f>+(S474-1)*2*S465</f>
        <v>0</v>
      </c>
      <c r="Z474" s="32">
        <f>+((U474+1)+(T474-1)*2)*T465</f>
        <v>0</v>
      </c>
      <c r="AA474" s="1107">
        <f>+(V474-1)*2*S465</f>
        <v>0</v>
      </c>
      <c r="AB474" s="35">
        <f>+((X474+1)+(W474-1)*2)*T465</f>
        <v>0</v>
      </c>
      <c r="AC474" s="1110">
        <f>+Y474</f>
        <v>0</v>
      </c>
      <c r="AD474" s="1111">
        <f>+((U474+1)+(T474-1)*2)*T465</f>
        <v>0</v>
      </c>
      <c r="AE474" s="36">
        <f>+AA474</f>
        <v>0</v>
      </c>
      <c r="AF474" s="35">
        <f>+((X474+1)+(W474-1)*2)*T465</f>
        <v>0</v>
      </c>
      <c r="AG474" s="31"/>
      <c r="AH474" s="17"/>
      <c r="AI474" s="25"/>
      <c r="AJ474" s="13"/>
      <c r="AK474" s="14"/>
      <c r="AL474" s="13"/>
      <c r="AM474" s="13"/>
      <c r="AN474" s="13"/>
      <c r="AO474" s="13"/>
    </row>
    <row r="475" spans="1:41" ht="19.899999999999999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7"/>
      <c r="M475" s="1529"/>
      <c r="N475" s="1112"/>
      <c r="O475" s="1113" t="s">
        <v>342</v>
      </c>
      <c r="P475" s="1114">
        <f>+ROUND(K28/2,1)+0.1</f>
        <v>2</v>
      </c>
      <c r="Q475" s="1112"/>
      <c r="R475" s="1115">
        <f>+ROUND(K26/2,1)+0.1</f>
        <v>1.5</v>
      </c>
      <c r="S475" s="1116">
        <f>+S474-1</f>
        <v>14</v>
      </c>
      <c r="T475" s="1112">
        <f>+T474-1</f>
        <v>6</v>
      </c>
      <c r="U475" s="1117"/>
      <c r="V475" s="1116">
        <f>+V474-1</f>
        <v>19</v>
      </c>
      <c r="W475" s="1112">
        <f>+W474-1</f>
        <v>6</v>
      </c>
      <c r="X475" s="1117"/>
      <c r="Y475" s="1118">
        <f t="shared" ref="Y475:AF475" si="27">+Y474</f>
        <v>0</v>
      </c>
      <c r="Z475" s="37">
        <f t="shared" si="27"/>
        <v>0</v>
      </c>
      <c r="AA475" s="1119">
        <f t="shared" si="27"/>
        <v>0</v>
      </c>
      <c r="AB475" s="37">
        <f t="shared" si="27"/>
        <v>0</v>
      </c>
      <c r="AC475" s="1119">
        <f t="shared" si="27"/>
        <v>0</v>
      </c>
      <c r="AD475" s="1120">
        <f t="shared" si="27"/>
        <v>0</v>
      </c>
      <c r="AE475" s="38">
        <f t="shared" si="27"/>
        <v>0</v>
      </c>
      <c r="AF475" s="37">
        <f t="shared" si="27"/>
        <v>0</v>
      </c>
      <c r="AG475" s="31"/>
      <c r="AH475" s="17"/>
      <c r="AI475" s="25"/>
      <c r="AJ475" s="13"/>
      <c r="AK475" s="14"/>
      <c r="AL475" s="13"/>
      <c r="AM475" s="13"/>
      <c r="AN475" s="13"/>
      <c r="AO475" s="13"/>
    </row>
    <row r="476" spans="1:41" ht="19.899999999999999" customHeight="1" thickBo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7"/>
      <c r="M476" s="47" t="s">
        <v>343</v>
      </c>
      <c r="N476" s="1121">
        <f>+O464-2*O468+0.25</f>
        <v>3.6</v>
      </c>
      <c r="O476" s="1121">
        <f>+Q460-2*O468</f>
        <v>11.85</v>
      </c>
      <c r="P476" s="1121">
        <f>+P475*2+O459</f>
        <v>8</v>
      </c>
      <c r="Q476" s="1121">
        <f>+O460-2*O468</f>
        <v>9.85</v>
      </c>
      <c r="R476" s="1122">
        <f>+R475*2+O459</f>
        <v>7</v>
      </c>
      <c r="S476" s="1123">
        <f>+O476</f>
        <v>11.85</v>
      </c>
      <c r="T476" s="1124">
        <f>+S476</f>
        <v>11.85</v>
      </c>
      <c r="U476" s="1125">
        <f>+(Q460/2-Q461/2-2*O468)</f>
        <v>5.35</v>
      </c>
      <c r="V476" s="1123">
        <f>+Q476</f>
        <v>9.85</v>
      </c>
      <c r="W476" s="1124">
        <f>+V476</f>
        <v>9.85</v>
      </c>
      <c r="X476" s="1125">
        <f>+(O460/2-O461/2-2*O468)</f>
        <v>4.3499999999999996</v>
      </c>
      <c r="Y476" s="1126"/>
      <c r="Z476" s="39"/>
      <c r="AA476" s="1126"/>
      <c r="AB476" s="39"/>
      <c r="AC476" s="1127"/>
      <c r="AD476" s="1128"/>
      <c r="AE476" s="40"/>
      <c r="AF476" s="39"/>
      <c r="AG476" s="31"/>
      <c r="AH476" s="17"/>
      <c r="AI476" s="13"/>
      <c r="AJ476" s="13"/>
      <c r="AK476" s="13"/>
      <c r="AL476" s="13"/>
      <c r="AM476" s="13"/>
      <c r="AN476" s="13"/>
      <c r="AO476" s="13"/>
    </row>
    <row r="477" spans="1:41" ht="19.899999999999999" customHeight="1" thickBo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7"/>
      <c r="M477" s="62"/>
      <c r="N477" s="41"/>
      <c r="O477" s="41"/>
      <c r="P477" s="41"/>
      <c r="Q477" s="41"/>
      <c r="R477" s="41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31"/>
      <c r="AH477" s="17"/>
      <c r="AI477" s="13"/>
      <c r="AJ477" s="13"/>
      <c r="AK477" s="13"/>
      <c r="AL477" s="13"/>
      <c r="AM477" s="13"/>
      <c r="AN477" s="13"/>
      <c r="AO477" s="13"/>
    </row>
    <row r="478" spans="1:41" ht="19.899999999999999" customHeight="1" thickBo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7"/>
      <c r="M478" s="48" t="s">
        <v>344</v>
      </c>
      <c r="N478" s="1129"/>
      <c r="O478" s="1129"/>
      <c r="P478" s="1129"/>
      <c r="Q478" s="1129"/>
      <c r="R478" s="1129"/>
      <c r="S478" s="1130"/>
      <c r="T478" s="17"/>
      <c r="U478" s="1131" t="s">
        <v>302</v>
      </c>
      <c r="V478" s="1132">
        <f>+O459</f>
        <v>4</v>
      </c>
      <c r="W478" s="1132">
        <f>+Q459</f>
        <v>4</v>
      </c>
      <c r="X478" s="1133">
        <f>+O460</f>
        <v>10</v>
      </c>
      <c r="Y478" s="1134">
        <f>+Q460</f>
        <v>12</v>
      </c>
      <c r="Z478" s="1135"/>
      <c r="AA478" s="1135"/>
      <c r="AB478" s="30"/>
      <c r="AC478" s="30"/>
      <c r="AD478" s="17"/>
      <c r="AE478" s="17"/>
      <c r="AF478" s="17"/>
      <c r="AG478" s="31"/>
      <c r="AH478" s="17"/>
      <c r="AI478" s="13"/>
      <c r="AJ478" s="14"/>
      <c r="AK478" s="14"/>
      <c r="AL478" s="13"/>
      <c r="AM478" s="13"/>
      <c r="AN478" s="13"/>
      <c r="AO478" s="13"/>
    </row>
    <row r="479" spans="1:41" ht="19.899999999999999" customHeight="1" thickBo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7"/>
      <c r="M479" s="49"/>
      <c r="N479" s="1136" t="s">
        <v>345</v>
      </c>
      <c r="O479" s="1136" t="s">
        <v>346</v>
      </c>
      <c r="P479" s="1136" t="s">
        <v>347</v>
      </c>
      <c r="Q479" s="1136" t="s">
        <v>348</v>
      </c>
      <c r="R479" s="1137" t="s">
        <v>349</v>
      </c>
      <c r="S479" s="1138" t="s">
        <v>350</v>
      </c>
      <c r="T479" s="1139" t="s">
        <v>140</v>
      </c>
      <c r="U479" s="1140" t="s">
        <v>351</v>
      </c>
      <c r="V479" s="1136" t="s">
        <v>57</v>
      </c>
      <c r="W479" s="1136" t="s">
        <v>352</v>
      </c>
      <c r="X479" s="1136" t="s">
        <v>353</v>
      </c>
      <c r="Y479" s="1138" t="s">
        <v>354</v>
      </c>
      <c r="Z479" s="1141"/>
      <c r="AA479" s="1141"/>
      <c r="AB479" s="30"/>
      <c r="AC479" s="30"/>
      <c r="AD479" s="17"/>
      <c r="AE479" s="17"/>
      <c r="AF479" s="17"/>
      <c r="AG479" s="31"/>
      <c r="AH479" s="17"/>
      <c r="AI479"/>
      <c r="AJ479" s="14"/>
      <c r="AK479" s="14"/>
      <c r="AL479" s="13"/>
      <c r="AM479" s="13"/>
      <c r="AN479" s="13"/>
      <c r="AO479" s="13"/>
    </row>
    <row r="480" spans="1:41" ht="19.899999999999999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7"/>
      <c r="M480" s="50" t="s">
        <v>355</v>
      </c>
      <c r="N480" s="1142">
        <f>X478</f>
        <v>10</v>
      </c>
      <c r="O480" s="1142">
        <f>Y478</f>
        <v>12</v>
      </c>
      <c r="P480" s="1142">
        <f>+O461</f>
        <v>1</v>
      </c>
      <c r="Q480" s="1142">
        <f>+Q461</f>
        <v>1</v>
      </c>
      <c r="R480" s="1142">
        <f>+O462</f>
        <v>0.35</v>
      </c>
      <c r="S480" s="1143">
        <f>(N480*O480-P480*Q480)*R480</f>
        <v>41.65</v>
      </c>
      <c r="T480" s="42"/>
      <c r="U480" s="1144">
        <v>1</v>
      </c>
      <c r="V480" s="1145">
        <f>+N472</f>
        <v>20</v>
      </c>
      <c r="W480" s="1146">
        <f>+N476</f>
        <v>3.6</v>
      </c>
      <c r="X480" s="1145">
        <f>+N474*4</f>
        <v>112</v>
      </c>
      <c r="Y480" s="1147">
        <f t="shared" ref="Y480:Y505" si="28">W480*X480</f>
        <v>403.2</v>
      </c>
      <c r="Z480" s="1148"/>
      <c r="AA480" s="1148"/>
      <c r="AB480" s="1149" t="s">
        <v>356</v>
      </c>
      <c r="AC480" s="30"/>
      <c r="AD480" s="30"/>
      <c r="AE480" s="30"/>
      <c r="AF480" s="17"/>
      <c r="AG480" s="31"/>
      <c r="AH480" s="17"/>
      <c r="AI480"/>
      <c r="AJ480" s="13"/>
      <c r="AK480" s="14"/>
      <c r="AL480" s="13"/>
      <c r="AM480" s="13"/>
      <c r="AN480" s="13"/>
      <c r="AO480" s="13"/>
    </row>
    <row r="481" spans="1:41" ht="19.899999999999999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7"/>
      <c r="M481" s="51" t="s">
        <v>357</v>
      </c>
      <c r="N481" s="1150">
        <f>+O466</f>
        <v>0.5</v>
      </c>
      <c r="O481" s="1151">
        <f>R481-R480</f>
        <v>0.65</v>
      </c>
      <c r="P481" s="1151">
        <f>N480</f>
        <v>10</v>
      </c>
      <c r="Q481" s="1151">
        <f>O480</f>
        <v>12</v>
      </c>
      <c r="R481" s="1150">
        <f>+O463</f>
        <v>1</v>
      </c>
      <c r="S481" s="1152">
        <f>(N481*O481*P481*2)+(N481*O481*(Q481-N481*2))*2</f>
        <v>13.65</v>
      </c>
      <c r="T481" s="1153"/>
      <c r="U481" s="1154" t="e">
        <f>+IF(OR(W481=0,X481=0),0,IF(U480=0,U479+1,U480+1))</f>
        <v>#REF!</v>
      </c>
      <c r="V481" s="1150">
        <f>O472</f>
        <v>20</v>
      </c>
      <c r="W481" s="1155">
        <f>+O476</f>
        <v>11.85</v>
      </c>
      <c r="X481" s="1150" t="e">
        <f>+O474*2</f>
        <v>#REF!</v>
      </c>
      <c r="Y481" s="1156" t="e">
        <f t="shared" si="28"/>
        <v>#REF!</v>
      </c>
      <c r="Z481" s="1148"/>
      <c r="AA481" s="1148"/>
      <c r="AB481" s="1149" t="s">
        <v>358</v>
      </c>
      <c r="AC481" s="30"/>
      <c r="AD481" s="30"/>
      <c r="AE481" s="30"/>
      <c r="AF481" s="17"/>
      <c r="AG481" s="31"/>
      <c r="AH481" s="17"/>
      <c r="AI481"/>
      <c r="AJ481" s="13"/>
      <c r="AK481" s="13"/>
      <c r="AL481" s="13"/>
      <c r="AM481" s="13"/>
      <c r="AN481" s="13"/>
      <c r="AO481" s="13"/>
    </row>
    <row r="482" spans="1:41" ht="19.899999999999999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7"/>
      <c r="M482" s="51" t="s">
        <v>359</v>
      </c>
      <c r="N482" s="1150">
        <f>+O467</f>
        <v>0.35</v>
      </c>
      <c r="O482" s="1150">
        <f>N482</f>
        <v>0.35</v>
      </c>
      <c r="P482" s="1150">
        <f>O481</f>
        <v>0.65</v>
      </c>
      <c r="Q482" s="1150"/>
      <c r="R482" s="1150"/>
      <c r="S482" s="1152">
        <f>((N482*O482)/2)*P482*16</f>
        <v>0.6369999999999999</v>
      </c>
      <c r="T482" s="1153"/>
      <c r="U482" s="1154" t="s">
        <v>360</v>
      </c>
      <c r="V482" s="1157">
        <f>+P472</f>
        <v>20</v>
      </c>
      <c r="W482" s="1158">
        <f>+P476</f>
        <v>8</v>
      </c>
      <c r="X482" s="1159">
        <f>+P474*2</f>
        <v>12</v>
      </c>
      <c r="Y482" s="1160">
        <f>W482*X482</f>
        <v>96</v>
      </c>
      <c r="Z482" s="20">
        <f>+Y482+Y483</f>
        <v>180</v>
      </c>
      <c r="AA482" s="21">
        <f>+X482+X483</f>
        <v>24</v>
      </c>
      <c r="AB482" s="1149" t="s">
        <v>361</v>
      </c>
      <c r="AC482" s="30"/>
      <c r="AD482" s="30"/>
      <c r="AE482" s="30"/>
      <c r="AF482" s="17"/>
      <c r="AG482" s="31"/>
      <c r="AH482" s="17"/>
      <c r="AI482"/>
      <c r="AJ482" s="13"/>
      <c r="AK482" s="13"/>
      <c r="AL482" s="13"/>
      <c r="AM482" s="13"/>
      <c r="AN482" s="13"/>
      <c r="AO482" s="13"/>
    </row>
    <row r="483" spans="1:41" ht="19.899999999999999" customHeight="1" thickBo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7"/>
      <c r="M483" s="52" t="s">
        <v>362</v>
      </c>
      <c r="N483" s="1161">
        <f>+O465</f>
        <v>0.7</v>
      </c>
      <c r="O483" s="1161">
        <f>N483</f>
        <v>0.7</v>
      </c>
      <c r="P483" s="1161"/>
      <c r="Q483" s="1161"/>
      <c r="R483" s="1162">
        <f>O464-(O481+R480)</f>
        <v>2.5</v>
      </c>
      <c r="S483" s="1163">
        <f>N483*O483*R483*4</f>
        <v>4.8999999999999995</v>
      </c>
      <c r="T483" s="1153"/>
      <c r="U483" s="1154" t="s">
        <v>363</v>
      </c>
      <c r="V483" s="1164">
        <f>+R472</f>
        <v>20</v>
      </c>
      <c r="W483" s="1165">
        <f>+R476</f>
        <v>7</v>
      </c>
      <c r="X483" s="1166">
        <f>+R474*2</f>
        <v>12</v>
      </c>
      <c r="Y483" s="1167">
        <f t="shared" si="28"/>
        <v>84</v>
      </c>
      <c r="Z483" s="20"/>
      <c r="AA483" s="21"/>
      <c r="AB483" s="1149"/>
      <c r="AC483" s="30"/>
      <c r="AD483" s="30"/>
      <c r="AE483" s="30"/>
      <c r="AF483" s="17"/>
      <c r="AG483" s="31"/>
      <c r="AH483" s="17"/>
      <c r="AI483"/>
      <c r="AJ483" s="13"/>
      <c r="AK483" s="13"/>
      <c r="AL483" s="13"/>
      <c r="AM483" s="13"/>
      <c r="AN483" s="13"/>
      <c r="AO483" s="13"/>
    </row>
    <row r="484" spans="1:41" ht="19.899999999999999" customHeight="1" thickBo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7"/>
      <c r="M484" s="53" t="s">
        <v>364</v>
      </c>
      <c r="N484" s="1168"/>
      <c r="O484" s="1168"/>
      <c r="P484" s="1168"/>
      <c r="Q484" s="1168"/>
      <c r="R484" s="1168"/>
      <c r="S484" s="1169">
        <f>SUM(S480:S483)</f>
        <v>60.836999999999996</v>
      </c>
      <c r="T484" s="1153"/>
      <c r="U484" s="1154" t="e">
        <f>+IF(OR(W484=0,X484=0),0,IF(U481=0,U480+1,U481+1))</f>
        <v>#REF!</v>
      </c>
      <c r="V484" s="1150">
        <f>Q472</f>
        <v>20</v>
      </c>
      <c r="W484" s="1155">
        <f>+Q476</f>
        <v>9.85</v>
      </c>
      <c r="X484" s="1150" t="e">
        <f>+Q474*2</f>
        <v>#REF!</v>
      </c>
      <c r="Y484" s="1156" t="e">
        <f t="shared" si="28"/>
        <v>#REF!</v>
      </c>
      <c r="Z484" s="1148"/>
      <c r="AA484" s="1148"/>
      <c r="AB484" s="1149"/>
      <c r="AC484" s="30"/>
      <c r="AD484" s="30"/>
      <c r="AE484" s="30"/>
      <c r="AF484" s="17"/>
      <c r="AG484" s="31"/>
      <c r="AH484" s="17"/>
      <c r="AI484"/>
      <c r="AJ484" s="13"/>
      <c r="AK484" s="13"/>
      <c r="AL484" s="13"/>
      <c r="AM484" s="13"/>
      <c r="AN484" s="13"/>
      <c r="AO484" s="13"/>
    </row>
    <row r="485" spans="1:41" ht="19.899999999999999" customHeight="1" thickBo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7"/>
      <c r="M485" s="54" t="s">
        <v>365</v>
      </c>
      <c r="N485" s="1170">
        <f>N480+0.1*2</f>
        <v>10.199999999999999</v>
      </c>
      <c r="O485" s="1136">
        <f>O480+0.1*2</f>
        <v>12.2</v>
      </c>
      <c r="P485" s="1136">
        <f>P480-0.1*2</f>
        <v>0.8</v>
      </c>
      <c r="Q485" s="1136">
        <f>Q480-0.1*2</f>
        <v>0.8</v>
      </c>
      <c r="R485" s="1138">
        <v>0.1</v>
      </c>
      <c r="S485" s="1171">
        <f>(N485*O485-P485*Q485)*R485</f>
        <v>12.379999999999999</v>
      </c>
      <c r="T485" s="1153"/>
      <c r="U485" s="1154">
        <v>4</v>
      </c>
      <c r="V485" s="1172">
        <f>+S472</f>
        <v>12</v>
      </c>
      <c r="W485" s="1173">
        <f>+S476</f>
        <v>11.85</v>
      </c>
      <c r="X485" s="1174">
        <f>+(S475+S474)*2+S467</f>
        <v>58</v>
      </c>
      <c r="Y485" s="1175">
        <f t="shared" si="28"/>
        <v>687.3</v>
      </c>
      <c r="Z485" s="20">
        <f>+Y485+Y486</f>
        <v>995.39999999999986</v>
      </c>
      <c r="AA485" s="21">
        <f>+X485+X486</f>
        <v>84</v>
      </c>
      <c r="AB485" s="1176" t="s">
        <v>366</v>
      </c>
      <c r="AC485" s="1177"/>
      <c r="AD485" s="17"/>
      <c r="AE485" s="17"/>
      <c r="AF485" s="17"/>
      <c r="AG485" s="31"/>
      <c r="AH485" s="17"/>
      <c r="AI485"/>
      <c r="AJ485" s="14"/>
      <c r="AK485" s="14"/>
      <c r="AL485" s="13"/>
      <c r="AM485" s="13"/>
      <c r="AN485" s="13"/>
      <c r="AO485" s="13"/>
    </row>
    <row r="486" spans="1:41" ht="19.899999999999999" customHeight="1" thickBo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7"/>
      <c r="M486" s="55" t="s">
        <v>367</v>
      </c>
      <c r="N486" s="1178">
        <f>N480+R486*2</f>
        <v>10</v>
      </c>
      <c r="O486" s="1178">
        <f>O480+R486*2</f>
        <v>12</v>
      </c>
      <c r="P486" s="1178">
        <f>N486+R486*2</f>
        <v>10</v>
      </c>
      <c r="Q486" s="1178">
        <f>O486+R486*2</f>
        <v>12</v>
      </c>
      <c r="R486" s="1179">
        <v>0</v>
      </c>
      <c r="S486" s="1180">
        <f>R486/6*((N486*O486)+(N486+P486)*(O486+Q486)+(P486*Q486))</f>
        <v>0</v>
      </c>
      <c r="T486" s="1153"/>
      <c r="U486" s="1154" t="s">
        <v>368</v>
      </c>
      <c r="V486" s="1181">
        <f>+T472</f>
        <v>12</v>
      </c>
      <c r="W486" s="1182">
        <f>+T476</f>
        <v>11.85</v>
      </c>
      <c r="X486" s="1181">
        <f>+(T475+T474)*2</f>
        <v>26</v>
      </c>
      <c r="Y486" s="1183">
        <f t="shared" si="28"/>
        <v>308.09999999999997</v>
      </c>
      <c r="Z486" s="20"/>
      <c r="AA486" s="21"/>
      <c r="AB486" s="1176" t="s">
        <v>369</v>
      </c>
      <c r="AC486" s="1177"/>
      <c r="AD486" s="17"/>
      <c r="AE486" s="17"/>
      <c r="AF486" s="17"/>
      <c r="AG486" s="31"/>
      <c r="AH486" s="17"/>
      <c r="AI486"/>
      <c r="AJ486" s="14"/>
      <c r="AK486" s="13"/>
      <c r="AL486" s="13"/>
      <c r="AM486" s="14"/>
      <c r="AN486" s="13"/>
      <c r="AO486" s="13"/>
    </row>
    <row r="487" spans="1:41" ht="19.899999999999999" customHeight="1" thickBo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7"/>
      <c r="M487" s="56" t="s">
        <v>370</v>
      </c>
      <c r="N487" s="1136">
        <f>N486</f>
        <v>10</v>
      </c>
      <c r="O487" s="1136">
        <f>O486</f>
        <v>12</v>
      </c>
      <c r="P487" s="1136">
        <f>N487+R487*2</f>
        <v>17.2</v>
      </c>
      <c r="Q487" s="1136">
        <f>O487+R487*2</f>
        <v>19.2</v>
      </c>
      <c r="R487" s="1138">
        <f>+O464+R486+R485</f>
        <v>3.6</v>
      </c>
      <c r="S487" s="1184">
        <f>R487/6*((N487*O487)+(N487+P487)*(O487+Q487)+(P487*Q487))</f>
        <v>779.32799999999986</v>
      </c>
      <c r="T487" s="1153"/>
      <c r="U487" s="1154" t="s">
        <v>371</v>
      </c>
      <c r="V487" s="17">
        <f>+Y472</f>
        <v>12</v>
      </c>
      <c r="W487" s="1155">
        <f>+Y476</f>
        <v>0</v>
      </c>
      <c r="X487" s="17">
        <f>+(Y474+Y475)*2</f>
        <v>0</v>
      </c>
      <c r="Y487" s="1156">
        <f t="shared" si="28"/>
        <v>0</v>
      </c>
      <c r="Z487" s="20">
        <f>+Y487+Y488</f>
        <v>0</v>
      </c>
      <c r="AA487" s="21">
        <f>+X487+X488</f>
        <v>0</v>
      </c>
      <c r="AB487" s="1185" t="s">
        <v>372</v>
      </c>
      <c r="AC487" s="1186"/>
      <c r="AD487" s="17"/>
      <c r="AE487" s="17"/>
      <c r="AF487" s="17"/>
      <c r="AG487" s="31"/>
      <c r="AH487" s="17"/>
      <c r="AI487"/>
      <c r="AJ487" s="14"/>
      <c r="AK487" s="13"/>
      <c r="AL487" s="13"/>
      <c r="AM487" s="14"/>
      <c r="AN487" s="13"/>
      <c r="AO487" s="13"/>
    </row>
    <row r="488" spans="1:41" ht="19.899999999999999" customHeight="1" thickBo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7"/>
      <c r="M488" s="57" t="s">
        <v>373</v>
      </c>
      <c r="N488" s="1187">
        <f>N480</f>
        <v>10</v>
      </c>
      <c r="O488" s="1187">
        <f>O480</f>
        <v>12</v>
      </c>
      <c r="P488" s="1188">
        <f>N488+R488*2</f>
        <v>11</v>
      </c>
      <c r="Q488" s="1188">
        <f>O488+R488*2</f>
        <v>13</v>
      </c>
      <c r="R488" s="1188">
        <v>0.5</v>
      </c>
      <c r="S488" s="1184">
        <f>(R488/6*((N488*O488)+(N488+P488)*(O488+Q488)+(P488*Q488)))-(N483*O483*R488*4)</f>
        <v>64.686666666666653</v>
      </c>
      <c r="T488" s="1153"/>
      <c r="U488" s="1154" t="s">
        <v>374</v>
      </c>
      <c r="V488" s="1074">
        <f>+Z472</f>
        <v>12</v>
      </c>
      <c r="W488" s="1155">
        <f>+Z476</f>
        <v>0</v>
      </c>
      <c r="X488" s="1150">
        <f>+(Z474+Z475)*2</f>
        <v>0</v>
      </c>
      <c r="Y488" s="1156">
        <f t="shared" si="28"/>
        <v>0</v>
      </c>
      <c r="Z488" s="22"/>
      <c r="AA488" s="21"/>
      <c r="AB488" s="1185" t="s">
        <v>375</v>
      </c>
      <c r="AC488" s="17"/>
      <c r="AD488" s="17"/>
      <c r="AE488" s="17"/>
      <c r="AF488" s="17"/>
      <c r="AG488" s="31"/>
      <c r="AH488" s="17"/>
      <c r="AI488" s="13"/>
      <c r="AJ488" s="14"/>
      <c r="AK488" s="13"/>
      <c r="AL488" s="23"/>
      <c r="AM488" s="13"/>
      <c r="AN488" s="13"/>
      <c r="AO488" s="14"/>
    </row>
    <row r="489" spans="1:41" ht="19.899999999999999" customHeight="1" thickBo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7"/>
      <c r="M489" s="57" t="s">
        <v>376</v>
      </c>
      <c r="N489" s="1188"/>
      <c r="O489" s="1188"/>
      <c r="P489" s="1188"/>
      <c r="Q489" s="1188"/>
      <c r="R489" s="1188"/>
      <c r="S489" s="1189">
        <f>S487-S486-S485-S484+S488+(N483*O483*(1-R488)*4)</f>
        <v>771.77766666666651</v>
      </c>
      <c r="T489" s="1153"/>
      <c r="U489" s="1154" t="s">
        <v>377</v>
      </c>
      <c r="V489" s="1074">
        <f>+AC472</f>
        <v>12</v>
      </c>
      <c r="W489" s="1190">
        <f>+AC476</f>
        <v>0</v>
      </c>
      <c r="X489" s="1150">
        <f>+(AC474+AC475)*2</f>
        <v>0</v>
      </c>
      <c r="Y489" s="1156">
        <f t="shared" si="28"/>
        <v>0</v>
      </c>
      <c r="Z489" s="20"/>
      <c r="AA489" s="21"/>
      <c r="AB489" s="1185" t="s">
        <v>378</v>
      </c>
      <c r="AC489" s="24"/>
      <c r="AD489" s="17"/>
      <c r="AE489" s="17"/>
      <c r="AF489" s="17"/>
      <c r="AG489" s="31"/>
      <c r="AH489" s="17"/>
      <c r="AI489" s="13"/>
      <c r="AJ489" s="14"/>
      <c r="AK489" s="13"/>
      <c r="AL489" s="15"/>
      <c r="AM489" s="13"/>
      <c r="AN489" s="13"/>
      <c r="AO489" s="13"/>
    </row>
    <row r="490" spans="1:41" ht="19.899999999999999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7"/>
      <c r="M490" s="69"/>
      <c r="N490" s="1141"/>
      <c r="O490" s="1141"/>
      <c r="P490" s="1141"/>
      <c r="Q490" s="1141"/>
      <c r="R490" s="1141"/>
      <c r="S490" s="1191"/>
      <c r="T490" s="1153"/>
      <c r="U490" s="1154" t="s">
        <v>379</v>
      </c>
      <c r="V490" s="1074">
        <f>+AD472</f>
        <v>12</v>
      </c>
      <c r="W490" s="1190">
        <f>+AD476</f>
        <v>0</v>
      </c>
      <c r="X490" s="1150">
        <f>+(AD474+AD475)*2</f>
        <v>0</v>
      </c>
      <c r="Y490" s="1156">
        <f t="shared" si="28"/>
        <v>0</v>
      </c>
      <c r="Z490" s="43"/>
      <c r="AA490" s="21"/>
      <c r="AB490" s="1185" t="s">
        <v>380</v>
      </c>
      <c r="AC490" s="24"/>
      <c r="AD490" s="17"/>
      <c r="AE490" s="17"/>
      <c r="AF490" s="17"/>
      <c r="AG490" s="31"/>
      <c r="AH490" s="17"/>
      <c r="AI490" s="13"/>
      <c r="AJ490" s="14"/>
      <c r="AK490" s="13"/>
      <c r="AL490" s="15"/>
      <c r="AM490" s="13"/>
      <c r="AN490" s="13"/>
      <c r="AO490" s="13"/>
    </row>
    <row r="491" spans="1:41" ht="19.899999999999999" customHeight="1" thickBo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7"/>
      <c r="M491" s="70" t="s">
        <v>381</v>
      </c>
      <c r="N491" s="30"/>
      <c r="O491" s="30"/>
      <c r="P491" s="30"/>
      <c r="Q491" s="30"/>
      <c r="R491" s="30"/>
      <c r="S491" s="1186"/>
      <c r="T491" s="1153"/>
      <c r="U491" s="1154">
        <v>5</v>
      </c>
      <c r="V491" s="1150">
        <f>+U472</f>
        <v>12</v>
      </c>
      <c r="W491" s="1155">
        <f>+U476</f>
        <v>5.35</v>
      </c>
      <c r="X491" s="1150">
        <f>+U474*4</f>
        <v>20</v>
      </c>
      <c r="Y491" s="1156">
        <f t="shared" si="28"/>
        <v>107</v>
      </c>
      <c r="Z491" s="30"/>
      <c r="AA491" s="17"/>
      <c r="AB491" s="1176" t="s">
        <v>382</v>
      </c>
      <c r="AC491" s="1177"/>
      <c r="AD491" s="17"/>
      <c r="AE491" s="17"/>
      <c r="AF491" s="17"/>
      <c r="AG491" s="31"/>
      <c r="AH491" s="17"/>
      <c r="AI491" s="13"/>
      <c r="AJ491" s="13"/>
      <c r="AK491" s="13"/>
      <c r="AL491" s="13"/>
      <c r="AM491" s="13"/>
      <c r="AN491" s="13"/>
      <c r="AO491" s="13"/>
    </row>
    <row r="492" spans="1:41" ht="19.899999999999999" customHeight="1" thickBo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7"/>
      <c r="M492" s="59" t="s">
        <v>57</v>
      </c>
      <c r="N492" s="1192" t="s">
        <v>352</v>
      </c>
      <c r="O492" s="1192" t="s">
        <v>383</v>
      </c>
      <c r="P492" s="1192" t="s">
        <v>384</v>
      </c>
      <c r="Q492" s="1193" t="s">
        <v>354</v>
      </c>
      <c r="R492" s="1194" t="s">
        <v>385</v>
      </c>
      <c r="S492" s="1186"/>
      <c r="T492" s="1153"/>
      <c r="U492" s="1154">
        <v>6</v>
      </c>
      <c r="V492" s="1172">
        <f>+V472</f>
        <v>12</v>
      </c>
      <c r="W492" s="1173">
        <f>+V476</f>
        <v>9.85</v>
      </c>
      <c r="X492" s="1174">
        <f>+(V475+V474)*2+S467</f>
        <v>78</v>
      </c>
      <c r="Y492" s="1175">
        <f t="shared" si="28"/>
        <v>768.3</v>
      </c>
      <c r="Z492" s="20">
        <f>+Y492+Y493</f>
        <v>1024.3999999999999</v>
      </c>
      <c r="AA492" s="21">
        <f>+X492+X493</f>
        <v>104</v>
      </c>
      <c r="AB492" s="1176" t="s">
        <v>386</v>
      </c>
      <c r="AC492" s="1177"/>
      <c r="AD492" s="17"/>
      <c r="AE492" s="17"/>
      <c r="AF492" s="17"/>
      <c r="AG492" s="31"/>
      <c r="AH492" s="17"/>
      <c r="AI492" s="13"/>
      <c r="AJ492" s="13"/>
      <c r="AK492" s="13"/>
      <c r="AL492" s="13"/>
      <c r="AM492" s="13"/>
      <c r="AN492" s="13"/>
      <c r="AO492" s="13"/>
    </row>
    <row r="493" spans="1:41" ht="19.899999999999999" customHeight="1" thickBo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7"/>
      <c r="M493" s="42">
        <v>25</v>
      </c>
      <c r="N493" s="1195">
        <f t="shared" ref="N493:N501" si="29">+SUMIF($V$480:$V$505,M493,$Y$480:$Y$505)</f>
        <v>0</v>
      </c>
      <c r="O493" s="1196">
        <f>+M493^2*3.14/1000000*7850/4</f>
        <v>3.8514062499999997</v>
      </c>
      <c r="P493" s="1197">
        <f t="shared" ref="P493:P501" si="30">+ROUND(N493*O493,2)</f>
        <v>0</v>
      </c>
      <c r="Q493" s="1198" t="e">
        <f>+SUM(P493:P501)</f>
        <v>#REF!</v>
      </c>
      <c r="R493" s="1059" t="e">
        <f>+Q493/S484</f>
        <v>#REF!</v>
      </c>
      <c r="S493" s="30"/>
      <c r="T493" s="1153"/>
      <c r="U493" s="1154">
        <v>6</v>
      </c>
      <c r="V493" s="1181">
        <f>+W472</f>
        <v>12</v>
      </c>
      <c r="W493" s="1182">
        <f>+W476</f>
        <v>9.85</v>
      </c>
      <c r="X493" s="1181">
        <f>+(W475+W474)*2</f>
        <v>26</v>
      </c>
      <c r="Y493" s="1183">
        <f t="shared" si="28"/>
        <v>256.09999999999997</v>
      </c>
      <c r="Z493" s="20"/>
      <c r="AA493" s="21"/>
      <c r="AB493" s="1176" t="s">
        <v>387</v>
      </c>
      <c r="AC493" s="1177"/>
      <c r="AD493" s="17"/>
      <c r="AE493" s="17"/>
      <c r="AF493" s="17"/>
      <c r="AG493" s="31"/>
      <c r="AH493" s="17"/>
      <c r="AI493" s="13"/>
      <c r="AJ493" s="13"/>
      <c r="AK493" s="13"/>
      <c r="AL493" s="13"/>
      <c r="AM493" s="13"/>
      <c r="AN493" s="13"/>
      <c r="AO493" s="13"/>
    </row>
    <row r="494" spans="1:41" ht="19.899999999999999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7"/>
      <c r="M494" s="33">
        <v>22</v>
      </c>
      <c r="N494" s="1199">
        <f t="shared" si="29"/>
        <v>0</v>
      </c>
      <c r="O494" s="1200">
        <f>+M494^2*3.14/1000000*7850/4</f>
        <v>2.982529</v>
      </c>
      <c r="P494" s="1201">
        <f t="shared" si="30"/>
        <v>0</v>
      </c>
      <c r="Q494" s="32"/>
      <c r="R494" s="30"/>
      <c r="S494" s="30"/>
      <c r="T494" s="1153"/>
      <c r="U494" s="1154" t="s">
        <v>388</v>
      </c>
      <c r="V494" s="17">
        <f>+AA472</f>
        <v>12</v>
      </c>
      <c r="W494" s="1202">
        <f>+AA476</f>
        <v>0</v>
      </c>
      <c r="X494" s="17">
        <f>+(AA474+AA475)*2</f>
        <v>0</v>
      </c>
      <c r="Y494" s="1156">
        <f t="shared" si="28"/>
        <v>0</v>
      </c>
      <c r="Z494" s="20">
        <f>+Y494+Y495</f>
        <v>0</v>
      </c>
      <c r="AA494" s="21">
        <f>+X494+X495</f>
        <v>0</v>
      </c>
      <c r="AB494" s="1185" t="s">
        <v>372</v>
      </c>
      <c r="AC494" s="1177"/>
      <c r="AD494" s="17"/>
      <c r="AE494" s="17"/>
      <c r="AF494" s="17"/>
      <c r="AG494" s="31"/>
      <c r="AH494" s="17"/>
      <c r="AI494" s="13"/>
      <c r="AJ494" s="13"/>
      <c r="AK494" s="13"/>
      <c r="AL494" s="13"/>
      <c r="AM494" s="13"/>
      <c r="AN494" s="13"/>
      <c r="AO494" s="13"/>
    </row>
    <row r="495" spans="1:41" ht="19.899999999999999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7"/>
      <c r="M495" s="33">
        <v>20</v>
      </c>
      <c r="N495" s="1199" t="e">
        <f t="shared" si="29"/>
        <v>#REF!</v>
      </c>
      <c r="O495" s="1200">
        <f t="shared" ref="O495:O501" si="31">+M495^2*3.14/1000000*7850/4</f>
        <v>2.4649000000000001</v>
      </c>
      <c r="P495" s="1201" t="e">
        <f t="shared" si="30"/>
        <v>#REF!</v>
      </c>
      <c r="Q495" s="32"/>
      <c r="R495" s="1203"/>
      <c r="S495" s="30"/>
      <c r="T495" s="1153"/>
      <c r="U495" s="1154" t="s">
        <v>389</v>
      </c>
      <c r="V495" s="1074">
        <f>+AB472</f>
        <v>12</v>
      </c>
      <c r="W495" s="1190">
        <f>+AB476</f>
        <v>0</v>
      </c>
      <c r="X495" s="1150">
        <f>+(AB474+AB475)*2</f>
        <v>0</v>
      </c>
      <c r="Y495" s="1156">
        <f t="shared" si="28"/>
        <v>0</v>
      </c>
      <c r="Z495" s="22"/>
      <c r="AA495" s="21"/>
      <c r="AB495" s="1185" t="s">
        <v>375</v>
      </c>
      <c r="AC495" s="17"/>
      <c r="AD495" s="17"/>
      <c r="AE495" s="17"/>
      <c r="AF495" s="17"/>
      <c r="AG495" s="31"/>
      <c r="AH495" s="17"/>
      <c r="AI495" s="13"/>
      <c r="AJ495" s="13"/>
      <c r="AK495" s="13"/>
      <c r="AL495" s="13"/>
      <c r="AM495" s="13"/>
      <c r="AN495" s="13"/>
      <c r="AO495" s="13"/>
    </row>
    <row r="496" spans="1:41" ht="19.899999999999999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7"/>
      <c r="M496" s="60">
        <v>18</v>
      </c>
      <c r="N496" s="1199">
        <f t="shared" si="29"/>
        <v>0</v>
      </c>
      <c r="O496" s="1200">
        <f t="shared" si="31"/>
        <v>1.9965689999999998</v>
      </c>
      <c r="P496" s="1201">
        <f t="shared" si="30"/>
        <v>0</v>
      </c>
      <c r="Q496" s="35"/>
      <c r="R496" s="30"/>
      <c r="S496" s="30"/>
      <c r="T496" s="1153"/>
      <c r="U496" s="1154" t="s">
        <v>390</v>
      </c>
      <c r="V496" s="1074">
        <f>+AE472</f>
        <v>12</v>
      </c>
      <c r="W496" s="1190">
        <f>+AE476</f>
        <v>0</v>
      </c>
      <c r="X496" s="1150">
        <f>+(AE474+AE475)*2</f>
        <v>0</v>
      </c>
      <c r="Y496" s="1156">
        <f t="shared" si="28"/>
        <v>0</v>
      </c>
      <c r="Z496" s="17"/>
      <c r="AA496" s="17"/>
      <c r="AB496" s="1185" t="s">
        <v>378</v>
      </c>
      <c r="AC496" s="1177"/>
      <c r="AD496" s="17"/>
      <c r="AE496" s="17"/>
      <c r="AF496" s="17"/>
      <c r="AG496" s="31"/>
      <c r="AH496" s="17"/>
      <c r="AI496" s="13"/>
      <c r="AJ496" s="13"/>
      <c r="AK496" s="13"/>
      <c r="AL496" s="13"/>
      <c r="AM496" s="13"/>
      <c r="AN496" s="13"/>
      <c r="AO496" s="13"/>
    </row>
    <row r="497" spans="1:41" ht="19.899999999999999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7"/>
      <c r="M497" s="33">
        <v>16</v>
      </c>
      <c r="N497" s="1199">
        <f t="shared" si="29"/>
        <v>0</v>
      </c>
      <c r="O497" s="1200">
        <f t="shared" si="31"/>
        <v>1.577536</v>
      </c>
      <c r="P497" s="1201">
        <f t="shared" si="30"/>
        <v>0</v>
      </c>
      <c r="Q497" s="32"/>
      <c r="R497" s="1203"/>
      <c r="S497" s="30"/>
      <c r="T497" s="1153"/>
      <c r="U497" s="1154" t="s">
        <v>421</v>
      </c>
      <c r="V497" s="1074">
        <f>+AF472</f>
        <v>12</v>
      </c>
      <c r="W497" s="1190">
        <f>+AF476</f>
        <v>0</v>
      </c>
      <c r="X497" s="1150">
        <f>+(AF474+AF475)*2</f>
        <v>0</v>
      </c>
      <c r="Y497" s="1156">
        <f t="shared" si="28"/>
        <v>0</v>
      </c>
      <c r="Z497" s="17"/>
      <c r="AA497" s="17"/>
      <c r="AB497" s="1185" t="s">
        <v>380</v>
      </c>
      <c r="AC497" s="1177"/>
      <c r="AD497" s="17"/>
      <c r="AE497" s="17"/>
      <c r="AF497" s="17"/>
      <c r="AG497" s="31"/>
      <c r="AH497" s="17"/>
      <c r="AI497" s="13"/>
      <c r="AJ497" s="13"/>
      <c r="AK497" s="13"/>
      <c r="AL497" s="13"/>
      <c r="AM497" s="13"/>
      <c r="AN497" s="13"/>
      <c r="AO497" s="13"/>
    </row>
    <row r="498" spans="1:41" ht="19.899999999999999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7"/>
      <c r="M498" s="60">
        <v>14</v>
      </c>
      <c r="N498" s="1199">
        <f t="shared" si="29"/>
        <v>0</v>
      </c>
      <c r="O498" s="1200">
        <f t="shared" si="31"/>
        <v>1.2078010000000001</v>
      </c>
      <c r="P498" s="1201">
        <f t="shared" si="30"/>
        <v>0</v>
      </c>
      <c r="Q498" s="35"/>
      <c r="R498" s="1203"/>
      <c r="S498" s="30"/>
      <c r="T498" s="1153"/>
      <c r="U498" s="1154">
        <v>7</v>
      </c>
      <c r="V498" s="1074">
        <f>+X472</f>
        <v>12</v>
      </c>
      <c r="W498" s="1155">
        <f>+X476</f>
        <v>4.3499999999999996</v>
      </c>
      <c r="X498" s="1150">
        <f>+X474*4</f>
        <v>20</v>
      </c>
      <c r="Y498" s="1156">
        <f t="shared" si="28"/>
        <v>87</v>
      </c>
      <c r="Z498" s="30"/>
      <c r="AA498" s="30"/>
      <c r="AB498" s="1176" t="s">
        <v>391</v>
      </c>
      <c r="AC498" s="1177"/>
      <c r="AD498" s="17"/>
      <c r="AE498" s="17"/>
      <c r="AF498" s="17"/>
      <c r="AG498" s="31"/>
      <c r="AH498" s="17"/>
      <c r="AI498" s="13"/>
      <c r="AJ498" s="13"/>
      <c r="AK498" s="13"/>
      <c r="AL498" s="13"/>
      <c r="AM498" s="13"/>
      <c r="AN498" s="13"/>
      <c r="AO498" s="13"/>
    </row>
    <row r="499" spans="1:41" ht="19.899999999999999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7"/>
      <c r="M499" s="60">
        <v>12</v>
      </c>
      <c r="N499" s="1199">
        <f t="shared" si="29"/>
        <v>2213.7999999999997</v>
      </c>
      <c r="O499" s="1200">
        <f t="shared" si="31"/>
        <v>0.88736400000000004</v>
      </c>
      <c r="P499" s="1201">
        <f t="shared" si="30"/>
        <v>1964.45</v>
      </c>
      <c r="Q499" s="35"/>
      <c r="R499" s="17"/>
      <c r="S499" s="30"/>
      <c r="T499" s="1153"/>
      <c r="U499" s="1154">
        <v>8</v>
      </c>
      <c r="V499" s="1074">
        <v>10</v>
      </c>
      <c r="W499" s="1155">
        <f>+O462-2*O468-2*S472/1000+0.1</f>
        <v>0.27600000000000002</v>
      </c>
      <c r="X499" s="1150">
        <f>+ROUND(S474/2-0.5,0)*ROUND(V474/2-0.5,0)*4+ROUND(S474/2-0.5,0)*ROUND(W474/2-0.5,0)*4+ROUND(T474/2-0.5,0)*ROUND(V474/2-0.5,0)*4+ROUND(T474/2-0.5,0)*ROUND(W474/2-0.5,0)*4+ROUND(U474/2-0.5,0)*(ROUND(V474/2-0.5,0)+ROUND(W474/2-0.5,0))*2+ROUND(X474/2-0.5,0)*(ROUND(S474/2-0.5,0)+ROUND(T474/2-0.5,0))*2</f>
        <v>612</v>
      </c>
      <c r="Y499" s="1156">
        <f t="shared" si="28"/>
        <v>168.91200000000001</v>
      </c>
      <c r="Z499" s="30">
        <f>+O462-2*O468-2*S472/1000</f>
        <v>0.17599999999999999</v>
      </c>
      <c r="AA499" s="30"/>
      <c r="AB499" s="1176" t="s">
        <v>392</v>
      </c>
      <c r="AC499" s="1177"/>
      <c r="AD499" s="17"/>
      <c r="AE499" s="17"/>
      <c r="AF499" s="17"/>
      <c r="AG499" s="31"/>
      <c r="AH499" s="17"/>
      <c r="AI499" s="13"/>
      <c r="AJ499" s="13"/>
      <c r="AK499" s="13"/>
      <c r="AL499" s="13"/>
      <c r="AM499" s="13"/>
      <c r="AN499" s="13"/>
      <c r="AO499" s="13"/>
    </row>
    <row r="500" spans="1:41" ht="19.899999999999999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7"/>
      <c r="M500" s="60">
        <v>10</v>
      </c>
      <c r="N500" s="1199" t="e">
        <f t="shared" si="29"/>
        <v>#VALUE!</v>
      </c>
      <c r="O500" s="1200">
        <f t="shared" si="31"/>
        <v>0.61622500000000002</v>
      </c>
      <c r="P500" s="1201" t="e">
        <f t="shared" si="30"/>
        <v>#VALUE!</v>
      </c>
      <c r="Q500" s="35"/>
      <c r="R500" s="1204"/>
      <c r="S500" s="30"/>
      <c r="T500" s="1153"/>
      <c r="U500" s="1154">
        <v>9</v>
      </c>
      <c r="V500" s="1205">
        <v>8</v>
      </c>
      <c r="W500" s="1155">
        <f>+(O466-2*O468+0.02)*2+(O463-2*O468+0.02)*2+0.06*2</f>
        <v>2.6</v>
      </c>
      <c r="X500" s="1206">
        <f>+S468+4</f>
        <v>140</v>
      </c>
      <c r="Y500" s="1156">
        <f t="shared" si="28"/>
        <v>364</v>
      </c>
      <c r="Z500" s="30">
        <f>+(O466-2*O468+0.02)</f>
        <v>0.37</v>
      </c>
      <c r="AA500" s="30">
        <f>+(O463-2*O468+0.02)</f>
        <v>0.87</v>
      </c>
      <c r="AB500" s="1176" t="s">
        <v>393</v>
      </c>
      <c r="AC500" s="1177"/>
      <c r="AD500" s="17"/>
      <c r="AE500" s="17"/>
      <c r="AF500" s="17"/>
      <c r="AG500" s="31"/>
      <c r="AH500" s="17"/>
      <c r="AI500" s="13"/>
      <c r="AJ500" s="13"/>
      <c r="AK500" s="13"/>
      <c r="AL500" s="13"/>
      <c r="AM500" s="13"/>
      <c r="AN500" s="13"/>
      <c r="AO500" s="13"/>
    </row>
    <row r="501" spans="1:41" ht="19.899999999999999" customHeight="1" thickBo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7"/>
      <c r="M501" s="61">
        <v>8</v>
      </c>
      <c r="N501" s="1207">
        <f t="shared" si="29"/>
        <v>659.84</v>
      </c>
      <c r="O501" s="1208">
        <f t="shared" si="31"/>
        <v>0.39438400000000001</v>
      </c>
      <c r="P501" s="1209">
        <f t="shared" si="30"/>
        <v>260.23</v>
      </c>
      <c r="Q501" s="1210"/>
      <c r="R501" s="17"/>
      <c r="S501" s="30"/>
      <c r="T501" s="1153"/>
      <c r="U501" s="1154" t="s">
        <v>394</v>
      </c>
      <c r="V501" s="1205">
        <v>8</v>
      </c>
      <c r="W501" s="1155">
        <f>+AA501*2+Z501*2+0.12</f>
        <v>1.8599999999999999</v>
      </c>
      <c r="X501" s="1206">
        <v>0</v>
      </c>
      <c r="Y501" s="1156">
        <f t="shared" si="28"/>
        <v>0</v>
      </c>
      <c r="Z501" s="1211">
        <v>0</v>
      </c>
      <c r="AA501" s="30">
        <f>+(O463-2*O468+0.02)</f>
        <v>0.87</v>
      </c>
      <c r="AB501" s="1176" t="s">
        <v>395</v>
      </c>
      <c r="AC501" s="1177"/>
      <c r="AD501" s="17"/>
      <c r="AE501" s="17"/>
      <c r="AF501" s="17"/>
      <c r="AG501" s="31"/>
      <c r="AH501" s="17"/>
      <c r="AI501" s="13"/>
      <c r="AJ501" s="13"/>
      <c r="AK501" s="13"/>
      <c r="AL501" s="13"/>
      <c r="AM501" s="13"/>
      <c r="AN501" s="13"/>
      <c r="AO501" s="13"/>
    </row>
    <row r="502" spans="1:41" ht="19.899999999999999" customHeight="1" thickBo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7"/>
      <c r="M502" s="71"/>
      <c r="N502" s="1212"/>
      <c r="O502" s="1212"/>
      <c r="P502" s="1060"/>
      <c r="Q502" s="1213"/>
      <c r="R502" s="17"/>
      <c r="S502" s="30"/>
      <c r="T502" s="1153"/>
      <c r="U502" s="1154" t="s">
        <v>396</v>
      </c>
      <c r="V502" s="1205">
        <v>8</v>
      </c>
      <c r="W502" s="1155">
        <f>+Z502+0.12</f>
        <v>0.12</v>
      </c>
      <c r="X502" s="1206">
        <f>+X501*2</f>
        <v>0</v>
      </c>
      <c r="Y502" s="1156">
        <f t="shared" si="28"/>
        <v>0</v>
      </c>
      <c r="Z502" s="1211">
        <v>0</v>
      </c>
      <c r="AA502" s="30"/>
      <c r="AB502" s="1176" t="s">
        <v>397</v>
      </c>
      <c r="AC502" s="1177"/>
      <c r="AD502" s="17"/>
      <c r="AE502" s="17"/>
      <c r="AF502" s="17"/>
      <c r="AG502" s="31"/>
      <c r="AH502" s="17"/>
      <c r="AI502" s="13"/>
      <c r="AJ502" s="13"/>
      <c r="AK502" s="13"/>
      <c r="AL502" s="13"/>
      <c r="AM502" s="13"/>
      <c r="AN502" s="13"/>
      <c r="AO502" s="13"/>
    </row>
    <row r="503" spans="1:41" ht="19.899999999999999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7"/>
      <c r="M503" s="65"/>
      <c r="N503" s="17"/>
      <c r="O503" s="17"/>
      <c r="P503" s="1214"/>
      <c r="Q503" s="17"/>
      <c r="R503" s="17"/>
      <c r="S503" s="30"/>
      <c r="T503" s="1153"/>
      <c r="U503" s="1154">
        <v>10</v>
      </c>
      <c r="V503" s="1215">
        <v>8</v>
      </c>
      <c r="W503" s="1155">
        <f>+(O465-2*O468+0.02)*4+0.06*2</f>
        <v>2.4</v>
      </c>
      <c r="X503" s="1216">
        <f>+(ROUND((O464-0.175)/0.25-0.5,0)+2)*4</f>
        <v>60</v>
      </c>
      <c r="Y503" s="1156">
        <f t="shared" si="28"/>
        <v>144</v>
      </c>
      <c r="Z503" s="30">
        <f>+O465-2*O468+0.02</f>
        <v>0.56999999999999995</v>
      </c>
      <c r="AA503" s="30"/>
      <c r="AB503" s="17"/>
      <c r="AC503" s="17"/>
      <c r="AD503" s="17"/>
      <c r="AE503" s="17"/>
      <c r="AF503" s="17"/>
      <c r="AG503" s="31"/>
      <c r="AH503" s="17"/>
      <c r="AI503" s="13"/>
      <c r="AJ503" s="13"/>
      <c r="AK503" s="13"/>
      <c r="AL503" s="13"/>
      <c r="AM503" s="13"/>
      <c r="AN503" s="13"/>
      <c r="AO503" s="13"/>
    </row>
    <row r="504" spans="1:41" ht="19.899999999999999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7"/>
      <c r="M504" s="65"/>
      <c r="N504" s="17"/>
      <c r="O504" s="17"/>
      <c r="P504" s="1214"/>
      <c r="Q504" s="17"/>
      <c r="R504" s="17"/>
      <c r="S504" s="17"/>
      <c r="T504" s="1153"/>
      <c r="U504" s="1154">
        <v>11</v>
      </c>
      <c r="V504" s="1215">
        <v>8</v>
      </c>
      <c r="W504" s="1155">
        <f>Z504*4+AA504*4+0.06*2</f>
        <v>2.92</v>
      </c>
      <c r="X504" s="1150">
        <f>+X503-4*2</f>
        <v>52</v>
      </c>
      <c r="Y504" s="1156">
        <f t="shared" si="28"/>
        <v>151.84</v>
      </c>
      <c r="Z504" s="1217">
        <v>0.7</v>
      </c>
      <c r="AA504" s="1217">
        <v>0</v>
      </c>
      <c r="AB504" s="17"/>
      <c r="AC504" s="17"/>
      <c r="AD504" s="17"/>
      <c r="AE504" s="17"/>
      <c r="AF504" s="17"/>
      <c r="AG504" s="31"/>
      <c r="AH504" s="17"/>
      <c r="AI504" s="13"/>
      <c r="AJ504" s="13"/>
      <c r="AK504" s="13"/>
      <c r="AL504" s="13"/>
      <c r="AM504" s="13"/>
      <c r="AN504" s="13"/>
      <c r="AO504" s="13"/>
    </row>
    <row r="505" spans="1:41" ht="19.899999999999999" customHeight="1" thickBo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7"/>
      <c r="M505" s="65"/>
      <c r="N505" s="17"/>
      <c r="O505" s="17"/>
      <c r="P505" s="17"/>
      <c r="Q505" s="17"/>
      <c r="R505" s="17"/>
      <c r="S505" s="17"/>
      <c r="T505" s="1218"/>
      <c r="U505" s="1219">
        <v>12</v>
      </c>
      <c r="V505" s="1220">
        <v>10</v>
      </c>
      <c r="W505" s="1221">
        <f>+O465+0.04</f>
        <v>0.74</v>
      </c>
      <c r="X505" s="1222" t="e">
        <f>+R469*4</f>
        <v>#VALUE!</v>
      </c>
      <c r="Y505" s="1223" t="e">
        <f t="shared" si="28"/>
        <v>#VALUE!</v>
      </c>
      <c r="Z505" s="1148"/>
      <c r="AA505" s="1148"/>
      <c r="AB505" s="30"/>
      <c r="AC505" s="30"/>
      <c r="AD505" s="17"/>
      <c r="AE505" s="17"/>
      <c r="AF505" s="17"/>
      <c r="AG505" s="31"/>
      <c r="AH505" s="17"/>
      <c r="AI505" s="13"/>
      <c r="AJ505" s="13"/>
      <c r="AK505" s="13"/>
      <c r="AL505" s="13"/>
      <c r="AM505" s="13"/>
      <c r="AN505" s="13"/>
      <c r="AO505" s="13"/>
    </row>
    <row r="506" spans="1:41" ht="19.899999999999999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7"/>
      <c r="M506" s="65"/>
      <c r="N506" s="17"/>
      <c r="O506" s="17"/>
      <c r="P506" s="17"/>
      <c r="Q506" s="17"/>
      <c r="R506" s="17"/>
      <c r="S506" s="17"/>
      <c r="T506" s="1141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31"/>
      <c r="AH506" s="17"/>
      <c r="AI506" s="13"/>
      <c r="AJ506" s="13"/>
      <c r="AK506" s="13"/>
      <c r="AL506" s="13"/>
      <c r="AM506" s="13"/>
      <c r="AN506" s="13"/>
      <c r="AO506" s="13"/>
    </row>
    <row r="507" spans="1:41" ht="19.899999999999999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7"/>
      <c r="M507" s="71"/>
      <c r="N507" s="1148"/>
      <c r="O507" s="1212"/>
      <c r="P507" s="1060"/>
      <c r="Q507" s="30"/>
      <c r="R507" s="17"/>
      <c r="S507" s="30"/>
      <c r="T507" s="1141"/>
      <c r="U507" s="17"/>
      <c r="V507" s="17"/>
      <c r="W507" s="17"/>
      <c r="X507" s="17"/>
      <c r="Y507" s="17"/>
      <c r="Z507" s="17"/>
      <c r="AA507" s="17"/>
      <c r="AB507" s="17"/>
      <c r="AC507" s="17"/>
      <c r="AD507" s="30"/>
      <c r="AE507" s="30"/>
      <c r="AF507" s="17"/>
      <c r="AG507" s="31"/>
      <c r="AH507" s="17"/>
      <c r="AI507" s="13"/>
      <c r="AJ507" s="13"/>
      <c r="AK507" s="13"/>
      <c r="AL507" s="13"/>
      <c r="AM507" s="13"/>
      <c r="AN507" s="13"/>
      <c r="AO507" s="13"/>
    </row>
    <row r="508" spans="1:41" ht="19.899999999999999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7"/>
      <c r="M508" s="65"/>
      <c r="N508" s="17"/>
      <c r="O508" s="17"/>
      <c r="P508" s="17"/>
      <c r="Q508" s="17"/>
      <c r="R508" s="17"/>
      <c r="S508" s="30"/>
      <c r="T508" s="1141"/>
      <c r="U508" s="17"/>
      <c r="V508" s="17"/>
      <c r="W508" s="17"/>
      <c r="X508" s="17"/>
      <c r="Y508" s="17"/>
      <c r="Z508" s="17"/>
      <c r="AA508" s="17"/>
      <c r="AB508" s="17"/>
      <c r="AC508" s="17"/>
      <c r="AD508" s="30"/>
      <c r="AE508" s="30"/>
      <c r="AF508" s="17"/>
      <c r="AG508" s="31"/>
      <c r="AH508" s="17"/>
      <c r="AI508" s="13"/>
      <c r="AJ508" s="13"/>
      <c r="AK508" s="13"/>
      <c r="AL508" s="13"/>
      <c r="AM508" s="13"/>
      <c r="AN508" s="13"/>
      <c r="AO508" s="13"/>
    </row>
    <row r="509" spans="1:41" ht="19.899999999999999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7"/>
      <c r="M509" s="65"/>
      <c r="N509" s="17"/>
      <c r="O509" s="17"/>
      <c r="P509" s="17"/>
      <c r="Q509" s="17"/>
      <c r="R509" s="17"/>
      <c r="S509" s="30"/>
      <c r="T509" s="17"/>
      <c r="U509" s="17"/>
      <c r="V509" s="17"/>
      <c r="W509" s="17"/>
      <c r="X509" s="17"/>
      <c r="Y509" s="17"/>
      <c r="Z509" s="17"/>
      <c r="AA509" s="17"/>
      <c r="AB509" s="30"/>
      <c r="AC509" s="30"/>
      <c r="AD509" s="30"/>
      <c r="AE509" s="30"/>
      <c r="AF509" s="17"/>
      <c r="AG509" s="31"/>
      <c r="AH509" s="17"/>
      <c r="AI509" s="13"/>
      <c r="AJ509" s="13"/>
      <c r="AK509" s="13"/>
      <c r="AL509" s="13"/>
      <c r="AM509" s="13"/>
      <c r="AN509" s="13"/>
      <c r="AO509" s="13"/>
    </row>
    <row r="510" spans="1:41" ht="19.899999999999999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7"/>
      <c r="M510" s="72" t="s">
        <v>398</v>
      </c>
      <c r="N510" s="1224">
        <v>1</v>
      </c>
      <c r="O510" s="1224">
        <v>2.5</v>
      </c>
      <c r="P510" s="1225">
        <f>+O464-O462</f>
        <v>3.15</v>
      </c>
      <c r="Q510" s="1108"/>
      <c r="R510" s="1108"/>
      <c r="S510" s="1108">
        <f>+(N510*N510+O510*O510+(N510+O510)*(N510+O510))*P510/6*4</f>
        <v>40.949999999999996</v>
      </c>
      <c r="T510" s="1141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17"/>
      <c r="AG510" s="31"/>
      <c r="AH510" s="17"/>
      <c r="AI510" s="13"/>
      <c r="AJ510" s="13"/>
      <c r="AK510" s="13"/>
      <c r="AL510" s="13"/>
      <c r="AM510" s="13"/>
      <c r="AN510" s="13"/>
      <c r="AO510" s="13"/>
    </row>
    <row r="511" spans="1:41" ht="19.899999999999999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7"/>
      <c r="M511" s="51" t="s">
        <v>399</v>
      </c>
      <c r="N511" s="1151"/>
      <c r="O511" s="1151"/>
      <c r="P511" s="1151"/>
      <c r="Q511" s="1151"/>
      <c r="R511" s="1151"/>
      <c r="S511" s="1226">
        <f>+S480</f>
        <v>41.65</v>
      </c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17"/>
      <c r="AG511" s="31"/>
      <c r="AH511" s="17"/>
      <c r="AI511" s="13"/>
      <c r="AJ511" s="13"/>
      <c r="AK511" s="13"/>
      <c r="AL511" s="13"/>
      <c r="AM511" s="13"/>
      <c r="AN511" s="13"/>
      <c r="AO511" s="13"/>
    </row>
    <row r="512" spans="1:41" ht="19.899999999999999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7"/>
      <c r="M512" s="73" t="s">
        <v>400</v>
      </c>
      <c r="N512" s="1227">
        <f>+N481</f>
        <v>0.5</v>
      </c>
      <c r="O512" s="1228">
        <f>+O481</f>
        <v>0.65</v>
      </c>
      <c r="P512" s="1228">
        <f>+P481</f>
        <v>10</v>
      </c>
      <c r="Q512" s="1228">
        <f>+Q481</f>
        <v>12</v>
      </c>
      <c r="R512" s="1229">
        <v>0.35699999999999998</v>
      </c>
      <c r="S512" s="1230">
        <f>+(N512*O512*(P512-2*O510)+N512*O512*(Q512-2*O510))*2</f>
        <v>7.8</v>
      </c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17"/>
      <c r="AG512" s="31"/>
      <c r="AH512" s="17"/>
      <c r="AI512" s="13"/>
      <c r="AJ512" s="13"/>
      <c r="AK512" s="13"/>
      <c r="AL512" s="13"/>
      <c r="AM512" s="13"/>
      <c r="AN512" s="13"/>
      <c r="AO512" s="13"/>
    </row>
    <row r="513" spans="1:41" ht="19.899999999999999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7"/>
      <c r="M513" s="74"/>
      <c r="N513" s="1112"/>
      <c r="O513" s="1112"/>
      <c r="P513" s="1112"/>
      <c r="Q513" s="1112"/>
      <c r="R513" s="1112"/>
      <c r="S513" s="1112">
        <f>+R512*O512/2*0.6*8</f>
        <v>0.55691999999999997</v>
      </c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31"/>
      <c r="AH513" s="17"/>
      <c r="AI513" s="13"/>
      <c r="AJ513" s="13"/>
      <c r="AK513" s="13"/>
      <c r="AL513" s="13"/>
      <c r="AM513" s="13"/>
      <c r="AN513" s="13"/>
      <c r="AO513" s="13"/>
    </row>
    <row r="514" spans="1:41" ht="19.899999999999999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7"/>
      <c r="M514" s="65"/>
      <c r="N514" s="17"/>
      <c r="O514" s="17"/>
      <c r="P514" s="17"/>
      <c r="Q514" s="17"/>
      <c r="R514" s="17" t="s">
        <v>401</v>
      </c>
      <c r="S514" s="1177">
        <f>+SUM(S510:S513)</f>
        <v>90.956919999999997</v>
      </c>
      <c r="T514" s="17"/>
      <c r="U514" s="17">
        <f>72*S514</f>
        <v>6548.8982399999995</v>
      </c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31"/>
      <c r="AH514" s="17"/>
      <c r="AI514" s="13"/>
      <c r="AJ514" s="13"/>
      <c r="AK514" s="13"/>
      <c r="AL514" s="13"/>
      <c r="AM514" s="13"/>
      <c r="AN514" s="13"/>
      <c r="AO514" s="13"/>
    </row>
    <row r="515" spans="1:41" ht="19.899999999999999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7"/>
      <c r="M515" s="65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31"/>
      <c r="AH515" s="17"/>
      <c r="AI515" s="13"/>
      <c r="AJ515" s="13"/>
      <c r="AK515" s="13"/>
      <c r="AL515" s="13"/>
      <c r="AM515" s="13"/>
      <c r="AN515" s="13"/>
      <c r="AO515" s="13"/>
    </row>
    <row r="516" spans="1:41" ht="19.899999999999999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7"/>
      <c r="M516" s="75" t="s">
        <v>402</v>
      </c>
      <c r="N516" s="30"/>
      <c r="O516" s="30"/>
      <c r="P516" s="30"/>
      <c r="Q516" s="30"/>
      <c r="R516" s="30"/>
      <c r="S516" s="30"/>
      <c r="T516" s="30"/>
      <c r="U516" s="30"/>
      <c r="V516" s="30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31"/>
      <c r="AH516" s="17"/>
      <c r="AI516" s="13"/>
      <c r="AJ516" s="13"/>
      <c r="AK516" s="13"/>
      <c r="AL516" s="13"/>
      <c r="AM516" s="13"/>
      <c r="AN516" s="13"/>
      <c r="AO516" s="13"/>
    </row>
    <row r="517" spans="1:41" ht="19.899999999999999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7"/>
      <c r="M517" s="76"/>
      <c r="N517" s="1231" t="s">
        <v>346</v>
      </c>
      <c r="O517" s="1231" t="s">
        <v>40</v>
      </c>
      <c r="P517" s="1231" t="s">
        <v>345</v>
      </c>
      <c r="Q517" s="1231" t="s">
        <v>346</v>
      </c>
      <c r="R517" s="1231" t="s">
        <v>347</v>
      </c>
      <c r="S517" s="1231" t="s">
        <v>348</v>
      </c>
      <c r="T517" s="1231" t="s">
        <v>349</v>
      </c>
      <c r="U517" s="1231" t="s">
        <v>403</v>
      </c>
      <c r="V517" s="1231" t="s">
        <v>404</v>
      </c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31"/>
      <c r="AH517" s="17"/>
      <c r="AI517" s="13"/>
      <c r="AJ517" s="13"/>
      <c r="AK517" s="13"/>
      <c r="AL517" s="13"/>
      <c r="AM517" s="13"/>
      <c r="AN517" s="13"/>
      <c r="AO517" s="13"/>
    </row>
    <row r="518" spans="1:41" ht="19.899999999999999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7"/>
      <c r="M518" s="76" t="s">
        <v>405</v>
      </c>
      <c r="N518" s="1232">
        <v>6.4</v>
      </c>
      <c r="O518" s="1232">
        <v>6.8</v>
      </c>
      <c r="P518" s="1233">
        <f>+N518+U518*2</f>
        <v>7</v>
      </c>
      <c r="Q518" s="1233">
        <f>+O518+U518*2</f>
        <v>7.3999999999999995</v>
      </c>
      <c r="R518" s="1233">
        <f>+P518+T518*2</f>
        <v>9.1999999999999993</v>
      </c>
      <c r="S518" s="1233">
        <f>+Q518+T518*2</f>
        <v>9.6</v>
      </c>
      <c r="T518" s="1232">
        <v>1.1000000000000001</v>
      </c>
      <c r="U518" s="1232">
        <v>0.3</v>
      </c>
      <c r="V518" s="1234">
        <f>+(P518*Q518+(P518+N518)*(Q518+O518)+N518*O518)*T518/6</f>
        <v>52.359999999999992</v>
      </c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31"/>
      <c r="AH518" s="17"/>
      <c r="AI518" s="13"/>
      <c r="AJ518" s="13"/>
      <c r="AK518" s="13"/>
      <c r="AL518" s="13"/>
      <c r="AM518" s="13"/>
      <c r="AN518" s="13"/>
      <c r="AO518" s="13"/>
    </row>
    <row r="519" spans="1:41" ht="19.899999999999999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7"/>
      <c r="M519" s="76" t="s">
        <v>406</v>
      </c>
      <c r="N519" s="1232">
        <v>6.4</v>
      </c>
      <c r="O519" s="1232">
        <v>7</v>
      </c>
      <c r="P519" s="1233">
        <f>+N519+U519*2</f>
        <v>7.4</v>
      </c>
      <c r="Q519" s="1233">
        <f>+O519+U519*2</f>
        <v>8</v>
      </c>
      <c r="R519" s="1233">
        <f>+P519+T519*2</f>
        <v>10.600000000000001</v>
      </c>
      <c r="S519" s="1233">
        <f>+Q519+T519*2</f>
        <v>11.2</v>
      </c>
      <c r="T519" s="1232">
        <f>1.1+U519</f>
        <v>1.6</v>
      </c>
      <c r="U519" s="1232">
        <v>0.5</v>
      </c>
      <c r="V519" s="1234">
        <f>+(P519*Q519+(P519+N519)*(Q519+O519)+N519*O519)*T519/6</f>
        <v>82.933333333333337</v>
      </c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31"/>
      <c r="AH519" s="17"/>
      <c r="AI519" s="13"/>
      <c r="AJ519" s="13"/>
      <c r="AK519" s="13"/>
      <c r="AL519" s="13"/>
      <c r="AM519" s="13"/>
      <c r="AN519" s="13"/>
      <c r="AO519" s="13"/>
    </row>
    <row r="520" spans="1:41" ht="19.899999999999999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7"/>
      <c r="M520" s="75" t="s">
        <v>407</v>
      </c>
      <c r="N520" s="30"/>
      <c r="O520" s="30"/>
      <c r="P520" s="30"/>
      <c r="Q520" s="30"/>
      <c r="R520" s="30"/>
      <c r="S520" s="30"/>
      <c r="T520" s="30"/>
      <c r="U520" s="30"/>
      <c r="V520" s="30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31"/>
      <c r="AH520" s="17"/>
      <c r="AI520" s="13"/>
      <c r="AJ520" s="13"/>
      <c r="AK520" s="13"/>
      <c r="AL520" s="13"/>
      <c r="AM520" s="13"/>
      <c r="AN520" s="13"/>
      <c r="AO520" s="13"/>
    </row>
    <row r="521" spans="1:41" ht="19.899999999999999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7"/>
      <c r="M521" s="76"/>
      <c r="N521" s="1231" t="s">
        <v>408</v>
      </c>
      <c r="O521" s="1231" t="s">
        <v>346</v>
      </c>
      <c r="P521" s="1231" t="s">
        <v>40</v>
      </c>
      <c r="Q521" s="1231" t="s">
        <v>403</v>
      </c>
      <c r="R521" s="1099" t="s">
        <v>409</v>
      </c>
      <c r="S521" s="1231" t="s">
        <v>410</v>
      </c>
      <c r="T521" s="1231"/>
      <c r="U521" s="1231"/>
      <c r="V521" s="1231" t="s">
        <v>411</v>
      </c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31"/>
      <c r="AH521" s="17"/>
      <c r="AI521" s="13"/>
      <c r="AJ521" s="13"/>
      <c r="AK521" s="13"/>
      <c r="AL521" s="13"/>
      <c r="AM521" s="13"/>
      <c r="AN521" s="13"/>
      <c r="AO521" s="13"/>
    </row>
    <row r="522" spans="1:41" ht="19.899999999999999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7"/>
      <c r="M522" s="76"/>
      <c r="N522" s="1232">
        <v>0.9</v>
      </c>
      <c r="O522" s="1232">
        <v>6.4</v>
      </c>
      <c r="P522" s="1232">
        <v>6.8</v>
      </c>
      <c r="Q522" s="1232">
        <f>1+0.5/2</f>
        <v>1.25</v>
      </c>
      <c r="R522" s="1233">
        <f>+O522+Q522*2</f>
        <v>8.9</v>
      </c>
      <c r="S522" s="1233">
        <f>+Q522*2+P522</f>
        <v>9.3000000000000007</v>
      </c>
      <c r="T522" s="1233"/>
      <c r="U522" s="1233"/>
      <c r="V522" s="1234">
        <f>+(S522*2+R522*2)*N522</f>
        <v>32.760000000000005</v>
      </c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31"/>
      <c r="AH522" s="17"/>
      <c r="AI522" s="13"/>
      <c r="AJ522" s="13"/>
      <c r="AK522" s="13"/>
      <c r="AL522" s="13"/>
      <c r="AM522" s="13"/>
      <c r="AN522" s="13"/>
      <c r="AO522" s="13"/>
    </row>
    <row r="523" spans="1:41" ht="19.899999999999999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7"/>
      <c r="M523" s="75" t="s">
        <v>412</v>
      </c>
      <c r="N523" s="30"/>
      <c r="O523" s="30"/>
      <c r="P523" s="30"/>
      <c r="Q523" s="30"/>
      <c r="R523" s="30"/>
      <c r="S523" s="30"/>
      <c r="T523" s="30"/>
      <c r="U523" s="30"/>
      <c r="V523" s="30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31"/>
      <c r="AH523" s="17"/>
      <c r="AI523" s="13"/>
      <c r="AJ523" s="13"/>
      <c r="AK523" s="13"/>
      <c r="AL523" s="13"/>
      <c r="AM523" s="13"/>
      <c r="AN523" s="13"/>
      <c r="AO523" s="13"/>
    </row>
    <row r="524" spans="1:41" ht="19.899999999999999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7"/>
      <c r="M524" s="76"/>
      <c r="N524" s="1231" t="s">
        <v>404</v>
      </c>
      <c r="O524" s="1231" t="s">
        <v>413</v>
      </c>
      <c r="P524" s="1231" t="s">
        <v>346</v>
      </c>
      <c r="Q524" s="1231" t="s">
        <v>40</v>
      </c>
      <c r="R524" s="1231" t="s">
        <v>409</v>
      </c>
      <c r="S524" s="1231" t="s">
        <v>410</v>
      </c>
      <c r="T524" s="1231" t="s">
        <v>349</v>
      </c>
      <c r="U524" s="1231"/>
      <c r="V524" s="1231" t="s">
        <v>414</v>
      </c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31"/>
      <c r="AH524" s="17"/>
      <c r="AI524" s="13"/>
      <c r="AJ524" s="13"/>
      <c r="AK524" s="13"/>
      <c r="AL524" s="13"/>
      <c r="AM524" s="13"/>
      <c r="AN524" s="13"/>
      <c r="AO524" s="13"/>
    </row>
    <row r="525" spans="1:41" ht="19.899999999999999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7"/>
      <c r="M525" s="76"/>
      <c r="N525" s="1232">
        <f>+V518</f>
        <v>52.359999999999992</v>
      </c>
      <c r="O525" s="1232">
        <v>18.25</v>
      </c>
      <c r="P525" s="1232">
        <v>6.4</v>
      </c>
      <c r="Q525" s="1232">
        <v>7</v>
      </c>
      <c r="R525" s="1233">
        <f>+P525+T525*2</f>
        <v>8.4</v>
      </c>
      <c r="S525" s="1233">
        <f>+Q525+T525*2</f>
        <v>9</v>
      </c>
      <c r="T525" s="1232">
        <v>1</v>
      </c>
      <c r="U525" s="1231"/>
      <c r="V525" s="1234">
        <f>+(P525*Q525+R525*S525+(P525+R525)*(Q525+S525))*T525/6+N525-O525+S483</f>
        <v>98.543333333333337</v>
      </c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31"/>
      <c r="AH525" s="17"/>
      <c r="AI525" s="13"/>
      <c r="AJ525" s="13"/>
      <c r="AK525" s="13"/>
      <c r="AL525" s="13"/>
      <c r="AM525" s="13"/>
      <c r="AN525" s="13"/>
      <c r="AO525" s="13"/>
    </row>
    <row r="526" spans="1:41" ht="19.899999999999999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7"/>
      <c r="M526" s="65"/>
      <c r="N526" s="17" t="s">
        <v>346</v>
      </c>
      <c r="O526" s="17" t="s">
        <v>40</v>
      </c>
      <c r="P526" s="17"/>
      <c r="Q526" s="17" t="s">
        <v>415</v>
      </c>
      <c r="R526" s="17" t="s">
        <v>416</v>
      </c>
      <c r="S526" s="17" t="s">
        <v>346</v>
      </c>
      <c r="T526" s="17" t="s">
        <v>40</v>
      </c>
      <c r="U526" s="17" t="s">
        <v>348</v>
      </c>
      <c r="V526" s="17" t="s">
        <v>417</v>
      </c>
      <c r="W526" s="17" t="s">
        <v>418</v>
      </c>
      <c r="X526" s="17"/>
      <c r="Y526" s="17"/>
      <c r="Z526" s="17"/>
      <c r="AA526" s="17"/>
      <c r="AB526" s="17"/>
      <c r="AC526" s="17"/>
      <c r="AD526" s="17"/>
      <c r="AE526" s="17"/>
      <c r="AF526" s="17"/>
      <c r="AG526" s="31"/>
      <c r="AH526" s="17"/>
      <c r="AI526" s="13"/>
      <c r="AJ526" s="13"/>
      <c r="AK526" s="13"/>
      <c r="AL526" s="13"/>
      <c r="AM526" s="13"/>
      <c r="AN526" s="13"/>
      <c r="AO526" s="13"/>
    </row>
    <row r="527" spans="1:41" ht="19.899999999999999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7"/>
      <c r="M527" s="65"/>
      <c r="N527" s="1235">
        <v>5.3</v>
      </c>
      <c r="O527" s="1235">
        <v>5</v>
      </c>
      <c r="P527" s="1235">
        <v>0.3</v>
      </c>
      <c r="Q527" s="1235">
        <v>0.25</v>
      </c>
      <c r="R527" s="1235">
        <v>3.6</v>
      </c>
      <c r="S527" s="17">
        <f>+N527+P527*2</f>
        <v>5.8999999999999995</v>
      </c>
      <c r="T527" s="17">
        <f>+O527+P527*2</f>
        <v>5.6</v>
      </c>
      <c r="U527" s="17">
        <f>+Q527*R527*2+S527</f>
        <v>7.6999999999999993</v>
      </c>
      <c r="V527" s="17">
        <f>+Q527*R527*2+T527</f>
        <v>7.3999999999999995</v>
      </c>
      <c r="W527" s="17">
        <f>+(U527*V527+S527*T527+(S527+U527)*(T527+V527))*R527/6</f>
        <v>160.09199999999996</v>
      </c>
      <c r="X527" s="17"/>
      <c r="Y527" s="17"/>
      <c r="Z527" s="17"/>
      <c r="AA527" s="17"/>
      <c r="AB527" s="17"/>
      <c r="AC527" s="17"/>
      <c r="AD527" s="17"/>
      <c r="AE527" s="17"/>
      <c r="AF527" s="17"/>
      <c r="AG527" s="31"/>
      <c r="AH527" s="17"/>
      <c r="AI527" s="13"/>
      <c r="AJ527" s="13"/>
      <c r="AK527" s="13"/>
      <c r="AL527" s="13"/>
      <c r="AM527" s="13"/>
      <c r="AN527" s="13"/>
      <c r="AO527" s="13"/>
    </row>
    <row r="528" spans="1:41" ht="19.899999999999999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7"/>
      <c r="M528" s="65"/>
      <c r="N528" s="17"/>
      <c r="O528" s="17"/>
      <c r="P528" s="17"/>
      <c r="Q528" s="17"/>
      <c r="R528" s="17"/>
      <c r="S528" s="17"/>
      <c r="T528" s="17"/>
      <c r="U528" s="17"/>
      <c r="V528" s="17"/>
      <c r="W528" s="17">
        <f>+W527*4</f>
        <v>640.36799999999982</v>
      </c>
      <c r="X528" s="17" t="s">
        <v>419</v>
      </c>
      <c r="Y528" s="17"/>
      <c r="Z528" s="17"/>
      <c r="AA528" s="17"/>
      <c r="AB528" s="17"/>
      <c r="AC528" s="17"/>
      <c r="AD528" s="17"/>
      <c r="AE528" s="17"/>
      <c r="AF528" s="17"/>
      <c r="AG528" s="31"/>
      <c r="AH528" s="17"/>
      <c r="AI528" s="13"/>
      <c r="AJ528" s="13"/>
      <c r="AK528" s="13"/>
      <c r="AL528" s="13"/>
      <c r="AM528" s="13"/>
      <c r="AN528" s="13"/>
      <c r="AO528" s="13"/>
    </row>
    <row r="529" spans="1:41" ht="19.899999999999999" customHeight="1" thickBo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7"/>
      <c r="M529" s="77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9"/>
      <c r="AH529" s="17"/>
      <c r="AI529" s="13"/>
      <c r="AJ529" s="13"/>
      <c r="AK529" s="13"/>
      <c r="AL529" s="13"/>
      <c r="AM529" s="13"/>
      <c r="AN529" s="13"/>
      <c r="AO529" s="13"/>
    </row>
    <row r="530" spans="1:41" ht="19.899999999999999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7"/>
      <c r="M530" s="25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3"/>
      <c r="AJ530" s="13"/>
      <c r="AK530" s="13"/>
      <c r="AL530" s="13"/>
      <c r="AM530" s="13"/>
      <c r="AN530" s="13"/>
      <c r="AO530" s="13"/>
    </row>
    <row r="531" spans="1:41" ht="19.899999999999999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7"/>
      <c r="M531" s="25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3"/>
      <c r="AJ531" s="13"/>
      <c r="AK531" s="13"/>
      <c r="AL531" s="13"/>
      <c r="AM531" s="13"/>
      <c r="AN531" s="13"/>
      <c r="AO531" s="13"/>
    </row>
    <row r="532" spans="1:41" ht="19.899999999999999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7"/>
      <c r="L532" s="25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3"/>
      <c r="AI532" s="13"/>
      <c r="AJ532" s="13"/>
      <c r="AK532" s="13"/>
      <c r="AL532" s="13"/>
      <c r="AM532" s="13"/>
      <c r="AN532" s="13"/>
      <c r="AO532" s="13"/>
    </row>
    <row r="533" spans="1:41" ht="19.899999999999999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7"/>
      <c r="L533" s="25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3"/>
      <c r="AI533" s="13"/>
      <c r="AJ533" s="13"/>
      <c r="AK533" s="13"/>
      <c r="AL533" s="13"/>
      <c r="AM533" s="13"/>
      <c r="AN533" s="13"/>
      <c r="AO533" s="13"/>
    </row>
    <row r="534" spans="1:41" ht="19.899999999999999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7"/>
      <c r="L534" s="25"/>
      <c r="M534" s="17"/>
      <c r="N534" s="17"/>
      <c r="O534" s="17"/>
      <c r="P534" s="17"/>
      <c r="Q534" s="17"/>
      <c r="R534" s="17"/>
      <c r="S534" s="17"/>
      <c r="T534" s="17"/>
      <c r="U534" s="17"/>
      <c r="V534" s="17"/>
    </row>
    <row r="535" spans="1:41" ht="19.899999999999999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7"/>
      <c r="L535" s="25"/>
      <c r="M535" s="17"/>
      <c r="N535" s="17"/>
      <c r="O535" s="17"/>
      <c r="P535" s="17"/>
      <c r="Q535" s="17"/>
      <c r="R535" s="17"/>
      <c r="S535" s="17"/>
      <c r="T535" s="17"/>
      <c r="U535" s="17"/>
      <c r="V535" s="17"/>
    </row>
    <row r="536" spans="1:41" ht="19.899999999999999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7"/>
      <c r="L536" s="25"/>
      <c r="M536" s="17"/>
      <c r="N536" s="17"/>
      <c r="O536" s="17"/>
      <c r="P536" s="17"/>
      <c r="Q536" s="17"/>
      <c r="R536" s="17"/>
      <c r="S536" s="17"/>
      <c r="T536" s="17"/>
      <c r="U536" s="17"/>
      <c r="V536" s="17"/>
    </row>
    <row r="537" spans="1:41" ht="19.899999999999999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7"/>
      <c r="L537" s="25"/>
      <c r="M537" s="17"/>
      <c r="N537" s="17"/>
      <c r="O537" s="17"/>
      <c r="P537" s="17"/>
      <c r="Q537" s="17"/>
      <c r="R537" s="17"/>
      <c r="S537" s="17"/>
      <c r="T537" s="17"/>
      <c r="U537" s="17"/>
      <c r="V537" s="17"/>
    </row>
    <row r="538" spans="1:41" ht="19.899999999999999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7"/>
      <c r="L538" s="25"/>
      <c r="M538" s="17"/>
      <c r="N538" s="17"/>
      <c r="O538" s="17"/>
      <c r="P538" s="17"/>
      <c r="Q538" s="17"/>
      <c r="R538" s="17"/>
      <c r="S538" s="17"/>
      <c r="T538" s="17"/>
      <c r="U538" s="17"/>
      <c r="V538" s="17"/>
    </row>
    <row r="539" spans="1:41" ht="19.899999999999999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7"/>
      <c r="L539" s="25"/>
      <c r="M539" s="17"/>
      <c r="N539" s="17"/>
      <c r="O539" s="17"/>
      <c r="P539" s="17"/>
      <c r="Q539" s="17"/>
      <c r="R539" s="17"/>
      <c r="S539" s="17"/>
      <c r="T539" s="17"/>
      <c r="U539" s="17"/>
      <c r="V539" s="17"/>
    </row>
    <row r="540" spans="1:41" ht="19.899999999999999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7"/>
      <c r="L540" s="25"/>
      <c r="M540" s="17"/>
      <c r="N540" s="17"/>
      <c r="O540" s="17"/>
      <c r="P540" s="17"/>
      <c r="Q540" s="17"/>
      <c r="R540" s="17"/>
      <c r="S540" s="17"/>
      <c r="T540" s="17"/>
      <c r="U540" s="17"/>
      <c r="V540" s="17"/>
    </row>
    <row r="541" spans="1:41" ht="19.899999999999999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7"/>
      <c r="L541" s="25"/>
      <c r="M541" s="17"/>
      <c r="N541" s="17"/>
      <c r="O541" s="17"/>
      <c r="P541" s="17"/>
      <c r="Q541" s="17"/>
      <c r="R541" s="17"/>
      <c r="S541" s="17"/>
      <c r="T541" s="17"/>
      <c r="U541" s="17"/>
      <c r="V541" s="17"/>
    </row>
    <row r="542" spans="1:41" ht="19.899999999999999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7"/>
      <c r="L542" s="25"/>
      <c r="M542" s="17"/>
      <c r="N542" s="17"/>
      <c r="O542" s="17"/>
      <c r="P542" s="17"/>
      <c r="Q542" s="17"/>
      <c r="R542" s="17"/>
      <c r="S542" s="17"/>
      <c r="T542" s="17"/>
      <c r="U542" s="17"/>
      <c r="V542" s="17"/>
    </row>
    <row r="543" spans="1:41" ht="19.899999999999999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7"/>
      <c r="L543" s="25"/>
      <c r="M543" s="17"/>
      <c r="N543" s="17"/>
      <c r="O543" s="17"/>
      <c r="P543" s="17"/>
      <c r="Q543" s="17"/>
      <c r="R543" s="17"/>
      <c r="S543" s="17"/>
      <c r="T543" s="17"/>
      <c r="U543" s="17"/>
      <c r="V543" s="17"/>
    </row>
    <row r="544" spans="1:41" ht="19.899999999999999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7"/>
      <c r="L544" s="25"/>
      <c r="M544" s="17"/>
      <c r="N544" s="17"/>
      <c r="O544" s="17"/>
      <c r="P544" s="17"/>
      <c r="Q544" s="17"/>
      <c r="R544" s="17"/>
      <c r="S544" s="17"/>
      <c r="T544" s="17"/>
      <c r="U544" s="17"/>
      <c r="V544" s="17"/>
    </row>
    <row r="545" spans="1:22" ht="19.899999999999999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7"/>
      <c r="L545" s="25"/>
      <c r="M545" s="17"/>
      <c r="N545" s="17"/>
      <c r="O545" s="17"/>
      <c r="P545" s="17"/>
      <c r="Q545" s="17"/>
      <c r="R545" s="17"/>
      <c r="S545" s="17"/>
      <c r="T545" s="17"/>
      <c r="U545" s="17"/>
      <c r="V545" s="17"/>
    </row>
    <row r="546" spans="1:22" ht="19.899999999999999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7"/>
      <c r="L546" s="25"/>
      <c r="M546" s="17"/>
      <c r="N546" s="17"/>
      <c r="O546" s="17"/>
      <c r="P546" s="17"/>
      <c r="Q546" s="17"/>
      <c r="R546" s="17"/>
      <c r="S546" s="17"/>
      <c r="T546" s="17"/>
      <c r="U546" s="17"/>
      <c r="V546" s="17"/>
    </row>
    <row r="547" spans="1:22" ht="19.899999999999999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7"/>
      <c r="L547" s="25"/>
      <c r="M547" s="17"/>
      <c r="N547" s="17"/>
      <c r="O547" s="17"/>
      <c r="P547" s="17"/>
      <c r="Q547" s="17"/>
      <c r="R547" s="17"/>
      <c r="S547" s="17"/>
      <c r="T547" s="17"/>
      <c r="U547" s="17"/>
      <c r="V547" s="17"/>
    </row>
    <row r="548" spans="1:22" ht="19.899999999999999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7"/>
      <c r="L548" s="25"/>
      <c r="M548" s="17"/>
      <c r="N548" s="17"/>
      <c r="O548" s="17"/>
      <c r="P548" s="17"/>
      <c r="Q548" s="17"/>
      <c r="R548" s="17"/>
      <c r="S548" s="17"/>
      <c r="T548" s="17"/>
      <c r="U548" s="17"/>
      <c r="V548" s="17"/>
    </row>
    <row r="549" spans="1:22" ht="19.899999999999999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7"/>
      <c r="L549" s="25"/>
      <c r="M549" s="17"/>
      <c r="N549" s="17"/>
      <c r="O549" s="17"/>
      <c r="P549" s="17"/>
      <c r="Q549" s="17"/>
      <c r="R549" s="17"/>
      <c r="S549" s="17"/>
      <c r="T549" s="17"/>
      <c r="U549" s="17"/>
      <c r="V549" s="17"/>
    </row>
    <row r="550" spans="1:22" ht="19.899999999999999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7"/>
      <c r="L550" s="25"/>
      <c r="M550" s="17"/>
      <c r="N550" s="17"/>
      <c r="O550" s="17"/>
      <c r="P550" s="17"/>
      <c r="Q550" s="17"/>
      <c r="R550" s="17"/>
      <c r="S550" s="17"/>
      <c r="T550" s="17"/>
      <c r="U550" s="17"/>
      <c r="V550" s="17"/>
    </row>
    <row r="551" spans="1:22" ht="19.899999999999999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7"/>
      <c r="L551" s="25"/>
      <c r="M551" s="17"/>
      <c r="N551" s="17"/>
      <c r="O551" s="17"/>
      <c r="P551" s="17"/>
      <c r="Q551" s="17"/>
      <c r="R551" s="17"/>
      <c r="S551" s="17"/>
      <c r="T551" s="17"/>
      <c r="U551" s="17"/>
      <c r="V551" s="17"/>
    </row>
    <row r="552" spans="1:22" ht="19.899999999999999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7"/>
      <c r="L552" s="25"/>
      <c r="M552" s="17"/>
      <c r="N552" s="17"/>
      <c r="O552" s="17"/>
      <c r="P552" s="17"/>
      <c r="Q552" s="17"/>
      <c r="R552" s="17"/>
      <c r="S552" s="17"/>
      <c r="T552" s="17"/>
      <c r="U552" s="17"/>
      <c r="V552" s="17"/>
    </row>
    <row r="553" spans="1:22" ht="19.899999999999999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7"/>
      <c r="L553" s="25"/>
      <c r="M553" s="17"/>
      <c r="N553" s="17"/>
      <c r="O553" s="17"/>
      <c r="P553" s="17"/>
      <c r="Q553" s="17"/>
      <c r="R553" s="17"/>
      <c r="S553" s="17"/>
      <c r="T553" s="17"/>
      <c r="U553" s="17"/>
      <c r="V553" s="17"/>
    </row>
  </sheetData>
  <dataConsolidate/>
  <mergeCells count="86">
    <mergeCell ref="AE470:AF470"/>
    <mergeCell ref="M474:M475"/>
    <mergeCell ref="AA455:AC455"/>
    <mergeCell ref="N459:N461"/>
    <mergeCell ref="S469:X469"/>
    <mergeCell ref="Y469:AB469"/>
    <mergeCell ref="AC469:AF469"/>
    <mergeCell ref="S470:U470"/>
    <mergeCell ref="V470:X470"/>
    <mergeCell ref="Y470:Z470"/>
    <mergeCell ref="AA470:AB470"/>
    <mergeCell ref="AC470:AD470"/>
    <mergeCell ref="C397:C398"/>
    <mergeCell ref="E397:E398"/>
    <mergeCell ref="F397:F398"/>
    <mergeCell ref="G397:G398"/>
    <mergeCell ref="C404:C405"/>
    <mergeCell ref="E404:E405"/>
    <mergeCell ref="F404:F405"/>
    <mergeCell ref="G404:G405"/>
    <mergeCell ref="J383:J387"/>
    <mergeCell ref="C395:C396"/>
    <mergeCell ref="E395:E396"/>
    <mergeCell ref="F395:F396"/>
    <mergeCell ref="G395:G396"/>
    <mergeCell ref="H395:H396"/>
    <mergeCell ref="I139:I140"/>
    <mergeCell ref="W141:Z141"/>
    <mergeCell ref="K323:K328"/>
    <mergeCell ref="J329:K329"/>
    <mergeCell ref="C372:C373"/>
    <mergeCell ref="D372:E372"/>
    <mergeCell ref="L372:L373"/>
    <mergeCell ref="M372:N372"/>
    <mergeCell ref="D373:E373"/>
    <mergeCell ref="M373:N373"/>
    <mergeCell ref="B139:C140"/>
    <mergeCell ref="D139:D140"/>
    <mergeCell ref="F139:F140"/>
    <mergeCell ref="G139:G140"/>
    <mergeCell ref="H139:H140"/>
    <mergeCell ref="B137:D138"/>
    <mergeCell ref="E137:E138"/>
    <mergeCell ref="G137:G138"/>
    <mergeCell ref="H137:H138"/>
    <mergeCell ref="I137:I138"/>
    <mergeCell ref="G126:H126"/>
    <mergeCell ref="A45:A47"/>
    <mergeCell ref="V45:Y45"/>
    <mergeCell ref="A48:A50"/>
    <mergeCell ref="I48:J48"/>
    <mergeCell ref="I49:J49"/>
    <mergeCell ref="A52:A53"/>
    <mergeCell ref="B52:C53"/>
    <mergeCell ref="F52:F53"/>
    <mergeCell ref="B54:C54"/>
    <mergeCell ref="B55:C55"/>
    <mergeCell ref="B56:C56"/>
    <mergeCell ref="B57:C57"/>
    <mergeCell ref="O59:P59"/>
    <mergeCell ref="V8:V9"/>
    <mergeCell ref="W8:W9"/>
    <mergeCell ref="Z8:Z9"/>
    <mergeCell ref="AA8:AA9"/>
    <mergeCell ref="A42:A44"/>
    <mergeCell ref="G14:G16"/>
    <mergeCell ref="C15:C16"/>
    <mergeCell ref="H16:H17"/>
    <mergeCell ref="G23:G24"/>
    <mergeCell ref="A31:B31"/>
    <mergeCell ref="A32:B32"/>
    <mergeCell ref="A33:B33"/>
    <mergeCell ref="A34:B34"/>
    <mergeCell ref="A35:B35"/>
    <mergeCell ref="A36:B36"/>
    <mergeCell ref="A39:A41"/>
    <mergeCell ref="A1:B1"/>
    <mergeCell ref="A2:B2"/>
    <mergeCell ref="A3:B3"/>
    <mergeCell ref="C3:G3"/>
    <mergeCell ref="G7:G9"/>
    <mergeCell ref="H3:I3"/>
    <mergeCell ref="A4:B4"/>
    <mergeCell ref="C4:G4"/>
    <mergeCell ref="A10:A11"/>
    <mergeCell ref="G10:G11"/>
  </mergeCells>
  <conditionalFormatting sqref="E66:J66">
    <cfRule type="expression" dxfId="65" priority="17">
      <formula>$V$66="Chưa đạt"</formula>
    </cfRule>
  </conditionalFormatting>
  <conditionalFormatting sqref="E67:J67">
    <cfRule type="expression" dxfId="64" priority="16">
      <formula>$V$67="Chưa đạt"</formula>
    </cfRule>
  </conditionalFormatting>
  <conditionalFormatting sqref="E68:J68">
    <cfRule type="expression" dxfId="63" priority="15">
      <formula>$V$68="Chưa đạt"</formula>
    </cfRule>
  </conditionalFormatting>
  <conditionalFormatting sqref="E70:J70">
    <cfRule type="expression" dxfId="62" priority="14">
      <formula>$V$70="Chưa đạt"</formula>
    </cfRule>
  </conditionalFormatting>
  <conditionalFormatting sqref="E71:J71">
    <cfRule type="expression" dxfId="61" priority="13">
      <formula>$V$71="Chưa đạt"</formula>
    </cfRule>
  </conditionalFormatting>
  <conditionalFormatting sqref="E72:J72">
    <cfRule type="expression" dxfId="60" priority="12">
      <formula>$V$72="Chưa đạt"</formula>
    </cfRule>
  </conditionalFormatting>
  <conditionalFormatting sqref="E82:J82">
    <cfRule type="expression" dxfId="59" priority="11">
      <formula>$V$82="Chưa đạt"</formula>
    </cfRule>
  </conditionalFormatting>
  <conditionalFormatting sqref="E83:J83">
    <cfRule type="expression" dxfId="58" priority="10">
      <formula>$V$83="Chưa đạt"</formula>
    </cfRule>
  </conditionalFormatting>
  <conditionalFormatting sqref="E84:G84 I84:J84">
    <cfRule type="expression" dxfId="57" priority="9">
      <formula>$V$84="Chưa đạt"</formula>
    </cfRule>
  </conditionalFormatting>
  <conditionalFormatting sqref="E88:J88">
    <cfRule type="expression" dxfId="56" priority="8">
      <formula>$V$88="Chưa đạt"</formula>
    </cfRule>
  </conditionalFormatting>
  <conditionalFormatting sqref="E89:J89">
    <cfRule type="expression" dxfId="55" priority="7">
      <formula>$V$89="Chưa đạt"</formula>
    </cfRule>
  </conditionalFormatting>
  <conditionalFormatting sqref="E90:J90">
    <cfRule type="expression" dxfId="54" priority="6">
      <formula>$V$90="Chưa đạt"</formula>
    </cfRule>
  </conditionalFormatting>
  <conditionalFormatting sqref="B131:F131 H131:K131">
    <cfRule type="expression" dxfId="53" priority="5">
      <formula>$V$131="NOT"</formula>
    </cfRule>
  </conditionalFormatting>
  <conditionalFormatting sqref="B139:I140">
    <cfRule type="expression" dxfId="52" priority="4">
      <formula>$V$139="NOT"</formula>
    </cfRule>
  </conditionalFormatting>
  <conditionalFormatting sqref="A154:L154">
    <cfRule type="expression" dxfId="51" priority="3">
      <formula>$V$154="NO"</formula>
    </cfRule>
  </conditionalFormatting>
  <conditionalFormatting sqref="V148">
    <cfRule type="expression" dxfId="50" priority="2">
      <formula>$V$148="NO"</formula>
    </cfRule>
  </conditionalFormatting>
  <conditionalFormatting sqref="H148:J148">
    <cfRule type="expression" dxfId="49" priority="18">
      <formula>$K$148="NO"</formula>
    </cfRule>
  </conditionalFormatting>
  <conditionalFormatting sqref="H84">
    <cfRule type="expression" dxfId="48" priority="1">
      <formula>$V$68="Chưa đạt"</formula>
    </cfRule>
  </conditionalFormatting>
  <printOptions horizontalCentered="1"/>
  <pageMargins left="0.39370078740157483" right="0.19685039370078741" top="0.39370078740157483" bottom="0.39370078740157483" header="0" footer="0"/>
  <pageSetup paperSize="9" scale="77" orientation="portrait" blackAndWhite="1" r:id="rId1"/>
  <headerFooter alignWithMargins="0">
    <oddFooter xml:space="preserve">&amp;C
&amp;R&amp;12&amp;Y </oddFooter>
  </headerFooter>
  <rowBreaks count="2" manualBreakCount="2">
    <brk id="50" max="11" man="1"/>
    <brk id="102" max="11" man="1"/>
  </rowBreaks>
  <drawing r:id="rId2"/>
  <legacyDrawing r:id="rId3"/>
  <oleObjects>
    <mc:AlternateContent xmlns:mc="http://schemas.openxmlformats.org/markup-compatibility/2006">
      <mc:Choice Requires="x14">
        <oleObject progId="Equation.3" shapeId="520193" r:id="rId4">
          <objectPr defaultSize="0" autoPict="0" r:id="rId5">
            <anchor moveWithCells="1">
              <from>
                <xdr:col>0</xdr:col>
                <xdr:colOff>609600</xdr:colOff>
                <xdr:row>448</xdr:row>
                <xdr:rowOff>146050</xdr:rowOff>
              </from>
              <to>
                <xdr:col>1</xdr:col>
                <xdr:colOff>641350</xdr:colOff>
                <xdr:row>450</xdr:row>
                <xdr:rowOff>19050</xdr:rowOff>
              </to>
            </anchor>
          </objectPr>
        </oleObject>
      </mc:Choice>
      <mc:Fallback>
        <oleObject progId="Equation.3" shapeId="520193" r:id="rId4"/>
      </mc:Fallback>
    </mc:AlternateContent>
    <mc:AlternateContent xmlns:mc="http://schemas.openxmlformats.org/markup-compatibility/2006">
      <mc:Choice Requires="x14">
        <oleObject progId="Equation.3" shapeId="520194" r:id="rId6">
          <objectPr defaultSize="0" autoPict="0" r:id="rId7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146050</xdr:colOff>
                <xdr:row>449</xdr:row>
                <xdr:rowOff>209550</xdr:rowOff>
              </to>
            </anchor>
          </objectPr>
        </oleObject>
      </mc:Choice>
      <mc:Fallback>
        <oleObject progId="Equation.3" shapeId="520194" r:id="rId6"/>
      </mc:Fallback>
    </mc:AlternateContent>
    <mc:AlternateContent xmlns:mc="http://schemas.openxmlformats.org/markup-compatibility/2006">
      <mc:Choice Requires="x14">
        <oleObject progId="Equation.3" shapeId="520195" r:id="rId8">
          <objectPr defaultSize="0" autoPict="0" r:id="rId9">
            <anchor moveWithCells="1">
              <from>
                <xdr:col>4</xdr:col>
                <xdr:colOff>76200</xdr:colOff>
                <xdr:row>448</xdr:row>
                <xdr:rowOff>107950</xdr:rowOff>
              </from>
              <to>
                <xdr:col>5</xdr:col>
                <xdr:colOff>247650</xdr:colOff>
                <xdr:row>449</xdr:row>
                <xdr:rowOff>165100</xdr:rowOff>
              </to>
            </anchor>
          </objectPr>
        </oleObject>
      </mc:Choice>
      <mc:Fallback>
        <oleObject progId="Equation.3" shapeId="520195" r:id="rId8"/>
      </mc:Fallback>
    </mc:AlternateContent>
    <mc:AlternateContent xmlns:mc="http://schemas.openxmlformats.org/markup-compatibility/2006">
      <mc:Choice Requires="x14">
        <oleObject progId="Equation.3" shapeId="520196" r:id="rId10">
          <objectPr defaultSize="0" autoPict="0" r:id="rId11">
            <anchor moveWithCells="1">
              <from>
                <xdr:col>4</xdr:col>
                <xdr:colOff>685800</xdr:colOff>
                <xdr:row>448</xdr:row>
                <xdr:rowOff>146050</xdr:rowOff>
              </from>
              <to>
                <xdr:col>6</xdr:col>
                <xdr:colOff>76200</xdr:colOff>
                <xdr:row>449</xdr:row>
                <xdr:rowOff>203200</xdr:rowOff>
              </to>
            </anchor>
          </objectPr>
        </oleObject>
      </mc:Choice>
      <mc:Fallback>
        <oleObject progId="Equation.3" shapeId="520196" r:id="rId10"/>
      </mc:Fallback>
    </mc:AlternateContent>
    <mc:AlternateContent xmlns:mc="http://schemas.openxmlformats.org/markup-compatibility/2006">
      <mc:Choice Requires="x14">
        <oleObject progId="Equation.3" shapeId="520197" r:id="rId12">
          <objectPr defaultSize="0" autoPict="0" r:id="rId13">
            <anchor moveWithCells="1">
              <from>
                <xdr:col>2</xdr:col>
                <xdr:colOff>209550</xdr:colOff>
                <xdr:row>448</xdr:row>
                <xdr:rowOff>88900</xdr:rowOff>
              </from>
              <to>
                <xdr:col>3</xdr:col>
                <xdr:colOff>361950</xdr:colOff>
                <xdr:row>450</xdr:row>
                <xdr:rowOff>95250</xdr:rowOff>
              </to>
            </anchor>
          </objectPr>
        </oleObject>
      </mc:Choice>
      <mc:Fallback>
        <oleObject progId="Equation.3" shapeId="520197" r:id="rId12"/>
      </mc:Fallback>
    </mc:AlternateContent>
    <mc:AlternateContent xmlns:mc="http://schemas.openxmlformats.org/markup-compatibility/2006">
      <mc:Choice Requires="x14">
        <oleObject progId="Equation.3" shapeId="520198" r:id="rId14">
          <objectPr defaultSize="0" autoPict="0" r:id="rId15">
            <anchor moveWithCells="1">
              <from>
                <xdr:col>1</xdr:col>
                <xdr:colOff>19050</xdr:colOff>
                <xdr:row>449</xdr:row>
                <xdr:rowOff>19050</xdr:rowOff>
              </from>
              <to>
                <xdr:col>3</xdr:col>
                <xdr:colOff>222250</xdr:colOff>
                <xdr:row>450</xdr:row>
                <xdr:rowOff>165100</xdr:rowOff>
              </to>
            </anchor>
          </objectPr>
        </oleObject>
      </mc:Choice>
      <mc:Fallback>
        <oleObject progId="Equation.3" shapeId="520198" r:id="rId14"/>
      </mc:Fallback>
    </mc:AlternateContent>
    <mc:AlternateContent xmlns:mc="http://schemas.openxmlformats.org/markup-compatibility/2006">
      <mc:Choice Requires="x14">
        <oleObject progId="Equation.3" shapeId="520199" r:id="rId16">
          <objectPr defaultSize="0" autoPict="0" r:id="rId17">
            <anchor moveWithCells="1">
              <from>
                <xdr:col>1</xdr:col>
                <xdr:colOff>241300</xdr:colOff>
                <xdr:row>448</xdr:row>
                <xdr:rowOff>133350</xdr:rowOff>
              </from>
              <to>
                <xdr:col>2</xdr:col>
                <xdr:colOff>336550</xdr:colOff>
                <xdr:row>450</xdr:row>
                <xdr:rowOff>31750</xdr:rowOff>
              </to>
            </anchor>
          </objectPr>
        </oleObject>
      </mc:Choice>
      <mc:Fallback>
        <oleObject progId="Equation.3" shapeId="520199" r:id="rId16"/>
      </mc:Fallback>
    </mc:AlternateContent>
    <mc:AlternateContent xmlns:mc="http://schemas.openxmlformats.org/markup-compatibility/2006">
      <mc:Choice Requires="x14">
        <oleObject progId="Equation.3" shapeId="520200" r:id="rId18">
          <objectPr defaultSize="0" autoPict="0" r:id="rId9">
            <anchor moveWithCells="1">
              <from>
                <xdr:col>3</xdr:col>
                <xdr:colOff>476250</xdr:colOff>
                <xdr:row>448</xdr:row>
                <xdr:rowOff>88900</xdr:rowOff>
              </from>
              <to>
                <xdr:col>4</xdr:col>
                <xdr:colOff>628650</xdr:colOff>
                <xdr:row>449</xdr:row>
                <xdr:rowOff>203200</xdr:rowOff>
              </to>
            </anchor>
          </objectPr>
        </oleObject>
      </mc:Choice>
      <mc:Fallback>
        <oleObject progId="Equation.3" shapeId="520200" r:id="rId18"/>
      </mc:Fallback>
    </mc:AlternateContent>
    <mc:AlternateContent xmlns:mc="http://schemas.openxmlformats.org/markup-compatibility/2006">
      <mc:Choice Requires="x14">
        <oleObject progId="Equation.3" shapeId="520201" r:id="rId19">
          <objectPr defaultSize="0" autoPict="0" r:id="rId9">
            <anchor moveWithCells="1">
              <from>
                <xdr:col>3</xdr:col>
                <xdr:colOff>508000</xdr:colOff>
                <xdr:row>449</xdr:row>
                <xdr:rowOff>31750</xdr:rowOff>
              </from>
              <to>
                <xdr:col>4</xdr:col>
                <xdr:colOff>622300</xdr:colOff>
                <xdr:row>450</xdr:row>
                <xdr:rowOff>88900</xdr:rowOff>
              </to>
            </anchor>
          </objectPr>
        </oleObject>
      </mc:Choice>
      <mc:Fallback>
        <oleObject progId="Equation.3" shapeId="520201" r:id="rId19"/>
      </mc:Fallback>
    </mc:AlternateContent>
    <mc:AlternateContent xmlns:mc="http://schemas.openxmlformats.org/markup-compatibility/2006">
      <mc:Choice Requires="x14">
        <oleObject progId="Equation.3" shapeId="520202" r:id="rId20">
          <objectPr defaultSize="0" autoPict="0" r:id="rId17">
            <anchor moveWithCells="1">
              <from>
                <xdr:col>1</xdr:col>
                <xdr:colOff>241300</xdr:colOff>
                <xdr:row>448</xdr:row>
                <xdr:rowOff>127000</xdr:rowOff>
              </from>
              <to>
                <xdr:col>2</xdr:col>
                <xdr:colOff>336550</xdr:colOff>
                <xdr:row>450</xdr:row>
                <xdr:rowOff>19050</xdr:rowOff>
              </to>
            </anchor>
          </objectPr>
        </oleObject>
      </mc:Choice>
      <mc:Fallback>
        <oleObject progId="Equation.3" shapeId="520202" r:id="rId20"/>
      </mc:Fallback>
    </mc:AlternateContent>
    <mc:AlternateContent xmlns:mc="http://schemas.openxmlformats.org/markup-compatibility/2006">
      <mc:Choice Requires="x14">
        <oleObject progId="Equation.3" shapeId="520203" r:id="rId21">
          <objectPr defaultSize="0" autoPict="0" r:id="rId11">
            <anchor moveWithCells="1">
              <from>
                <xdr:col>5</xdr:col>
                <xdr:colOff>12700</xdr:colOff>
                <xdr:row>448</xdr:row>
                <xdr:rowOff>165100</xdr:rowOff>
              </from>
              <to>
                <xdr:col>6</xdr:col>
                <xdr:colOff>114300</xdr:colOff>
                <xdr:row>449</xdr:row>
                <xdr:rowOff>209550</xdr:rowOff>
              </to>
            </anchor>
          </objectPr>
        </oleObject>
      </mc:Choice>
      <mc:Fallback>
        <oleObject progId="Equation.3" shapeId="520203" r:id="rId21"/>
      </mc:Fallback>
    </mc:AlternateContent>
    <mc:AlternateContent xmlns:mc="http://schemas.openxmlformats.org/markup-compatibility/2006">
      <mc:Choice Requires="x14">
        <oleObject progId="Equation.3" shapeId="520204" r:id="rId22">
          <objectPr defaultSize="0" autoPict="0" r:id="rId23">
            <anchor moveWithCells="1" sizeWithCells="1">
              <from>
                <xdr:col>2</xdr:col>
                <xdr:colOff>431800</xdr:colOff>
                <xdr:row>312</xdr:row>
                <xdr:rowOff>31750</xdr:rowOff>
              </from>
              <to>
                <xdr:col>3</xdr:col>
                <xdr:colOff>628650</xdr:colOff>
                <xdr:row>314</xdr:row>
                <xdr:rowOff>114300</xdr:rowOff>
              </to>
            </anchor>
          </objectPr>
        </oleObject>
      </mc:Choice>
      <mc:Fallback>
        <oleObject progId="Equation.3" shapeId="520204" r:id="rId22"/>
      </mc:Fallback>
    </mc:AlternateContent>
    <mc:AlternateContent xmlns:mc="http://schemas.openxmlformats.org/markup-compatibility/2006">
      <mc:Choice Requires="x14">
        <oleObject progId="Equation.3" shapeId="520205" r:id="rId24">
          <objectPr defaultSize="0" autoPict="0" r:id="rId25">
            <anchor moveWithCells="1" sizeWithCells="1">
              <from>
                <xdr:col>2</xdr:col>
                <xdr:colOff>38100</xdr:colOff>
                <xdr:row>314</xdr:row>
                <xdr:rowOff>114300</xdr:rowOff>
              </from>
              <to>
                <xdr:col>3</xdr:col>
                <xdr:colOff>704850</xdr:colOff>
                <xdr:row>316</xdr:row>
                <xdr:rowOff>50800</xdr:rowOff>
              </to>
            </anchor>
          </objectPr>
        </oleObject>
      </mc:Choice>
      <mc:Fallback>
        <oleObject progId="Equation.3" shapeId="520205" r:id="rId24"/>
      </mc:Fallback>
    </mc:AlternateContent>
    <mc:AlternateContent xmlns:mc="http://schemas.openxmlformats.org/markup-compatibility/2006">
      <mc:Choice Requires="x14">
        <oleObject progId="Visio.Drawing.11" shapeId="520206" r:id="rId26">
          <objectPr defaultSize="0" autoPict="0" r:id="rId27">
            <anchor moveWithCells="1">
              <from>
                <xdr:col>9</xdr:col>
                <xdr:colOff>12700</xdr:colOff>
                <xdr:row>448</xdr:row>
                <xdr:rowOff>69850</xdr:rowOff>
              </from>
              <to>
                <xdr:col>10</xdr:col>
                <xdr:colOff>336550</xdr:colOff>
                <xdr:row>453</xdr:row>
                <xdr:rowOff>107950</xdr:rowOff>
              </to>
            </anchor>
          </objectPr>
        </oleObject>
      </mc:Choice>
      <mc:Fallback>
        <oleObject progId="Visio.Drawing.11" shapeId="520206" r:id="rId26"/>
      </mc:Fallback>
    </mc:AlternateContent>
    <mc:AlternateContent xmlns:mc="http://schemas.openxmlformats.org/markup-compatibility/2006">
      <mc:Choice Requires="x14">
        <oleObject progId="Visio.Drawing.11" shapeId="520207" r:id="rId28">
          <objectPr defaultSize="0" autoPict="0" r:id="rId29">
            <anchor moveWithCells="1">
              <from>
                <xdr:col>8</xdr:col>
                <xdr:colOff>152400</xdr:colOff>
                <xdr:row>448</xdr:row>
                <xdr:rowOff>69850</xdr:rowOff>
              </from>
              <to>
                <xdr:col>9</xdr:col>
                <xdr:colOff>450850</xdr:colOff>
                <xdr:row>453</xdr:row>
                <xdr:rowOff>88900</xdr:rowOff>
              </to>
            </anchor>
          </objectPr>
        </oleObject>
      </mc:Choice>
      <mc:Fallback>
        <oleObject progId="Visio.Drawing.11" shapeId="520207" r:id="rId28"/>
      </mc:Fallback>
    </mc:AlternateContent>
    <mc:AlternateContent xmlns:mc="http://schemas.openxmlformats.org/markup-compatibility/2006">
      <mc:Choice Requires="x14">
        <oleObject progId="Equation.DSMT4" shapeId="520208" r:id="rId30">
          <objectPr defaultSize="0" autoPict="0" r:id="rId31">
            <anchor moveWithCells="1" sizeWithCells="1">
              <from>
                <xdr:col>3</xdr:col>
                <xdr:colOff>38100</xdr:colOff>
                <xdr:row>147</xdr:row>
                <xdr:rowOff>69850</xdr:rowOff>
              </from>
              <to>
                <xdr:col>4</xdr:col>
                <xdr:colOff>260350</xdr:colOff>
                <xdr:row>148</xdr:row>
                <xdr:rowOff>57150</xdr:rowOff>
              </to>
            </anchor>
          </objectPr>
        </oleObject>
      </mc:Choice>
      <mc:Fallback>
        <oleObject progId="Equation.DSMT4" shapeId="520208" r:id="rId30"/>
      </mc:Fallback>
    </mc:AlternateContent>
    <mc:AlternateContent xmlns:mc="http://schemas.openxmlformats.org/markup-compatibility/2006">
      <mc:Choice Requires="x14">
        <oleObject progId="Equation.3" shapeId="520209" r:id="rId32">
          <objectPr defaultSize="0" autoPict="0" r:id="rId33">
            <anchor moveWithCells="1">
              <from>
                <xdr:col>1</xdr:col>
                <xdr:colOff>31750</xdr:colOff>
                <xdr:row>153</xdr:row>
                <xdr:rowOff>0</xdr:rowOff>
              </from>
              <to>
                <xdr:col>3</xdr:col>
                <xdr:colOff>660400</xdr:colOff>
                <xdr:row>154</xdr:row>
                <xdr:rowOff>184150</xdr:rowOff>
              </to>
            </anchor>
          </objectPr>
        </oleObject>
      </mc:Choice>
      <mc:Fallback>
        <oleObject progId="Equation.3" shapeId="520209" r:id="rId32"/>
      </mc:Fallback>
    </mc:AlternateContent>
    <mc:AlternateContent xmlns:mc="http://schemas.openxmlformats.org/markup-compatibility/2006">
      <mc:Choice Requires="x14">
        <oleObject progId="Equation.3" shapeId="520210" r:id="rId34">
          <objectPr defaultSize="0" autoPict="0" r:id="rId35">
            <anchor moveWithCells="1">
              <from>
                <xdr:col>5</xdr:col>
                <xdr:colOff>476250</xdr:colOff>
                <xdr:row>142</xdr:row>
                <xdr:rowOff>12700</xdr:rowOff>
              </from>
              <to>
                <xdr:col>7</xdr:col>
                <xdr:colOff>114300</xdr:colOff>
                <xdr:row>143</xdr:row>
                <xdr:rowOff>31750</xdr:rowOff>
              </to>
            </anchor>
          </objectPr>
        </oleObject>
      </mc:Choice>
      <mc:Fallback>
        <oleObject progId="Equation.3" shapeId="520210" r:id="rId34"/>
      </mc:Fallback>
    </mc:AlternateContent>
    <mc:AlternateContent xmlns:mc="http://schemas.openxmlformats.org/markup-compatibility/2006">
      <mc:Choice Requires="x14">
        <oleObject progId="Equation.3" shapeId="520211" r:id="rId36">
          <objectPr defaultSize="0" autoPict="0" r:id="rId37">
            <anchor moveWithCells="1">
              <from>
                <xdr:col>2</xdr:col>
                <xdr:colOff>603250</xdr:colOff>
                <xdr:row>142</xdr:row>
                <xdr:rowOff>247650</xdr:rowOff>
              </from>
              <to>
                <xdr:col>5</xdr:col>
                <xdr:colOff>12700</xdr:colOff>
                <xdr:row>144</xdr:row>
                <xdr:rowOff>88900</xdr:rowOff>
              </to>
            </anchor>
          </objectPr>
        </oleObject>
      </mc:Choice>
      <mc:Fallback>
        <oleObject progId="Equation.3" shapeId="520211" r:id="rId36"/>
      </mc:Fallback>
    </mc:AlternateContent>
    <mc:AlternateContent xmlns:mc="http://schemas.openxmlformats.org/markup-compatibility/2006">
      <mc:Choice Requires="x14">
        <oleObject progId="Equation.3" shapeId="520212" r:id="rId38">
          <objectPr defaultSize="0" autoPict="0" r:id="rId39">
            <anchor moveWithCells="1">
              <from>
                <xdr:col>5</xdr:col>
                <xdr:colOff>323850</xdr:colOff>
                <xdr:row>144</xdr:row>
                <xdr:rowOff>19050</xdr:rowOff>
              </from>
              <to>
                <xdr:col>6</xdr:col>
                <xdr:colOff>736600</xdr:colOff>
                <xdr:row>145</xdr:row>
                <xdr:rowOff>19050</xdr:rowOff>
              </to>
            </anchor>
          </objectPr>
        </oleObject>
      </mc:Choice>
      <mc:Fallback>
        <oleObject progId="Equation.3" shapeId="520212" r:id="rId38"/>
      </mc:Fallback>
    </mc:AlternateContent>
    <mc:AlternateContent xmlns:mc="http://schemas.openxmlformats.org/markup-compatibility/2006">
      <mc:Choice Requires="x14">
        <oleObject progId="Equation.3" shapeId="520213" r:id="rId40">
          <objectPr defaultSize="0" autoPict="0" r:id="rId41">
            <anchor moveWithCells="1">
              <from>
                <xdr:col>2</xdr:col>
                <xdr:colOff>622300</xdr:colOff>
                <xdr:row>144</xdr:row>
                <xdr:rowOff>336550</xdr:rowOff>
              </from>
              <to>
                <xdr:col>4</xdr:col>
                <xdr:colOff>698500</xdr:colOff>
                <xdr:row>146</xdr:row>
                <xdr:rowOff>31750</xdr:rowOff>
              </to>
            </anchor>
          </objectPr>
        </oleObject>
      </mc:Choice>
      <mc:Fallback>
        <oleObject progId="Equation.3" shapeId="520213" r:id="rId40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7"/>
  <dimension ref="A1:AO389"/>
  <sheetViews>
    <sheetView view="pageBreakPreview" topLeftCell="A91" zoomScaleNormal="100" zoomScaleSheetLayoutView="100" workbookViewId="0">
      <selection activeCell="AH3" sqref="AH3"/>
    </sheetView>
  </sheetViews>
  <sheetFormatPr defaultColWidth="10.69921875" defaultRowHeight="19.899999999999999" customHeight="1" outlineLevelRow="1"/>
  <cols>
    <col min="1" max="1" width="11.8984375" style="448" customWidth="1"/>
    <col min="2" max="3" width="11.8984375" style="267" customWidth="1"/>
    <col min="4" max="4" width="10.69921875" style="267"/>
    <col min="5" max="5" width="12.3984375" style="267" bestFit="1" customWidth="1"/>
    <col min="6" max="6" width="12.296875" style="267" bestFit="1" customWidth="1"/>
    <col min="7" max="7" width="12" style="267" customWidth="1"/>
    <col min="8" max="8" width="12.296875" style="267" customWidth="1"/>
    <col min="9" max="9" width="10.8984375" style="267" customWidth="1"/>
    <col min="10" max="10" width="9.296875" style="267" customWidth="1"/>
    <col min="11" max="11" width="10.69921875" style="267"/>
    <col min="12" max="12" width="8.59765625" style="267" customWidth="1"/>
    <col min="13" max="13" width="20.09765625" style="267" customWidth="1"/>
    <col min="14" max="15" width="12.69921875" style="267" customWidth="1"/>
    <col min="16" max="16" width="10.69921875" style="267"/>
    <col min="17" max="17" width="11" style="267" bestFit="1" customWidth="1"/>
    <col min="18" max="18" width="10.69921875" style="267"/>
    <col min="19" max="19" width="12.3984375" style="267" customWidth="1"/>
    <col min="20" max="20" width="13.59765625" style="267" bestFit="1" customWidth="1"/>
    <col min="21" max="16384" width="10.69921875" style="267"/>
  </cols>
  <sheetData>
    <row r="1" spans="1:21" ht="19.899999999999999" customHeight="1">
      <c r="A1" s="1600" t="s">
        <v>602</v>
      </c>
      <c r="B1" s="1600"/>
      <c r="C1" s="1237" t="s">
        <v>1134</v>
      </c>
      <c r="D1" s="1237"/>
      <c r="E1" s="1237"/>
      <c r="F1" s="1237"/>
      <c r="G1" s="1237"/>
      <c r="H1" s="1237"/>
      <c r="I1" s="451"/>
      <c r="J1" s="754"/>
      <c r="K1" s="754"/>
      <c r="L1" s="754"/>
      <c r="M1" s="721"/>
      <c r="N1" s="747" t="str">
        <f>C4</f>
        <v>MB4-10x12-2.5</v>
      </c>
    </row>
    <row r="2" spans="1:21" ht="19.899999999999999" customHeight="1">
      <c r="A2" s="1600" t="s">
        <v>603</v>
      </c>
      <c r="B2" s="1600"/>
      <c r="C2" s="1601" t="s">
        <v>1135</v>
      </c>
      <c r="D2" s="1601"/>
      <c r="E2" s="1601"/>
      <c r="F2" s="1601"/>
      <c r="G2" s="1601"/>
      <c r="H2" s="1237"/>
      <c r="I2" s="1237"/>
      <c r="J2" s="1237"/>
      <c r="K2" s="754"/>
      <c r="L2" s="754"/>
      <c r="M2" s="826" t="s">
        <v>984</v>
      </c>
      <c r="N2" s="827" t="s">
        <v>1127</v>
      </c>
      <c r="P2" s="828" t="s">
        <v>985</v>
      </c>
    </row>
    <row r="3" spans="1:21" ht="19.899999999999999" customHeight="1">
      <c r="A3" s="1600" t="s">
        <v>604</v>
      </c>
      <c r="B3" s="1600"/>
      <c r="C3" s="1601" t="str">
        <f>O16</f>
        <v>D122-42</v>
      </c>
      <c r="D3" s="1601"/>
      <c r="E3" s="1601"/>
      <c r="F3" s="1601"/>
      <c r="G3" s="1601"/>
      <c r="H3" s="764"/>
      <c r="I3" s="451"/>
      <c r="J3" s="754"/>
      <c r="K3" s="754"/>
      <c r="L3" s="754"/>
      <c r="M3" s="832" t="s">
        <v>991</v>
      </c>
      <c r="N3" s="834" t="s">
        <v>1008</v>
      </c>
      <c r="O3" s="833" t="s">
        <v>992</v>
      </c>
    </row>
    <row r="4" spans="1:21" ht="19.899999999999999" customHeight="1">
      <c r="A4" s="1600" t="s">
        <v>605</v>
      </c>
      <c r="B4" s="1600"/>
      <c r="C4" s="1601" t="str">
        <f>+"MB"&amp;K7&amp;"-"&amp;K10&amp;"x"&amp;K11&amp;"-"&amp;K41</f>
        <v>MB4-10x12-2.5</v>
      </c>
      <c r="D4" s="1601"/>
      <c r="E4" s="1601"/>
      <c r="F4" s="1601"/>
      <c r="G4" s="1601"/>
      <c r="H4" s="754"/>
      <c r="I4" s="453"/>
      <c r="J4" s="754"/>
      <c r="K4" s="754"/>
      <c r="L4" s="754"/>
      <c r="M4" s="721"/>
      <c r="N4" s="712" t="s">
        <v>769</v>
      </c>
      <c r="O4" s="452"/>
    </row>
    <row r="5" spans="1:21" ht="9" customHeight="1">
      <c r="B5" s="1420"/>
      <c r="C5" s="1421"/>
      <c r="D5" s="1421"/>
      <c r="E5" s="1420"/>
      <c r="F5" s="1420"/>
      <c r="G5" s="1422"/>
      <c r="H5" s="1423"/>
      <c r="I5" s="453"/>
      <c r="M5" s="721"/>
    </row>
    <row r="6" spans="1:21" ht="19.5" customHeight="1">
      <c r="B6" s="1428">
        <f>(K11-K7)/2</f>
        <v>4</v>
      </c>
      <c r="C6" s="1430"/>
      <c r="D6" s="1652">
        <f>K7</f>
        <v>4</v>
      </c>
      <c r="E6" s="1653"/>
      <c r="F6" s="764"/>
      <c r="G6" s="757">
        <f xml:space="preserve"> B6</f>
        <v>4</v>
      </c>
      <c r="H6" s="1423"/>
      <c r="I6" s="453"/>
      <c r="J6" s="763" t="s">
        <v>211</v>
      </c>
      <c r="K6" s="754"/>
      <c r="L6" s="754"/>
      <c r="M6" s="721"/>
    </row>
    <row r="7" spans="1:21" ht="19.899999999999999" customHeight="1">
      <c r="B7" s="1420"/>
      <c r="C7" s="1421"/>
      <c r="D7" s="1421"/>
      <c r="E7" s="1420"/>
      <c r="F7" s="1420"/>
      <c r="G7" s="1422"/>
      <c r="H7" s="1423"/>
      <c r="I7" s="453"/>
      <c r="J7" s="759" t="s">
        <v>888</v>
      </c>
      <c r="K7" s="757">
        <f>O17/1000</f>
        <v>4</v>
      </c>
      <c r="L7" s="763" t="s">
        <v>0</v>
      </c>
      <c r="M7" s="721"/>
    </row>
    <row r="8" spans="1:21" ht="19.899999999999999" customHeight="1">
      <c r="B8" s="1420"/>
      <c r="C8" s="1421"/>
      <c r="D8" s="1421"/>
      <c r="E8" s="1420"/>
      <c r="F8" s="1420"/>
      <c r="G8" s="1422"/>
      <c r="H8" s="1423"/>
      <c r="I8" s="453"/>
      <c r="J8" s="759" t="s">
        <v>889</v>
      </c>
      <c r="K8" s="757">
        <f>+K7</f>
        <v>4</v>
      </c>
      <c r="L8" s="763" t="s">
        <v>0</v>
      </c>
      <c r="M8" s="721"/>
    </row>
    <row r="9" spans="1:21" ht="22.5" customHeight="1">
      <c r="A9" s="1429">
        <f>K41</f>
        <v>2.5</v>
      </c>
      <c r="B9" s="1420"/>
      <c r="C9" s="1421"/>
      <c r="D9" s="1421"/>
      <c r="E9" s="1420"/>
      <c r="F9" s="1420"/>
      <c r="G9" s="1422"/>
      <c r="H9" s="1423"/>
      <c r="I9" s="453"/>
      <c r="J9" s="763" t="s">
        <v>606</v>
      </c>
      <c r="K9" s="757"/>
      <c r="L9" s="763"/>
      <c r="M9" s="721"/>
    </row>
    <row r="10" spans="1:21" ht="19.899999999999999" customHeight="1">
      <c r="A10" s="1612">
        <f>K14</f>
        <v>3.5</v>
      </c>
      <c r="B10" s="1420"/>
      <c r="C10" s="1421"/>
      <c r="D10" s="1421"/>
      <c r="E10" s="1420"/>
      <c r="F10" s="1420"/>
      <c r="G10" s="1422"/>
      <c r="H10" s="1423"/>
      <c r="I10" s="453"/>
      <c r="J10" s="759" t="s">
        <v>112</v>
      </c>
      <c r="K10" s="765">
        <v>10</v>
      </c>
      <c r="L10" s="763" t="s">
        <v>0</v>
      </c>
      <c r="M10" s="721"/>
    </row>
    <row r="11" spans="1:21" ht="19.899999999999999" customHeight="1">
      <c r="A11" s="1613"/>
      <c r="B11" s="1420"/>
      <c r="C11" s="1421"/>
      <c r="D11" s="1421"/>
      <c r="E11" s="1420"/>
      <c r="F11" s="1420"/>
      <c r="G11" s="1422"/>
      <c r="H11" s="1423"/>
      <c r="I11" s="453"/>
      <c r="J11" s="759" t="s">
        <v>113</v>
      </c>
      <c r="K11" s="765">
        <v>12</v>
      </c>
      <c r="L11" s="763" t="s">
        <v>0</v>
      </c>
      <c r="M11" s="721"/>
    </row>
    <row r="12" spans="1:21" ht="22.5" customHeight="1">
      <c r="A12" s="1429">
        <f>K39</f>
        <v>1</v>
      </c>
      <c r="B12" s="1420"/>
      <c r="C12" s="1421"/>
      <c r="D12" s="1421"/>
      <c r="E12" s="1420"/>
      <c r="F12" s="1420"/>
      <c r="G12" s="1422"/>
      <c r="H12" s="1655">
        <f>K19</f>
        <v>0.35</v>
      </c>
      <c r="I12" s="1654">
        <f>K17</f>
        <v>1</v>
      </c>
      <c r="J12" s="759" t="s">
        <v>123</v>
      </c>
      <c r="K12" s="757">
        <f>+ROUND(K11/K10,2)</f>
        <v>1.2</v>
      </c>
      <c r="L12" s="763"/>
      <c r="M12" s="721"/>
    </row>
    <row r="13" spans="1:21" ht="19.899999999999999" customHeight="1">
      <c r="B13" s="1420"/>
      <c r="C13" s="1421"/>
      <c r="D13" s="1421"/>
      <c r="E13" s="1420"/>
      <c r="F13" s="1420"/>
      <c r="G13" s="1422"/>
      <c r="H13" s="1655"/>
      <c r="I13" s="1654"/>
      <c r="J13" s="763" t="s">
        <v>607</v>
      </c>
      <c r="K13" s="757"/>
      <c r="L13" s="763"/>
      <c r="M13" s="721"/>
    </row>
    <row r="14" spans="1:21" ht="19.899999999999999" customHeight="1">
      <c r="B14" s="1420"/>
      <c r="C14" s="1421"/>
      <c r="D14" s="1611">
        <f>D37</f>
        <v>12</v>
      </c>
      <c r="E14" s="1611"/>
      <c r="F14" s="1420"/>
      <c r="G14" s="1422"/>
      <c r="H14" s="1423"/>
      <c r="I14" s="453"/>
      <c r="J14" s="759" t="s">
        <v>75</v>
      </c>
      <c r="K14" s="757">
        <f>K39+K41</f>
        <v>3.5</v>
      </c>
      <c r="L14" s="763" t="s">
        <v>0</v>
      </c>
      <c r="M14" s="721"/>
    </row>
    <row r="15" spans="1:21" ht="19.899999999999999" customHeight="1">
      <c r="B15" s="1420"/>
      <c r="C15" s="1421"/>
      <c r="D15" s="1421"/>
      <c r="E15" s="1420"/>
      <c r="F15" s="1420"/>
      <c r="G15" s="1422"/>
      <c r="H15" s="1423"/>
      <c r="I15" s="453"/>
      <c r="J15" s="763" t="s">
        <v>608</v>
      </c>
      <c r="K15" s="757"/>
      <c r="L15" s="763"/>
      <c r="M15" s="721"/>
    </row>
    <row r="16" spans="1:21" ht="19.899999999999999" customHeight="1">
      <c r="A16" s="763"/>
      <c r="B16" s="754"/>
      <c r="C16" s="754"/>
      <c r="D16" s="754"/>
      <c r="E16" s="754"/>
      <c r="F16" s="754"/>
      <c r="G16" s="754"/>
      <c r="H16" s="754"/>
      <c r="I16" s="754"/>
      <c r="J16" s="759" t="s">
        <v>68</v>
      </c>
      <c r="K16" s="765">
        <v>0.5</v>
      </c>
      <c r="L16" s="763" t="s">
        <v>0</v>
      </c>
      <c r="M16" s="721"/>
      <c r="N16" s="1242" t="s">
        <v>571</v>
      </c>
      <c r="O16" s="1243" t="s">
        <v>1143</v>
      </c>
      <c r="P16" s="1604" t="s">
        <v>838</v>
      </c>
      <c r="Q16" s="1605"/>
      <c r="R16" s="1605"/>
      <c r="S16" s="1605"/>
      <c r="T16" s="1605"/>
      <c r="U16" s="1606"/>
    </row>
    <row r="17" spans="1:21" ht="19.899999999999999" customHeight="1">
      <c r="A17" s="763"/>
      <c r="B17" s="754"/>
      <c r="C17" s="754"/>
      <c r="D17" s="754"/>
      <c r="E17" s="754"/>
      <c r="F17" s="754"/>
      <c r="H17" s="1654">
        <f>K26</f>
        <v>2.75</v>
      </c>
      <c r="I17" s="754"/>
      <c r="J17" s="759" t="s">
        <v>69</v>
      </c>
      <c r="K17" s="765">
        <v>1</v>
      </c>
      <c r="L17" s="763" t="s">
        <v>0</v>
      </c>
      <c r="M17" s="721"/>
      <c r="N17" s="1244">
        <v>4000</v>
      </c>
      <c r="O17" s="1244">
        <f>N17</f>
        <v>4000</v>
      </c>
      <c r="P17" s="467" t="s">
        <v>831</v>
      </c>
      <c r="Q17" s="467" t="s">
        <v>832</v>
      </c>
      <c r="R17" s="467" t="s">
        <v>833</v>
      </c>
      <c r="S17" s="467" t="s">
        <v>834</v>
      </c>
      <c r="T17" s="467" t="s">
        <v>835</v>
      </c>
      <c r="U17" s="467" t="s">
        <v>836</v>
      </c>
    </row>
    <row r="18" spans="1:21" ht="19.899999999999999" customHeight="1">
      <c r="A18" s="267"/>
      <c r="B18" s="763" t="s">
        <v>632</v>
      </c>
      <c r="C18" s="1433">
        <f>K23</f>
        <v>0.7</v>
      </c>
      <c r="D18" s="754"/>
      <c r="E18" s="754"/>
      <c r="G18" s="775" t="s">
        <v>214</v>
      </c>
      <c r="H18" s="1654"/>
      <c r="I18" s="754"/>
      <c r="J18" s="763" t="s">
        <v>609</v>
      </c>
      <c r="K18" s="757"/>
      <c r="L18" s="763"/>
      <c r="M18" s="721"/>
      <c r="N18" s="1607" t="s">
        <v>572</v>
      </c>
      <c r="O18" s="1245" t="s">
        <v>564</v>
      </c>
      <c r="P18" s="1246">
        <v>-4.6744000000000003</v>
      </c>
      <c r="Q18" s="1246">
        <v>-4.9444999999999997</v>
      </c>
      <c r="R18" s="1246">
        <v>80.48060000000001</v>
      </c>
      <c r="S18" s="1246">
        <v>4.58E-2</v>
      </c>
      <c r="T18" s="1246">
        <v>-1.9E-3</v>
      </c>
      <c r="U18" s="1246">
        <v>-1.5E-3</v>
      </c>
    </row>
    <row r="19" spans="1:21" ht="19.899999999999999" customHeight="1">
      <c r="A19" s="763"/>
      <c r="B19" s="754"/>
      <c r="C19" s="754"/>
      <c r="D19" s="754"/>
      <c r="E19" s="762"/>
      <c r="F19" s="754"/>
      <c r="G19" s="1426"/>
      <c r="H19" s="1654"/>
      <c r="I19" s="754"/>
      <c r="J19" s="759" t="s">
        <v>114</v>
      </c>
      <c r="K19" s="765">
        <v>0.35</v>
      </c>
      <c r="L19" s="763" t="s">
        <v>0</v>
      </c>
      <c r="M19" s="721"/>
      <c r="N19" s="1608"/>
      <c r="O19" s="1247" t="s">
        <v>565</v>
      </c>
      <c r="P19" s="1248">
        <v>-6.408199999999999</v>
      </c>
      <c r="Q19" s="1248">
        <v>-4.7540999999999993</v>
      </c>
      <c r="R19" s="1248">
        <v>-87.999899999999997</v>
      </c>
      <c r="S19" s="1248">
        <v>-5.9799999999999999E-2</v>
      </c>
      <c r="T19" s="1248">
        <v>-6.6900000000000001E-2</v>
      </c>
      <c r="U19" s="1248">
        <v>-7.6E-3</v>
      </c>
    </row>
    <row r="20" spans="1:21" ht="19.899999999999999" customHeight="1">
      <c r="A20" s="763"/>
      <c r="B20" s="1432">
        <f>K23</f>
        <v>0.7</v>
      </c>
      <c r="C20" s="754"/>
      <c r="D20" s="754"/>
      <c r="E20" s="762"/>
      <c r="F20" s="754"/>
      <c r="H20" s="1419">
        <f>K16</f>
        <v>0.5</v>
      </c>
      <c r="I20" s="754"/>
      <c r="J20" s="759" t="s">
        <v>115</v>
      </c>
      <c r="K20" s="757">
        <f>ROUND(K7/4,1)</f>
        <v>1</v>
      </c>
      <c r="L20" s="763" t="s">
        <v>0</v>
      </c>
      <c r="M20" s="1236" t="s">
        <v>1001</v>
      </c>
      <c r="N20" s="1642" t="s">
        <v>573</v>
      </c>
      <c r="O20" s="1247" t="s">
        <v>574</v>
      </c>
      <c r="P20" s="1248">
        <v>-17.82</v>
      </c>
      <c r="Q20" s="1248">
        <v>-2.7599999999999993</v>
      </c>
      <c r="R20" s="1248">
        <v>15.269499999999994</v>
      </c>
      <c r="S20" s="1248">
        <v>108.8412</v>
      </c>
      <c r="T20" s="1248">
        <v>564.86349999999993</v>
      </c>
      <c r="U20" s="1248">
        <v>1.9052800000000001</v>
      </c>
    </row>
    <row r="21" spans="1:21" ht="19.899999999999999" customHeight="1">
      <c r="A21" s="763"/>
      <c r="B21" s="754"/>
      <c r="C21" s="754"/>
      <c r="D21" s="754"/>
      <c r="E21" s="754"/>
      <c r="F21" s="754"/>
      <c r="G21" s="1425"/>
      <c r="H21" s="1419"/>
      <c r="I21" s="754"/>
      <c r="J21" s="759" t="s">
        <v>76</v>
      </c>
      <c r="K21" s="757">
        <f>K23/2</f>
        <v>0.35</v>
      </c>
      <c r="L21" s="763" t="s">
        <v>0</v>
      </c>
      <c r="M21" s="721" t="s">
        <v>1002</v>
      </c>
      <c r="N21" s="1643"/>
      <c r="O21" s="1247" t="s">
        <v>575</v>
      </c>
      <c r="P21" s="1248">
        <v>-11.067600000000002</v>
      </c>
      <c r="Q21" s="1248">
        <v>-7.6415999999999995</v>
      </c>
      <c r="R21" s="1248">
        <v>15.269399999999999</v>
      </c>
      <c r="S21" s="1248">
        <v>226.97150000000002</v>
      </c>
      <c r="T21" s="1248">
        <v>341.53899999999999</v>
      </c>
      <c r="U21" s="1248">
        <v>1.6241000000000003</v>
      </c>
    </row>
    <row r="22" spans="1:21" ht="19.899999999999999" customHeight="1">
      <c r="A22" s="763"/>
      <c r="B22" s="754"/>
      <c r="C22" s="754"/>
      <c r="D22" s="1610">
        <f>K20</f>
        <v>1</v>
      </c>
      <c r="E22" s="1610"/>
      <c r="F22" s="754"/>
      <c r="G22" s="754"/>
      <c r="H22" s="754"/>
      <c r="I22" s="754"/>
      <c r="J22" s="763" t="s">
        <v>610</v>
      </c>
      <c r="K22" s="757"/>
      <c r="L22" s="763"/>
      <c r="M22" s="721"/>
      <c r="N22" s="1643"/>
      <c r="O22" s="1249" t="s">
        <v>549</v>
      </c>
      <c r="P22" s="1248">
        <v>-17.82</v>
      </c>
      <c r="Q22" s="1248">
        <v>-2.7599999999999993</v>
      </c>
      <c r="R22" s="1248">
        <v>15.269499999999994</v>
      </c>
      <c r="S22" s="1248">
        <v>108.8412</v>
      </c>
      <c r="T22" s="1248">
        <v>564.86349999999993</v>
      </c>
      <c r="U22" s="1248">
        <v>1.9052800000000001</v>
      </c>
    </row>
    <row r="23" spans="1:21" ht="19.899999999999999" customHeight="1">
      <c r="A23" s="763"/>
      <c r="B23" s="754"/>
      <c r="C23" s="754"/>
      <c r="D23" s="754"/>
      <c r="E23" s="754"/>
      <c r="F23" s="754"/>
      <c r="G23" s="754"/>
      <c r="H23" s="754"/>
      <c r="I23" s="754"/>
      <c r="J23" s="759" t="s">
        <v>74</v>
      </c>
      <c r="K23" s="765">
        <v>0.7</v>
      </c>
      <c r="L23" s="763" t="s">
        <v>0</v>
      </c>
      <c r="M23" s="721"/>
      <c r="N23" s="1644"/>
      <c r="O23" s="1250" t="s">
        <v>830</v>
      </c>
      <c r="P23" s="1251">
        <v>-9.6999999999999993</v>
      </c>
      <c r="Q23" s="1251">
        <v>0</v>
      </c>
      <c r="R23" s="1251">
        <v>13.7995</v>
      </c>
      <c r="S23" s="1251">
        <v>4.0000000000077309E-3</v>
      </c>
      <c r="T23" s="1251">
        <v>349.31220000000002</v>
      </c>
      <c r="U23" s="1251">
        <v>0.91809999999999992</v>
      </c>
    </row>
    <row r="24" spans="1:21" ht="19.899999999999999" customHeight="1">
      <c r="A24" s="763"/>
      <c r="B24" s="754"/>
      <c r="D24" s="754"/>
      <c r="E24" s="768"/>
      <c r="F24" s="754"/>
      <c r="J24" s="763" t="s">
        <v>611</v>
      </c>
      <c r="K24" s="754"/>
      <c r="L24" s="763"/>
      <c r="M24" s="721"/>
      <c r="N24"/>
      <c r="O24"/>
      <c r="P24"/>
      <c r="Q24"/>
      <c r="R24"/>
      <c r="S24"/>
      <c r="T24"/>
      <c r="U24"/>
    </row>
    <row r="25" spans="1:21" ht="19.899999999999999" customHeight="1">
      <c r="A25" s="763"/>
      <c r="B25" s="754"/>
      <c r="C25" s="1425">
        <f>K20</f>
        <v>1</v>
      </c>
      <c r="D25" s="754"/>
      <c r="E25" s="754"/>
      <c r="F25" s="754"/>
      <c r="G25" s="775" t="s">
        <v>215</v>
      </c>
      <c r="H25" s="1654">
        <f>K25</f>
        <v>3.5</v>
      </c>
      <c r="I25" s="1593">
        <f>H17+H20+H25+H31+H33</f>
        <v>10</v>
      </c>
      <c r="J25" s="759" t="s">
        <v>936</v>
      </c>
      <c r="K25" s="760">
        <f>K7-K16</f>
        <v>3.5</v>
      </c>
      <c r="L25" s="763" t="s">
        <v>0</v>
      </c>
      <c r="M25" s="721"/>
      <c r="N25" s="713" t="s">
        <v>776</v>
      </c>
      <c r="O25"/>
      <c r="P25"/>
      <c r="Q25"/>
      <c r="R25" t="s">
        <v>815</v>
      </c>
      <c r="S25"/>
      <c r="T25"/>
      <c r="U25"/>
    </row>
    <row r="26" spans="1:21" ht="19.899999999999999" customHeight="1">
      <c r="A26" s="763"/>
      <c r="B26" s="758" t="s">
        <v>1119</v>
      </c>
      <c r="C26" s="754"/>
      <c r="D26" s="754"/>
      <c r="E26" s="754"/>
      <c r="F26" s="754"/>
      <c r="H26" s="1654"/>
      <c r="I26" s="1593"/>
      <c r="J26" s="759" t="s">
        <v>935</v>
      </c>
      <c r="K26" s="760">
        <f>(K10-K7-K16)/2</f>
        <v>2.75</v>
      </c>
      <c r="L26" s="763" t="s">
        <v>0</v>
      </c>
      <c r="M26" s="721"/>
      <c r="N26" s="701" t="s">
        <v>770</v>
      </c>
      <c r="O26" s="701" t="s">
        <v>771</v>
      </c>
      <c r="P26" s="701" t="s">
        <v>741</v>
      </c>
      <c r="Q26" s="701" t="s">
        <v>772</v>
      </c>
      <c r="R26" s="701" t="s">
        <v>773</v>
      </c>
      <c r="S26" s="701" t="s">
        <v>774</v>
      </c>
      <c r="T26" s="701" t="s">
        <v>775</v>
      </c>
      <c r="U26"/>
    </row>
    <row r="27" spans="1:21" ht="19.899999999999999" customHeight="1">
      <c r="A27" s="267"/>
      <c r="E27" s="758"/>
      <c r="G27" s="754"/>
      <c r="H27" s="1425"/>
      <c r="I27" s="754"/>
      <c r="J27" s="759" t="s">
        <v>934</v>
      </c>
      <c r="K27" s="760">
        <f>K8-K16</f>
        <v>3.5</v>
      </c>
      <c r="L27" s="763" t="s">
        <v>0</v>
      </c>
      <c r="M27" s="721"/>
      <c r="N27" s="715">
        <v>21</v>
      </c>
      <c r="O27" s="715">
        <v>23</v>
      </c>
      <c r="P27" s="715">
        <v>27</v>
      </c>
      <c r="Q27" s="715">
        <v>30</v>
      </c>
      <c r="R27" s="715">
        <v>32.5</v>
      </c>
      <c r="S27" s="715">
        <v>34.5</v>
      </c>
      <c r="T27" s="715">
        <v>36</v>
      </c>
      <c r="U27"/>
    </row>
    <row r="28" spans="1:21" ht="19.899999999999999" customHeight="1">
      <c r="A28" s="763"/>
      <c r="B28" s="792">
        <f>K21</f>
        <v>0.35</v>
      </c>
      <c r="C28" s="754"/>
      <c r="D28" s="754"/>
      <c r="E28" s="754"/>
      <c r="F28" s="754"/>
      <c r="G28" s="754"/>
      <c r="H28" s="754"/>
      <c r="I28" s="754"/>
      <c r="J28" s="759" t="s">
        <v>933</v>
      </c>
      <c r="K28" s="760">
        <f>(K11-K8-K16)/2</f>
        <v>3.75</v>
      </c>
      <c r="L28" s="763" t="s">
        <v>0</v>
      </c>
      <c r="M28" s="722" t="s">
        <v>780</v>
      </c>
      <c r="N28" s="701">
        <f>N27*100*1000</f>
        <v>2100000</v>
      </c>
      <c r="O28" s="701">
        <f t="shared" ref="O28:T28" si="0">O27*100*1000</f>
        <v>2300000</v>
      </c>
      <c r="P28" s="701">
        <f t="shared" si="0"/>
        <v>2700000</v>
      </c>
      <c r="Q28" s="701">
        <f t="shared" si="0"/>
        <v>3000000</v>
      </c>
      <c r="R28" s="701">
        <f t="shared" si="0"/>
        <v>3250000</v>
      </c>
      <c r="S28" s="701">
        <f t="shared" si="0"/>
        <v>3450000</v>
      </c>
      <c r="T28" s="701">
        <f t="shared" si="0"/>
        <v>3600000</v>
      </c>
      <c r="U28"/>
    </row>
    <row r="29" spans="1:21" ht="19.899999999999999" customHeight="1">
      <c r="A29" s="763"/>
      <c r="B29" s="754"/>
      <c r="C29" s="754"/>
      <c r="D29" s="1570" t="s">
        <v>633</v>
      </c>
      <c r="E29" s="1570"/>
      <c r="F29" s="754"/>
      <c r="H29" s="754"/>
      <c r="I29" s="754"/>
      <c r="J29" s="758" t="s">
        <v>612</v>
      </c>
      <c r="K29" s="758"/>
      <c r="L29" s="758"/>
      <c r="M29" s="721"/>
      <c r="N29"/>
      <c r="O29"/>
      <c r="P29"/>
      <c r="Q29"/>
      <c r="R29"/>
      <c r="S29"/>
      <c r="T29"/>
      <c r="U29"/>
    </row>
    <row r="30" spans="1:21" ht="19.899999999999999" customHeight="1">
      <c r="A30" s="763"/>
      <c r="C30" s="754"/>
      <c r="D30" s="754"/>
      <c r="E30" s="754"/>
      <c r="F30" s="754"/>
      <c r="G30" s="1425"/>
      <c r="H30" s="766"/>
      <c r="I30" s="754"/>
      <c r="J30" s="759" t="s">
        <v>117</v>
      </c>
      <c r="K30" s="760">
        <f>(K10*K11-K20^2)*K19+(K10+K11)*2*K16*(K17-K19)-K16^2*4*(K17-K19)+(K14-K17)*K23^2*4+K21^2*(K17-K19)*8</f>
        <v>60.837000000000003</v>
      </c>
      <c r="L30" s="763" t="s">
        <v>1</v>
      </c>
      <c r="M30" s="721"/>
      <c r="N30"/>
      <c r="O30"/>
      <c r="P30"/>
      <c r="Q30"/>
      <c r="R30"/>
      <c r="S30"/>
      <c r="T30"/>
      <c r="U30"/>
    </row>
    <row r="31" spans="1:21" ht="19.899999999999999" customHeight="1" thickBot="1">
      <c r="A31" s="763"/>
      <c r="B31" s="1431">
        <f>K21</f>
        <v>0.35</v>
      </c>
      <c r="C31" s="754"/>
      <c r="D31" s="754"/>
      <c r="E31" s="1427"/>
      <c r="F31" s="754"/>
      <c r="H31" s="1418">
        <f>K16</f>
        <v>0.5</v>
      </c>
      <c r="I31" s="754"/>
      <c r="J31" s="758" t="s">
        <v>614</v>
      </c>
      <c r="K31" s="758"/>
      <c r="L31" s="758"/>
      <c r="M31" s="721"/>
      <c r="N31"/>
      <c r="O31"/>
      <c r="P31"/>
      <c r="Q31"/>
      <c r="R31"/>
      <c r="S31"/>
      <c r="T31"/>
      <c r="U31"/>
    </row>
    <row r="32" spans="1:21" ht="19.899999999999999" customHeight="1">
      <c r="A32" s="763"/>
      <c r="B32" s="754"/>
      <c r="C32" s="754"/>
      <c r="D32" s="754"/>
      <c r="E32" s="762"/>
      <c r="F32" s="754"/>
      <c r="G32" s="1426"/>
      <c r="H32" s="760"/>
      <c r="I32" s="754"/>
      <c r="J32" s="759" t="s">
        <v>118</v>
      </c>
      <c r="K32" s="766">
        <f>K10*K11-K20^2</f>
        <v>119</v>
      </c>
      <c r="L32" s="763" t="s">
        <v>2</v>
      </c>
      <c r="M32" s="721"/>
      <c r="P32" s="454">
        <v>28</v>
      </c>
      <c r="Q32" s="455">
        <f>+P32/1000</f>
        <v>2.8000000000000001E-2</v>
      </c>
      <c r="R32" s="456">
        <f t="shared" ref="R32:R39" si="1">3.14*Q32^2/4*7850</f>
        <v>4.8312040000000005</v>
      </c>
      <c r="S32" s="457">
        <f t="shared" ref="S32:S39" si="2">3.14*Q32^2/4*10000</f>
        <v>6.1544000000000008</v>
      </c>
    </row>
    <row r="33" spans="1:19" ht="19.899999999999999" customHeight="1">
      <c r="A33" s="267"/>
      <c r="B33" s="758" t="s">
        <v>632</v>
      </c>
      <c r="C33" s="754"/>
      <c r="D33" s="754"/>
      <c r="E33" s="762"/>
      <c r="G33" s="775" t="s">
        <v>214</v>
      </c>
      <c r="H33" s="1654">
        <f>K26</f>
        <v>2.75</v>
      </c>
      <c r="I33" s="754"/>
      <c r="J33" s="754"/>
      <c r="K33" s="758"/>
      <c r="L33" s="759" t="s">
        <v>845</v>
      </c>
      <c r="M33" s="721"/>
      <c r="P33" s="458">
        <v>25</v>
      </c>
      <c r="Q33" s="459">
        <f t="shared" ref="Q33:Q39" si="3">+P33/1000</f>
        <v>2.5000000000000001E-2</v>
      </c>
      <c r="R33" s="460">
        <f t="shared" si="1"/>
        <v>3.8514062500000006</v>
      </c>
      <c r="S33" s="461">
        <f>3.14*Q33^2/4*10000</f>
        <v>4.9062500000000009</v>
      </c>
    </row>
    <row r="34" spans="1:19" ht="19.899999999999999" customHeight="1">
      <c r="A34" s="763"/>
      <c r="B34" s="754"/>
      <c r="C34" s="754"/>
      <c r="D34" s="754"/>
      <c r="E34" s="762"/>
      <c r="F34" s="754"/>
      <c r="G34" s="1426"/>
      <c r="H34" s="1654"/>
      <c r="I34" s="754"/>
      <c r="J34" s="759" t="s">
        <v>937</v>
      </c>
      <c r="K34" s="766">
        <f>(K11*K10^3-K20^4)/6/K10</f>
        <v>199.98333333333332</v>
      </c>
      <c r="L34" s="763" t="s">
        <v>1</v>
      </c>
      <c r="M34" s="721"/>
      <c r="P34" s="458">
        <v>22</v>
      </c>
      <c r="Q34" s="459">
        <f t="shared" si="3"/>
        <v>2.1999999999999999E-2</v>
      </c>
      <c r="R34" s="460">
        <f t="shared" si="1"/>
        <v>2.982529</v>
      </c>
      <c r="S34" s="461">
        <f t="shared" si="2"/>
        <v>3.7993999999999999</v>
      </c>
    </row>
    <row r="35" spans="1:19" ht="19.899999999999999" customHeight="1">
      <c r="A35" s="267"/>
      <c r="B35" s="754"/>
      <c r="E35" s="754"/>
      <c r="G35" s="754"/>
      <c r="H35" s="754"/>
      <c r="I35" s="754"/>
      <c r="J35" s="754"/>
      <c r="K35" s="758"/>
      <c r="L35" s="759" t="s">
        <v>848</v>
      </c>
      <c r="M35" s="721"/>
      <c r="O35" s="267" t="s">
        <v>566</v>
      </c>
      <c r="P35" s="458">
        <v>20</v>
      </c>
      <c r="Q35" s="459">
        <f t="shared" si="3"/>
        <v>0.02</v>
      </c>
      <c r="R35" s="460">
        <f t="shared" si="1"/>
        <v>2.4649000000000005</v>
      </c>
      <c r="S35" s="461">
        <f t="shared" si="2"/>
        <v>3.1400000000000006</v>
      </c>
    </row>
    <row r="36" spans="1:19" ht="19.899999999999999" customHeight="1">
      <c r="A36" s="763"/>
      <c r="B36" s="760">
        <f>K28</f>
        <v>3.75</v>
      </c>
      <c r="C36" s="754"/>
      <c r="D36" s="1603">
        <f>K27</f>
        <v>3.5</v>
      </c>
      <c r="E36" s="1603"/>
      <c r="F36" s="754"/>
      <c r="G36" s="1424">
        <f>K28</f>
        <v>3.75</v>
      </c>
      <c r="H36" s="754"/>
      <c r="I36" s="754"/>
      <c r="J36" s="759" t="s">
        <v>938</v>
      </c>
      <c r="K36" s="766">
        <f>+(K10*K11^3-K20^4)/12/K11*2</f>
        <v>239.98611111111111</v>
      </c>
      <c r="L36" s="763" t="s">
        <v>1</v>
      </c>
      <c r="M36" s="721"/>
      <c r="P36" s="458">
        <v>18</v>
      </c>
      <c r="Q36" s="459">
        <f t="shared" si="3"/>
        <v>1.7999999999999999E-2</v>
      </c>
      <c r="R36" s="460">
        <f t="shared" si="1"/>
        <v>1.9965689999999998</v>
      </c>
      <c r="S36" s="461">
        <f t="shared" si="2"/>
        <v>2.5433999999999997</v>
      </c>
    </row>
    <row r="37" spans="1:19" ht="19.899999999999999" customHeight="1">
      <c r="A37" s="763"/>
      <c r="B37" s="754"/>
      <c r="C37" s="767">
        <f>K16</f>
        <v>0.5</v>
      </c>
      <c r="D37" s="1585">
        <f>B36+C37+D36+G36+F37</f>
        <v>12</v>
      </c>
      <c r="E37" s="1585"/>
      <c r="F37" s="769">
        <f xml:space="preserve">  K16</f>
        <v>0.5</v>
      </c>
      <c r="G37" s="754"/>
      <c r="H37" s="754"/>
      <c r="J37" s="763" t="s">
        <v>212</v>
      </c>
      <c r="M37" s="721"/>
      <c r="P37" s="458">
        <v>16</v>
      </c>
      <c r="Q37" s="459">
        <f t="shared" si="3"/>
        <v>1.6E-2</v>
      </c>
      <c r="R37" s="460">
        <f t="shared" si="1"/>
        <v>1.577536</v>
      </c>
      <c r="S37" s="461">
        <f t="shared" si="2"/>
        <v>2.0095999999999998</v>
      </c>
    </row>
    <row r="38" spans="1:19" ht="10" customHeight="1">
      <c r="A38" s="763"/>
      <c r="B38" s="754"/>
      <c r="C38" s="754"/>
      <c r="D38" s="754"/>
      <c r="E38" s="754"/>
      <c r="F38" s="754"/>
      <c r="G38" s="754"/>
      <c r="H38" s="754"/>
      <c r="I38" s="754"/>
      <c r="K38" s="754"/>
      <c r="L38" s="754"/>
      <c r="M38" s="721"/>
      <c r="P38" s="458">
        <v>14</v>
      </c>
      <c r="Q38" s="459">
        <f t="shared" si="3"/>
        <v>1.4E-2</v>
      </c>
      <c r="R38" s="460">
        <f t="shared" si="1"/>
        <v>1.2078010000000001</v>
      </c>
      <c r="S38" s="461">
        <f t="shared" si="2"/>
        <v>1.5386000000000002</v>
      </c>
    </row>
    <row r="39" spans="1:19" ht="21" customHeight="1">
      <c r="A39" s="1615" t="s">
        <v>613</v>
      </c>
      <c r="B39" s="1616"/>
      <c r="C39" s="1616"/>
      <c r="D39" s="1616"/>
      <c r="E39" s="1616"/>
      <c r="F39" s="1616"/>
      <c r="G39" s="1616"/>
      <c r="H39" s="754"/>
      <c r="I39" s="754"/>
      <c r="J39" s="759" t="s">
        <v>940</v>
      </c>
      <c r="K39" s="765">
        <v>1</v>
      </c>
      <c r="L39" s="763" t="s">
        <v>0</v>
      </c>
      <c r="M39" s="721"/>
      <c r="P39" s="458">
        <v>12</v>
      </c>
      <c r="Q39" s="459">
        <f t="shared" si="3"/>
        <v>1.2E-2</v>
      </c>
      <c r="R39" s="460">
        <f t="shared" si="1"/>
        <v>0.88736400000000004</v>
      </c>
      <c r="S39" s="461">
        <f t="shared" si="2"/>
        <v>1.1304000000000001</v>
      </c>
    </row>
    <row r="40" spans="1:19" ht="21" customHeight="1">
      <c r="A40" s="761" t="s">
        <v>651</v>
      </c>
      <c r="B40" s="761"/>
      <c r="C40" s="753"/>
      <c r="D40" s="753"/>
      <c r="E40" s="753"/>
      <c r="F40" s="753"/>
      <c r="G40" s="753"/>
      <c r="H40" s="754"/>
      <c r="I40" s="758"/>
      <c r="J40" s="758" t="s">
        <v>617</v>
      </c>
      <c r="K40" s="754"/>
      <c r="L40" s="754"/>
      <c r="M40" s="721"/>
      <c r="P40" s="458">
        <v>10</v>
      </c>
      <c r="Q40" s="459">
        <f>+P40/1000</f>
        <v>0.01</v>
      </c>
      <c r="R40" s="460">
        <f>3.14*Q40^2/4*7850</f>
        <v>0.61622500000000013</v>
      </c>
      <c r="S40" s="461">
        <f>3.14*Q40^2/4*10000</f>
        <v>0.78500000000000014</v>
      </c>
    </row>
    <row r="41" spans="1:19" ht="21" customHeight="1">
      <c r="A41" s="1586" t="s">
        <v>652</v>
      </c>
      <c r="B41" s="1587"/>
      <c r="C41" s="755" t="s">
        <v>653</v>
      </c>
      <c r="D41" s="755" t="s">
        <v>654</v>
      </c>
      <c r="E41" s="755" t="s">
        <v>655</v>
      </c>
      <c r="F41" s="755" t="s">
        <v>656</v>
      </c>
      <c r="G41" s="755" t="s">
        <v>657</v>
      </c>
      <c r="H41" s="755" t="s">
        <v>658</v>
      </c>
      <c r="I41" s="754"/>
      <c r="J41" s="759" t="s">
        <v>939</v>
      </c>
      <c r="K41" s="765">
        <v>2.5</v>
      </c>
      <c r="L41" s="763" t="s">
        <v>0</v>
      </c>
      <c r="M41" s="721"/>
      <c r="P41" s="458">
        <v>8</v>
      </c>
      <c r="Q41" s="459">
        <f>+P41/1000</f>
        <v>8.0000000000000002E-3</v>
      </c>
      <c r="R41" s="460">
        <f>3.14*Q41^2/4*7850</f>
        <v>0.39438400000000001</v>
      </c>
      <c r="S41" s="461">
        <f>3.14*Q41^2/4*10000</f>
        <v>0.50239999999999996</v>
      </c>
    </row>
    <row r="42" spans="1:19" ht="21" customHeight="1" thickBot="1">
      <c r="A42" s="1609" t="s">
        <v>564</v>
      </c>
      <c r="B42" s="1609"/>
      <c r="C42" s="412">
        <f>P18</f>
        <v>-4.6744000000000003</v>
      </c>
      <c r="D42" s="412">
        <f t="shared" ref="D42:H42" si="4">Q18</f>
        <v>-4.9444999999999997</v>
      </c>
      <c r="E42" s="412">
        <f t="shared" si="4"/>
        <v>80.48060000000001</v>
      </c>
      <c r="F42" s="412">
        <f t="shared" si="4"/>
        <v>4.58E-2</v>
      </c>
      <c r="G42" s="412">
        <f t="shared" si="4"/>
        <v>-1.9E-3</v>
      </c>
      <c r="H42" s="412">
        <f t="shared" si="4"/>
        <v>-1.5E-3</v>
      </c>
      <c r="I42" s="754"/>
      <c r="J42" s="763" t="s">
        <v>618</v>
      </c>
      <c r="K42" s="758"/>
      <c r="L42" s="758"/>
      <c r="M42" s="721"/>
      <c r="P42" s="462">
        <v>6</v>
      </c>
      <c r="Q42" s="463">
        <f>+P42/1000</f>
        <v>6.0000000000000001E-3</v>
      </c>
      <c r="R42" s="464">
        <f>3.14*Q42^2/4*7850</f>
        <v>0.22184100000000001</v>
      </c>
      <c r="S42" s="465">
        <f>3.14*Q42^2/4*10000</f>
        <v>0.28260000000000002</v>
      </c>
    </row>
    <row r="43" spans="1:19" ht="21" customHeight="1">
      <c r="A43" s="1609" t="s">
        <v>659</v>
      </c>
      <c r="B43" s="1609"/>
      <c r="C43" s="412">
        <f t="shared" ref="C43:C47" si="5">P19</f>
        <v>-6.408199999999999</v>
      </c>
      <c r="D43" s="412">
        <f t="shared" ref="D43:D47" si="6">Q19</f>
        <v>-4.7540999999999993</v>
      </c>
      <c r="E43" s="412">
        <f t="shared" ref="E43:E47" si="7">R19</f>
        <v>-87.999899999999997</v>
      </c>
      <c r="F43" s="412">
        <f t="shared" ref="F43:F47" si="8">S19</f>
        <v>-5.9799999999999999E-2</v>
      </c>
      <c r="G43" s="412">
        <f t="shared" ref="G43:G47" si="9">T19</f>
        <v>-6.6900000000000001E-2</v>
      </c>
      <c r="H43" s="412">
        <f t="shared" ref="H43:H47" si="10">U19</f>
        <v>-7.6E-3</v>
      </c>
      <c r="I43" s="754"/>
      <c r="J43" s="759" t="s">
        <v>119</v>
      </c>
      <c r="K43" s="760">
        <f>K10*K11*K39-K30</f>
        <v>59.162999999999997</v>
      </c>
      <c r="L43" s="763" t="s">
        <v>1</v>
      </c>
      <c r="M43" s="721"/>
      <c r="P43"/>
      <c r="Q43"/>
      <c r="R43"/>
      <c r="S43"/>
    </row>
    <row r="44" spans="1:19" ht="21" customHeight="1">
      <c r="A44" s="1609" t="s">
        <v>660</v>
      </c>
      <c r="B44" s="1609"/>
      <c r="C44" s="412">
        <f t="shared" si="5"/>
        <v>-17.82</v>
      </c>
      <c r="D44" s="412">
        <f t="shared" si="6"/>
        <v>-2.7599999999999993</v>
      </c>
      <c r="E44" s="412">
        <f t="shared" si="7"/>
        <v>15.269499999999994</v>
      </c>
      <c r="F44" s="412">
        <f t="shared" si="8"/>
        <v>108.8412</v>
      </c>
      <c r="G44" s="412">
        <f t="shared" si="9"/>
        <v>564.86349999999993</v>
      </c>
      <c r="H44" s="412">
        <f t="shared" si="10"/>
        <v>1.9052800000000001</v>
      </c>
      <c r="I44" s="754"/>
      <c r="J44" s="758" t="s">
        <v>619</v>
      </c>
      <c r="K44" s="758"/>
      <c r="L44" s="754"/>
      <c r="M44" s="721"/>
      <c r="P44"/>
      <c r="Q44"/>
      <c r="R44"/>
      <c r="S44"/>
    </row>
    <row r="45" spans="1:19" ht="21" customHeight="1">
      <c r="A45" s="1609" t="s">
        <v>661</v>
      </c>
      <c r="B45" s="1609"/>
      <c r="C45" s="412">
        <f t="shared" si="5"/>
        <v>-11.067600000000002</v>
      </c>
      <c r="D45" s="412">
        <f t="shared" si="6"/>
        <v>-7.6415999999999995</v>
      </c>
      <c r="E45" s="412">
        <f t="shared" si="7"/>
        <v>15.269399999999999</v>
      </c>
      <c r="F45" s="412">
        <f t="shared" si="8"/>
        <v>226.97150000000002</v>
      </c>
      <c r="G45" s="412">
        <f t="shared" si="9"/>
        <v>341.53899999999999</v>
      </c>
      <c r="H45" s="412">
        <f t="shared" si="10"/>
        <v>1.6241000000000003</v>
      </c>
      <c r="I45" s="754"/>
      <c r="J45" s="759" t="s">
        <v>862</v>
      </c>
      <c r="K45" s="766">
        <v>0</v>
      </c>
      <c r="L45" s="763" t="s">
        <v>0</v>
      </c>
      <c r="M45" s="721"/>
      <c r="P45"/>
      <c r="Q45"/>
      <c r="R45"/>
      <c r="S45"/>
    </row>
    <row r="46" spans="1:19" ht="21" customHeight="1">
      <c r="A46" s="1609" t="s">
        <v>549</v>
      </c>
      <c r="B46" s="1609"/>
      <c r="C46" s="412">
        <f t="shared" si="5"/>
        <v>-17.82</v>
      </c>
      <c r="D46" s="412">
        <f t="shared" si="6"/>
        <v>-2.7599999999999993</v>
      </c>
      <c r="E46" s="412">
        <f t="shared" si="7"/>
        <v>15.269499999999994</v>
      </c>
      <c r="F46" s="412">
        <f t="shared" si="8"/>
        <v>108.8412</v>
      </c>
      <c r="G46" s="412">
        <f t="shared" si="9"/>
        <v>564.86349999999993</v>
      </c>
      <c r="H46" s="412">
        <f t="shared" si="10"/>
        <v>1.9052800000000001</v>
      </c>
      <c r="M46" s="721"/>
      <c r="P46"/>
      <c r="Q46"/>
      <c r="R46"/>
      <c r="S46"/>
    </row>
    <row r="47" spans="1:19" ht="21" customHeight="1">
      <c r="A47" s="1614" t="s">
        <v>662</v>
      </c>
      <c r="B47" s="1614"/>
      <c r="C47" s="412">
        <f t="shared" si="5"/>
        <v>-9.6999999999999993</v>
      </c>
      <c r="D47" s="412">
        <f t="shared" si="6"/>
        <v>0</v>
      </c>
      <c r="E47" s="412">
        <f t="shared" si="7"/>
        <v>13.7995</v>
      </c>
      <c r="F47" s="412">
        <f t="shared" si="8"/>
        <v>4.0000000000077309E-3</v>
      </c>
      <c r="G47" s="412">
        <f t="shared" si="9"/>
        <v>349.31220000000002</v>
      </c>
      <c r="H47" s="412">
        <f t="shared" si="10"/>
        <v>0.91809999999999992</v>
      </c>
      <c r="M47" s="721"/>
      <c r="P47"/>
      <c r="Q47"/>
      <c r="R47"/>
      <c r="S47"/>
    </row>
    <row r="48" spans="1:19" ht="19.899999999999999" customHeight="1">
      <c r="A48" s="770" t="s">
        <v>213</v>
      </c>
      <c r="B48" s="754"/>
      <c r="C48" s="754"/>
      <c r="D48" s="754"/>
      <c r="E48" s="754"/>
      <c r="F48" s="754"/>
      <c r="G48" s="758"/>
      <c r="H48" s="758"/>
      <c r="I48" s="754"/>
      <c r="J48" s="758" t="s">
        <v>620</v>
      </c>
      <c r="K48" s="758"/>
      <c r="L48" s="758"/>
      <c r="M48" s="721"/>
      <c r="P48"/>
      <c r="Q48"/>
      <c r="R48"/>
      <c r="S48"/>
    </row>
    <row r="49" spans="1:25" ht="21" customHeight="1">
      <c r="A49" s="1573" t="s">
        <v>855</v>
      </c>
      <c r="B49" s="759" t="s">
        <v>866</v>
      </c>
      <c r="C49" s="760">
        <f>E44</f>
        <v>15.269499999999994</v>
      </c>
      <c r="D49" s="763" t="s">
        <v>3</v>
      </c>
      <c r="E49" s="754"/>
      <c r="F49" s="754"/>
      <c r="G49" s="754"/>
      <c r="H49" s="754"/>
      <c r="I49" s="754"/>
      <c r="J49" s="759" t="s">
        <v>863</v>
      </c>
      <c r="K49" s="760">
        <f>K45*K10*K11</f>
        <v>0</v>
      </c>
      <c r="L49" s="763" t="s">
        <v>1</v>
      </c>
      <c r="M49" s="721"/>
      <c r="P49"/>
      <c r="Q49"/>
      <c r="R49"/>
      <c r="S49"/>
    </row>
    <row r="50" spans="1:25" ht="21" customHeight="1">
      <c r="A50" s="1573"/>
      <c r="B50" s="759" t="s">
        <v>867</v>
      </c>
      <c r="C50" s="760">
        <f>ABS(C44)</f>
        <v>17.82</v>
      </c>
      <c r="D50" s="763" t="s">
        <v>3</v>
      </c>
      <c r="E50" s="759" t="s">
        <v>858</v>
      </c>
      <c r="F50" s="757">
        <f>ABS(D44)</f>
        <v>2.7599999999999993</v>
      </c>
      <c r="G50" s="763" t="s">
        <v>3</v>
      </c>
      <c r="H50" s="754"/>
      <c r="I50" s="754"/>
      <c r="J50" s="759" t="s">
        <v>941</v>
      </c>
      <c r="K50" s="760">
        <f>K49*1.55*K11/4</f>
        <v>0</v>
      </c>
      <c r="L50" s="763" t="s">
        <v>4</v>
      </c>
      <c r="M50" s="721"/>
      <c r="P50"/>
      <c r="Q50"/>
      <c r="R50"/>
      <c r="S50"/>
    </row>
    <row r="51" spans="1:25" ht="21" customHeight="1">
      <c r="A51" s="1573"/>
      <c r="B51" s="759" t="s">
        <v>868</v>
      </c>
      <c r="C51" s="760">
        <f>ABS(G44)</f>
        <v>564.86349999999993</v>
      </c>
      <c r="D51" s="763" t="s">
        <v>4</v>
      </c>
      <c r="E51" s="759" t="s">
        <v>860</v>
      </c>
      <c r="F51" s="757">
        <f>ABS(F44)</f>
        <v>108.8412</v>
      </c>
      <c r="G51" s="763" t="s">
        <v>4</v>
      </c>
      <c r="H51" s="754"/>
      <c r="I51" s="1573" t="s">
        <v>828</v>
      </c>
      <c r="J51" s="1573"/>
      <c r="K51" s="760">
        <v>0</v>
      </c>
      <c r="L51" s="763" t="s">
        <v>0</v>
      </c>
      <c r="M51" s="721"/>
      <c r="P51"/>
      <c r="Q51"/>
      <c r="R51"/>
      <c r="S51"/>
    </row>
    <row r="52" spans="1:25" ht="21" customHeight="1">
      <c r="A52" s="763"/>
      <c r="B52" s="759" t="s">
        <v>869</v>
      </c>
      <c r="C52" s="760">
        <f>ABS(E43)</f>
        <v>87.999899999999997</v>
      </c>
      <c r="D52" s="763" t="s">
        <v>3</v>
      </c>
      <c r="E52" s="759" t="s">
        <v>700</v>
      </c>
      <c r="F52" s="757">
        <f>MAX(ABS(C43),ABS(D43))</f>
        <v>6.408199999999999</v>
      </c>
      <c r="G52" s="763" t="s">
        <v>3</v>
      </c>
      <c r="H52" s="754"/>
      <c r="I52" s="1573" t="s">
        <v>621</v>
      </c>
      <c r="J52" s="1573"/>
      <c r="K52" s="760">
        <f>K51*K10*K11/2</f>
        <v>0</v>
      </c>
      <c r="L52" s="763" t="s">
        <v>1</v>
      </c>
      <c r="M52" s="723"/>
      <c r="P52"/>
      <c r="Q52"/>
      <c r="R52"/>
      <c r="S52"/>
    </row>
    <row r="53" spans="1:25" ht="21" customHeight="1">
      <c r="A53" s="763"/>
      <c r="B53" s="759" t="s">
        <v>870</v>
      </c>
      <c r="C53" s="760">
        <f>ABS(E42)</f>
        <v>80.48060000000001</v>
      </c>
      <c r="D53" s="763" t="s">
        <v>3</v>
      </c>
      <c r="E53" s="759" t="s">
        <v>701</v>
      </c>
      <c r="F53" s="757">
        <f>MAX(ABS(C42),ABS(D42))</f>
        <v>4.9444999999999997</v>
      </c>
      <c r="G53" s="763" t="s">
        <v>3</v>
      </c>
      <c r="H53" s="754"/>
      <c r="I53" s="1573" t="s">
        <v>622</v>
      </c>
      <c r="J53" s="1573"/>
      <c r="K53" s="760">
        <f>K52*(1.5)*K10/4</f>
        <v>0</v>
      </c>
      <c r="L53" s="763" t="s">
        <v>4</v>
      </c>
      <c r="M53" s="1646" t="s">
        <v>695</v>
      </c>
      <c r="N53" s="1647"/>
      <c r="O53" s="1647"/>
      <c r="P53" s="1648"/>
      <c r="Q53"/>
      <c r="R53"/>
      <c r="S53"/>
    </row>
    <row r="54" spans="1:25" ht="21" customHeight="1">
      <c r="A54" s="1573" t="s">
        <v>861</v>
      </c>
      <c r="B54" s="759" t="s">
        <v>866</v>
      </c>
      <c r="C54" s="760">
        <f>ABS(E45)</f>
        <v>15.269399999999999</v>
      </c>
      <c r="D54" s="763" t="s">
        <v>3</v>
      </c>
      <c r="E54" s="754"/>
      <c r="F54" s="754"/>
      <c r="G54" s="763"/>
      <c r="H54" s="754"/>
      <c r="M54" s="722" t="s">
        <v>853</v>
      </c>
      <c r="N54" s="467" t="s">
        <v>152</v>
      </c>
      <c r="O54" s="254" t="s">
        <v>153</v>
      </c>
      <c r="P54" s="254" t="s">
        <v>699</v>
      </c>
      <c r="Q54"/>
      <c r="R54"/>
      <c r="S54"/>
    </row>
    <row r="55" spans="1:25" ht="21" customHeight="1">
      <c r="A55" s="1573"/>
      <c r="B55" s="759" t="s">
        <v>867</v>
      </c>
      <c r="C55" s="760">
        <f>ABS(C45)</f>
        <v>11.067600000000002</v>
      </c>
      <c r="D55" s="763" t="s">
        <v>3</v>
      </c>
      <c r="E55" s="759" t="s">
        <v>858</v>
      </c>
      <c r="F55" s="760">
        <f>ABS(D45)</f>
        <v>7.6415999999999995</v>
      </c>
      <c r="G55" s="763" t="s">
        <v>3</v>
      </c>
      <c r="H55" s="760"/>
      <c r="M55" s="722" t="s">
        <v>696</v>
      </c>
      <c r="N55" s="467">
        <f>F51+F50*$K$14</f>
        <v>118.5012</v>
      </c>
      <c r="O55" s="467">
        <f>C51+C50*$K$14</f>
        <v>627.23349999999994</v>
      </c>
      <c r="P55" s="467">
        <f>SQRT(N55^2+O55^2)</f>
        <v>638.32938043277466</v>
      </c>
      <c r="Q55"/>
      <c r="R55"/>
      <c r="S55"/>
    </row>
    <row r="56" spans="1:25" ht="21" customHeight="1">
      <c r="A56" s="1573"/>
      <c r="B56" s="759" t="s">
        <v>868</v>
      </c>
      <c r="C56" s="760">
        <f>ABS(G45)</f>
        <v>341.53899999999999</v>
      </c>
      <c r="D56" s="763" t="s">
        <v>4</v>
      </c>
      <c r="E56" s="759" t="s">
        <v>860</v>
      </c>
      <c r="F56" s="760">
        <f>ABS(F45)</f>
        <v>226.97150000000002</v>
      </c>
      <c r="G56" s="763" t="s">
        <v>4</v>
      </c>
      <c r="H56" s="760"/>
      <c r="M56" s="722" t="s">
        <v>697</v>
      </c>
      <c r="N56" s="467">
        <f>F56+F55*$K$14</f>
        <v>253.71710000000002</v>
      </c>
      <c r="O56" s="467">
        <f>C56+C55*$K$14</f>
        <v>380.2756</v>
      </c>
      <c r="P56" s="467">
        <f>SQRT(N56^2+O56^2)</f>
        <v>457.14538036358852</v>
      </c>
      <c r="Q56"/>
      <c r="R56"/>
      <c r="S56"/>
    </row>
    <row r="57" spans="1:25" ht="21" customHeight="1">
      <c r="A57" s="1573" t="s">
        <v>549</v>
      </c>
      <c r="B57" s="759" t="s">
        <v>866</v>
      </c>
      <c r="C57" s="760">
        <f>ABS(E46)</f>
        <v>15.269499999999994</v>
      </c>
      <c r="D57" s="763" t="s">
        <v>3</v>
      </c>
      <c r="E57" s="754"/>
      <c r="F57" s="754"/>
      <c r="G57" s="763"/>
      <c r="H57" s="760"/>
      <c r="M57" s="722" t="s">
        <v>698</v>
      </c>
      <c r="N57" s="467">
        <f>F59+F58*$K$14</f>
        <v>118.5012</v>
      </c>
      <c r="O57" s="467">
        <f>C59+C58*$K$14</f>
        <v>627.23349999999994</v>
      </c>
      <c r="P57" s="467">
        <f>SQRT(N57^2+O57^2)</f>
        <v>638.32938043277466</v>
      </c>
      <c r="Q57"/>
      <c r="R57"/>
      <c r="S57"/>
    </row>
    <row r="58" spans="1:25" ht="21" customHeight="1">
      <c r="A58" s="1573"/>
      <c r="B58" s="759" t="s">
        <v>867</v>
      </c>
      <c r="C58" s="760">
        <f>ABS(C46)</f>
        <v>17.82</v>
      </c>
      <c r="D58" s="763" t="s">
        <v>3</v>
      </c>
      <c r="E58" s="759" t="s">
        <v>871</v>
      </c>
      <c r="F58" s="760">
        <f>ABS(D46)</f>
        <v>2.7599999999999993</v>
      </c>
      <c r="G58" s="763" t="s">
        <v>3</v>
      </c>
      <c r="H58" s="760"/>
      <c r="M58" s="721"/>
      <c r="N58"/>
      <c r="O58"/>
      <c r="P58"/>
      <c r="Q58"/>
      <c r="R58"/>
      <c r="S58"/>
    </row>
    <row r="59" spans="1:25" ht="21" customHeight="1">
      <c r="A59" s="1573"/>
      <c r="B59" s="759" t="s">
        <v>868</v>
      </c>
      <c r="C59" s="760">
        <f>ABS(G46)</f>
        <v>564.86349999999993</v>
      </c>
      <c r="D59" s="763" t="s">
        <v>4</v>
      </c>
      <c r="E59" s="759" t="s">
        <v>868</v>
      </c>
      <c r="F59" s="760">
        <f>ABS(F46)</f>
        <v>108.8412</v>
      </c>
      <c r="G59" s="763" t="s">
        <v>4</v>
      </c>
      <c r="H59" s="760"/>
      <c r="M59" s="721"/>
      <c r="N59"/>
      <c r="O59"/>
      <c r="P59"/>
      <c r="Q59"/>
      <c r="R59"/>
      <c r="S59"/>
    </row>
    <row r="60" spans="1:25" ht="22.15" customHeight="1">
      <c r="A60" s="763" t="s">
        <v>794</v>
      </c>
      <c r="B60" s="754"/>
      <c r="C60" s="760"/>
      <c r="D60" s="754"/>
      <c r="E60" s="754"/>
      <c r="F60" s="760"/>
      <c r="G60" s="754"/>
      <c r="H60" s="763" t="s">
        <v>795</v>
      </c>
      <c r="J60" s="754"/>
      <c r="K60" s="760"/>
      <c r="L60" s="754"/>
      <c r="M60" s="721"/>
      <c r="N60"/>
      <c r="O60" s="754" t="s">
        <v>873</v>
      </c>
      <c r="Q60"/>
      <c r="R60"/>
      <c r="S60"/>
      <c r="V60" s="835" t="s">
        <v>995</v>
      </c>
    </row>
    <row r="61" spans="1:25" ht="22.15" customHeight="1">
      <c r="A61" s="763" t="s">
        <v>783</v>
      </c>
      <c r="B61" s="754"/>
      <c r="C61" s="760"/>
      <c r="D61" s="754"/>
      <c r="E61" s="754"/>
      <c r="F61" s="754"/>
      <c r="G61" s="754"/>
      <c r="H61" s="760"/>
      <c r="I61" s="754"/>
      <c r="J61" s="754"/>
      <c r="K61" s="760"/>
      <c r="L61" s="754"/>
      <c r="M61" s="721"/>
      <c r="N61"/>
      <c r="O61"/>
      <c r="Q61"/>
      <c r="R61"/>
      <c r="S61"/>
      <c r="V61" s="836" t="s">
        <v>996</v>
      </c>
      <c r="Y61" s="267">
        <f>Y59*0.5</f>
        <v>0</v>
      </c>
    </row>
    <row r="62" spans="1:25" ht="22.15" customHeight="1">
      <c r="A62" s="763" t="s">
        <v>784</v>
      </c>
      <c r="B62" s="771" t="s">
        <v>785</v>
      </c>
      <c r="C62" s="760">
        <f>MIN(K10:K11)</f>
        <v>10</v>
      </c>
      <c r="D62" s="763" t="s">
        <v>0</v>
      </c>
      <c r="E62" s="754" t="s">
        <v>787</v>
      </c>
      <c r="F62" s="760">
        <f>K19</f>
        <v>0.35</v>
      </c>
      <c r="G62" s="763" t="s">
        <v>0</v>
      </c>
      <c r="H62" s="771" t="s">
        <v>68</v>
      </c>
      <c r="I62" s="760">
        <f>MAX(K10:K11)</f>
        <v>12</v>
      </c>
      <c r="J62" s="763" t="s">
        <v>0</v>
      </c>
      <c r="K62" s="760"/>
      <c r="L62" s="754"/>
      <c r="M62" s="721"/>
      <c r="N62"/>
      <c r="O62"/>
      <c r="Q62"/>
      <c r="R62"/>
      <c r="S62"/>
    </row>
    <row r="63" spans="1:25" ht="22.15" customHeight="1">
      <c r="A63" s="763"/>
      <c r="B63" s="771" t="s">
        <v>786</v>
      </c>
      <c r="C63" s="760">
        <f>K28</f>
        <v>3.75</v>
      </c>
      <c r="D63" s="763" t="s">
        <v>0</v>
      </c>
      <c r="E63" s="825" t="s">
        <v>982</v>
      </c>
      <c r="F63" s="757">
        <f>K17</f>
        <v>1</v>
      </c>
      <c r="G63" s="763" t="s">
        <v>0</v>
      </c>
      <c r="H63" s="771" t="s">
        <v>788</v>
      </c>
      <c r="I63" s="760">
        <f>K26</f>
        <v>2.75</v>
      </c>
      <c r="J63" s="763" t="s">
        <v>0</v>
      </c>
      <c r="K63" s="754"/>
      <c r="L63" s="754"/>
      <c r="M63" s="721"/>
      <c r="N63"/>
      <c r="O63"/>
      <c r="Q63"/>
      <c r="R63"/>
      <c r="S63"/>
    </row>
    <row r="64" spans="1:25" ht="22.15" customHeight="1">
      <c r="A64" s="759" t="s">
        <v>854</v>
      </c>
      <c r="B64" s="760">
        <f>K16</f>
        <v>0.5</v>
      </c>
      <c r="C64" s="763" t="s">
        <v>0</v>
      </c>
      <c r="D64" s="754" t="s">
        <v>872</v>
      </c>
      <c r="E64" s="772">
        <f>O69</f>
        <v>2750000</v>
      </c>
      <c r="F64" s="763" t="s">
        <v>874</v>
      </c>
      <c r="H64" s="754">
        <f>ROUND(3*'HK1'!J54,2)</f>
        <v>154.80000000000001</v>
      </c>
      <c r="I64" s="763" t="s">
        <v>793</v>
      </c>
      <c r="J64" s="759" t="s">
        <v>789</v>
      </c>
      <c r="K64" s="760">
        <f>K23/2</f>
        <v>0.35</v>
      </c>
      <c r="L64" s="763" t="s">
        <v>0</v>
      </c>
      <c r="M64" s="721"/>
      <c r="N64" s="724" t="s">
        <v>844</v>
      </c>
      <c r="O64"/>
      <c r="Q64"/>
      <c r="R64"/>
      <c r="S64"/>
    </row>
    <row r="65" spans="1:19" ht="22.15" customHeight="1">
      <c r="A65" s="763"/>
      <c r="B65" s="759" t="s">
        <v>790</v>
      </c>
      <c r="C65" s="773">
        <f>C62-2*(C63+B64/2)</f>
        <v>2</v>
      </c>
      <c r="D65" s="754" t="s">
        <v>792</v>
      </c>
      <c r="E65" s="754" t="s">
        <v>791</v>
      </c>
      <c r="F65" s="763">
        <f>ROUND(0.9*F62*(E64/H64)^(1/3),2)*N65</f>
        <v>8.2200000000000006</v>
      </c>
      <c r="G65" s="754"/>
      <c r="H65" s="759" t="s">
        <v>790</v>
      </c>
      <c r="I65" s="773">
        <f>I62-2*(I63+B64/2+K64)</f>
        <v>5.3</v>
      </c>
      <c r="J65" s="754" t="s">
        <v>792</v>
      </c>
      <c r="K65" s="754" t="s">
        <v>791</v>
      </c>
      <c r="L65" s="763">
        <f>ROUND(0.8*F63*(E64/H64)^(1/3),2)*N65</f>
        <v>20.87</v>
      </c>
      <c r="M65" s="721" t="str">
        <f>IF(F65&gt;C65&amp;L65&gt;I65,"OK","ChưaOK")</f>
        <v>OK</v>
      </c>
      <c r="N65">
        <f>IF(H64/3&gt;2100,3.6,1)</f>
        <v>1</v>
      </c>
      <c r="O65"/>
      <c r="Q65"/>
      <c r="R65"/>
      <c r="S65"/>
    </row>
    <row r="66" spans="1:19" ht="19.899999999999999" customHeight="1">
      <c r="A66" s="753" t="s">
        <v>623</v>
      </c>
      <c r="B66" s="754"/>
      <c r="C66" s="754"/>
      <c r="D66" s="754"/>
      <c r="E66" s="754"/>
      <c r="F66" s="754"/>
      <c r="G66" s="754"/>
      <c r="H66" s="754"/>
      <c r="I66" s="758"/>
      <c r="J66" s="758"/>
      <c r="K66" s="758"/>
      <c r="L66" s="758"/>
      <c r="M66" s="721"/>
    </row>
    <row r="67" spans="1:19" ht="21" customHeight="1">
      <c r="A67" s="763"/>
      <c r="B67" s="763" t="s">
        <v>624</v>
      </c>
      <c r="C67" s="754"/>
      <c r="D67" s="754" t="str">
        <f>VLOOKUP(E67,'Bảng tra'!$B$3:$C$13,2,0)&amp;" - Mác"</f>
        <v>B20 - Mác</v>
      </c>
      <c r="E67" s="774" t="s">
        <v>524</v>
      </c>
      <c r="F67" s="754"/>
      <c r="G67" s="754"/>
      <c r="H67" s="754"/>
      <c r="I67" s="759" t="s">
        <v>540</v>
      </c>
      <c r="J67" s="754" t="s">
        <v>823</v>
      </c>
      <c r="K67" s="754"/>
      <c r="L67" s="754"/>
      <c r="M67" s="724"/>
      <c r="N67" t="s">
        <v>778</v>
      </c>
      <c r="O67"/>
      <c r="P67"/>
      <c r="Q67"/>
    </row>
    <row r="68" spans="1:19" ht="21" customHeight="1">
      <c r="A68" s="763"/>
      <c r="B68" s="754"/>
      <c r="C68" s="759" t="s">
        <v>625</v>
      </c>
      <c r="D68" s="775" t="s">
        <v>875</v>
      </c>
      <c r="E68" s="754">
        <f>VLOOKUP(E67,'Bảng tra'!$B$3:$F$13,3,0)*100</f>
        <v>1150</v>
      </c>
      <c r="F68" s="754" t="s">
        <v>10</v>
      </c>
      <c r="G68" s="754"/>
      <c r="H68" s="754"/>
      <c r="J68" s="759" t="s">
        <v>876</v>
      </c>
      <c r="K68" s="754">
        <f>VLOOKUP(J67,'Bảng tra'!I3:M6,2,0)*100</f>
        <v>35000</v>
      </c>
      <c r="L68" s="754" t="s">
        <v>10</v>
      </c>
      <c r="M68" s="724"/>
      <c r="N68" s="714" t="s">
        <v>779</v>
      </c>
      <c r="O68" s="716">
        <f>K10-2*(K28+K16/2+K16)</f>
        <v>1</v>
      </c>
      <c r="P68"/>
      <c r="Q68"/>
    </row>
    <row r="69" spans="1:19" ht="21" customHeight="1">
      <c r="A69" s="763"/>
      <c r="B69" s="754"/>
      <c r="C69" s="759" t="s">
        <v>626</v>
      </c>
      <c r="D69" s="775" t="s">
        <v>877</v>
      </c>
      <c r="E69" s="760">
        <f>VLOOKUP(E67,'Bảng tra'!B3:F13,4,0)*100</f>
        <v>90</v>
      </c>
      <c r="F69" s="754" t="s">
        <v>10</v>
      </c>
      <c r="G69" s="754"/>
      <c r="H69" s="754"/>
      <c r="I69" s="754"/>
      <c r="J69" s="754"/>
      <c r="K69" s="754"/>
      <c r="L69" s="754"/>
      <c r="M69" s="724"/>
      <c r="N69" t="s">
        <v>781</v>
      </c>
      <c r="O69">
        <f>VLOOKUP(M70,'Bảng tra'!B3:F13,5,0)*100</f>
        <v>2750000</v>
      </c>
      <c r="P69"/>
      <c r="Q69"/>
    </row>
    <row r="70" spans="1:19" ht="21" customHeight="1">
      <c r="A70" s="763"/>
      <c r="B70" s="758" t="s">
        <v>227</v>
      </c>
      <c r="C70" s="758"/>
      <c r="D70" s="758"/>
      <c r="E70" s="754"/>
      <c r="F70" s="1573" t="s">
        <v>855</v>
      </c>
      <c r="G70" s="1570"/>
      <c r="H70" s="1573" t="s">
        <v>549</v>
      </c>
      <c r="I70" s="1570"/>
      <c r="J70" s="1573" t="s">
        <v>861</v>
      </c>
      <c r="K70" s="1570"/>
      <c r="L70" s="754"/>
      <c r="M70" s="725" t="str">
        <f>LEFT(E67,4)</f>
        <v>M250</v>
      </c>
      <c r="N70" t="s">
        <v>782</v>
      </c>
      <c r="O70" t="e">
        <f>3*#REF!</f>
        <v>#REF!</v>
      </c>
      <c r="P70"/>
      <c r="Q70" s="716"/>
    </row>
    <row r="71" spans="1:19" ht="21" customHeight="1">
      <c r="A71" s="763"/>
      <c r="B71" s="1570" t="s">
        <v>878</v>
      </c>
      <c r="C71" s="1570"/>
      <c r="D71" s="759" t="s">
        <v>63</v>
      </c>
      <c r="E71" s="754" t="s">
        <v>6</v>
      </c>
      <c r="F71" s="766">
        <f>P55</f>
        <v>638.32938043277466</v>
      </c>
      <c r="G71" s="763" t="s">
        <v>4</v>
      </c>
      <c r="H71" s="766">
        <f>P57</f>
        <v>638.32938043277466</v>
      </c>
      <c r="I71" s="763" t="s">
        <v>4</v>
      </c>
      <c r="J71" s="766">
        <f>P56</f>
        <v>457.14538036358852</v>
      </c>
      <c r="K71" s="763" t="s">
        <v>4</v>
      </c>
      <c r="L71" s="754"/>
      <c r="M71" s="724"/>
      <c r="N71"/>
      <c r="O71"/>
      <c r="P71"/>
      <c r="Q71"/>
    </row>
    <row r="72" spans="1:19" ht="21" customHeight="1">
      <c r="A72" s="763"/>
      <c r="B72" s="754"/>
      <c r="C72" s="754"/>
      <c r="D72" s="759" t="s">
        <v>7</v>
      </c>
      <c r="E72" s="754" t="s">
        <v>6</v>
      </c>
      <c r="F72" s="760">
        <f>C49/K32</f>
        <v>0.12831512605042011</v>
      </c>
      <c r="G72" s="763" t="s">
        <v>10</v>
      </c>
      <c r="H72" s="760">
        <f>C54/K32</f>
        <v>0.12831428571428571</v>
      </c>
      <c r="I72" s="763" t="s">
        <v>10</v>
      </c>
      <c r="J72" s="760">
        <f>C57/K32</f>
        <v>0.12831512605042011</v>
      </c>
      <c r="K72" s="763" t="s">
        <v>10</v>
      </c>
      <c r="L72" s="754"/>
      <c r="M72" s="724"/>
      <c r="N72"/>
      <c r="O72"/>
      <c r="P72"/>
      <c r="Q72"/>
    </row>
    <row r="73" spans="1:19" ht="21" customHeight="1">
      <c r="A73" s="763"/>
      <c r="B73" s="754"/>
      <c r="C73" s="754"/>
      <c r="D73" s="759" t="s">
        <v>8</v>
      </c>
      <c r="E73" s="754" t="s">
        <v>6</v>
      </c>
      <c r="F73" s="760">
        <f>F72+F71/K34</f>
        <v>3.3202280209555357</v>
      </c>
      <c r="G73" s="763" t="s">
        <v>10</v>
      </c>
      <c r="H73" s="760">
        <f>H72+H71/K34</f>
        <v>3.3202271806194013</v>
      </c>
      <c r="I73" s="763" t="s">
        <v>10</v>
      </c>
      <c r="J73" s="760">
        <f>J72+J71/K34</f>
        <v>2.4142325209846072</v>
      </c>
      <c r="K73" s="763" t="s">
        <v>10</v>
      </c>
      <c r="L73" s="754"/>
      <c r="M73" s="724"/>
      <c r="N73"/>
      <c r="O73"/>
      <c r="P73"/>
      <c r="Q73"/>
    </row>
    <row r="74" spans="1:19" ht="21" customHeight="1">
      <c r="A74" s="763"/>
      <c r="B74" s="754"/>
      <c r="C74" s="754"/>
      <c r="D74" s="759" t="s">
        <v>9</v>
      </c>
      <c r="E74" s="754" t="s">
        <v>6</v>
      </c>
      <c r="F74" s="760">
        <f>F72-F71/K34</f>
        <v>-3.0635977688546956</v>
      </c>
      <c r="G74" s="763" t="s">
        <v>10</v>
      </c>
      <c r="H74" s="760">
        <f>H72-H71/K34</f>
        <v>-3.06359860919083</v>
      </c>
      <c r="I74" s="763" t="s">
        <v>10</v>
      </c>
      <c r="J74" s="760">
        <f>J72-J71/K34</f>
        <v>-2.157602268883767</v>
      </c>
      <c r="K74" s="763" t="s">
        <v>10</v>
      </c>
      <c r="L74" s="754"/>
      <c r="M74" s="724"/>
      <c r="N74"/>
      <c r="O74"/>
      <c r="P74"/>
      <c r="Q74"/>
    </row>
    <row r="75" spans="1:19" ht="21" customHeight="1">
      <c r="A75" s="763"/>
      <c r="B75" s="763" t="s">
        <v>228</v>
      </c>
      <c r="C75" s="754"/>
      <c r="D75" s="754"/>
      <c r="E75" s="754"/>
      <c r="F75" s="754"/>
      <c r="G75" s="754"/>
      <c r="H75" s="754"/>
      <c r="I75" s="763"/>
      <c r="J75" s="754"/>
      <c r="K75" s="754"/>
      <c r="L75" s="754"/>
      <c r="M75" s="724"/>
      <c r="N75"/>
      <c r="O75"/>
      <c r="P75"/>
      <c r="Q75"/>
    </row>
    <row r="76" spans="1:19" ht="21" customHeight="1">
      <c r="A76" s="763"/>
      <c r="B76" s="754"/>
      <c r="D76" s="759" t="s">
        <v>11</v>
      </c>
      <c r="E76" s="754" t="s">
        <v>6</v>
      </c>
      <c r="F76" s="760">
        <f>(F73*K11)/(F73-F74)</f>
        <v>6.2412004279726458</v>
      </c>
      <c r="G76" s="773" t="s">
        <v>281</v>
      </c>
      <c r="H76" s="760">
        <f>(H73*K11)/(H73-H74)</f>
        <v>6.24119884835034</v>
      </c>
      <c r="I76" s="763" t="s">
        <v>281</v>
      </c>
      <c r="J76" s="760">
        <f>(J73*K11)/(J73-J74)</f>
        <v>6.33679727798068</v>
      </c>
      <c r="K76" s="763" t="s">
        <v>281</v>
      </c>
      <c r="L76" s="754"/>
      <c r="M76" s="724"/>
      <c r="N76"/>
      <c r="O76"/>
      <c r="P76"/>
      <c r="Q76"/>
    </row>
    <row r="77" spans="1:19" ht="21" customHeight="1">
      <c r="A77" s="763"/>
      <c r="B77" s="763" t="s">
        <v>229</v>
      </c>
      <c r="C77" s="754"/>
      <c r="D77" s="754"/>
      <c r="E77" s="754"/>
      <c r="F77" s="754"/>
      <c r="G77" s="763"/>
      <c r="H77" s="754"/>
      <c r="I77" s="763"/>
      <c r="J77" s="754"/>
      <c r="K77" s="754"/>
      <c r="L77" s="754"/>
      <c r="M77" s="724"/>
      <c r="N77"/>
      <c r="O77"/>
      <c r="P77"/>
      <c r="Q77"/>
    </row>
    <row r="78" spans="1:19" ht="21" customHeight="1">
      <c r="A78" s="763"/>
      <c r="B78" s="754"/>
      <c r="C78" s="754"/>
      <c r="D78" s="754" t="s">
        <v>15</v>
      </c>
      <c r="E78" s="754" t="s">
        <v>6</v>
      </c>
      <c r="F78" s="760">
        <f>(F73*(F76-$G$36)/F76)</f>
        <v>1.3252824616398384</v>
      </c>
      <c r="G78" s="763" t="s">
        <v>10</v>
      </c>
      <c r="H78" s="760">
        <f>(H73*(H76-$G$36)/H76)</f>
        <v>1.325281621303704</v>
      </c>
      <c r="I78" s="763" t="s">
        <v>10</v>
      </c>
      <c r="J78" s="760">
        <f>(J73*(J76-$G$36)/J76)</f>
        <v>0.98553414915074034</v>
      </c>
      <c r="K78" s="763" t="s">
        <v>10</v>
      </c>
      <c r="L78" s="754"/>
      <c r="M78" s="724"/>
      <c r="N78"/>
      <c r="O78"/>
      <c r="P78"/>
      <c r="Q78"/>
    </row>
    <row r="79" spans="1:19" ht="21" customHeight="1">
      <c r="A79" s="763"/>
      <c r="B79" s="754"/>
      <c r="C79" s="754"/>
      <c r="D79" s="754" t="s">
        <v>16</v>
      </c>
      <c r="E79" s="754" t="s">
        <v>6</v>
      </c>
      <c r="F79" s="760">
        <f>(F73*(F76-$K$28-$K$16)/F76)</f>
        <v>1.0592897203977456</v>
      </c>
      <c r="G79" s="763" t="s">
        <v>10</v>
      </c>
      <c r="H79" s="760">
        <f>(H73*(H76-$K$28-$K$16)/H76)</f>
        <v>1.0592888800616109</v>
      </c>
      <c r="I79" s="763" t="s">
        <v>10</v>
      </c>
      <c r="J79" s="760">
        <f>(J73*(J76-$K$28-$K$16)/J76)</f>
        <v>0.79504103290622474</v>
      </c>
      <c r="K79" s="763" t="s">
        <v>10</v>
      </c>
      <c r="L79" s="754"/>
      <c r="M79" s="724"/>
      <c r="N79"/>
      <c r="O79"/>
      <c r="P79"/>
      <c r="Q79"/>
    </row>
    <row r="80" spans="1:19" ht="21" customHeight="1">
      <c r="A80" s="763"/>
      <c r="B80" s="754"/>
      <c r="C80" s="754"/>
      <c r="D80" s="754" t="s">
        <v>14</v>
      </c>
      <c r="E80" s="754" t="s">
        <v>6</v>
      </c>
      <c r="F80" s="760">
        <f>-(F74*($K$11-F76-$K$28)/($K$11-F76))</f>
        <v>1.0686522095389983</v>
      </c>
      <c r="G80" s="763" t="s">
        <v>10</v>
      </c>
      <c r="H80" s="760">
        <f>-(H74*($K$11-H76-$K$28)/($K$11-H76))</f>
        <v>1.0686530498751328</v>
      </c>
      <c r="I80" s="763" t="s">
        <v>10</v>
      </c>
      <c r="J80" s="760">
        <f>-(J74*($K$11-J76-$K$28)/($K$11-J76))</f>
        <v>0.72890389704990011</v>
      </c>
      <c r="K80" s="763" t="s">
        <v>10</v>
      </c>
      <c r="L80" s="754"/>
      <c r="M80" s="724"/>
      <c r="N80"/>
      <c r="O80"/>
      <c r="P80"/>
      <c r="Q80"/>
    </row>
    <row r="81" spans="1:17" ht="21" customHeight="1">
      <c r="A81" s="763"/>
      <c r="B81" s="754"/>
      <c r="C81" s="754"/>
      <c r="D81" s="754" t="s">
        <v>13</v>
      </c>
      <c r="E81" s="754" t="s">
        <v>6</v>
      </c>
      <c r="F81" s="760">
        <f>F74*(F76-$K$11+K28+$K$16)/($K$11-F76)</f>
        <v>0.80265946829690527</v>
      </c>
      <c r="G81" s="763" t="s">
        <v>10</v>
      </c>
      <c r="H81" s="760">
        <f>H74*(H76-$K$11+M38+$K$16)/($K$11-H76)</f>
        <v>2.7976058679487372</v>
      </c>
      <c r="I81" s="763" t="s">
        <v>10</v>
      </c>
      <c r="J81" s="760">
        <f>J74*(J76-$K$11+O38+$K$16)/($K$11-J76)</f>
        <v>1.9671091526392512</v>
      </c>
      <c r="K81" s="763" t="s">
        <v>10</v>
      </c>
      <c r="L81" s="754"/>
      <c r="M81" s="724"/>
      <c r="N81"/>
      <c r="O81"/>
      <c r="P81"/>
      <c r="Q81"/>
    </row>
    <row r="82" spans="1:17" ht="21" customHeight="1">
      <c r="A82" s="763"/>
      <c r="B82" s="754"/>
      <c r="C82" s="754"/>
      <c r="D82" s="754" t="s">
        <v>12</v>
      </c>
      <c r="E82" s="754" t="s">
        <v>6</v>
      </c>
      <c r="F82" s="760">
        <f>F73*(F76-$K$11/2)/F76</f>
        <v>0.12831512605042014</v>
      </c>
      <c r="G82" s="763" t="s">
        <v>10</v>
      </c>
      <c r="H82" s="760">
        <f>H73*(H76-$K$11/2)/H76</f>
        <v>0.12831428571428563</v>
      </c>
      <c r="I82" s="763" t="s">
        <v>10</v>
      </c>
      <c r="J82" s="760">
        <f>J73*(J76-$K$11/2)/J76</f>
        <v>0.12831512605042023</v>
      </c>
      <c r="K82" s="763" t="s">
        <v>10</v>
      </c>
      <c r="L82" s="754"/>
      <c r="M82" s="724"/>
      <c r="N82"/>
      <c r="O82"/>
      <c r="P82"/>
      <c r="Q82"/>
    </row>
    <row r="83" spans="1:17" ht="19.899999999999999" hidden="1" customHeight="1">
      <c r="A83" s="763"/>
      <c r="B83" s="754"/>
      <c r="C83" s="754"/>
      <c r="D83" s="754" t="s">
        <v>22</v>
      </c>
      <c r="E83" s="754" t="s">
        <v>6</v>
      </c>
      <c r="F83" s="760">
        <f>F73*(F76-$K$28*2-$K$16)/F76</f>
        <v>-0.93565583891795168</v>
      </c>
      <c r="G83" s="763" t="s">
        <v>10</v>
      </c>
      <c r="H83" s="760">
        <f>H73*(H76-$K$28*2-$K$16)/H76</f>
        <v>-0.93565667925408635</v>
      </c>
      <c r="I83" s="763" t="s">
        <v>10</v>
      </c>
      <c r="J83" s="760">
        <f>J73*(J76-$K$28*2-$K$16)/J76</f>
        <v>-0.63365733892764209</v>
      </c>
      <c r="K83" s="763" t="s">
        <v>10</v>
      </c>
      <c r="L83" s="754"/>
      <c r="M83" s="724"/>
      <c r="N83"/>
      <c r="O83"/>
      <c r="P83"/>
      <c r="Q83"/>
    </row>
    <row r="84" spans="1:17" ht="19.899999999999999" hidden="1" customHeight="1">
      <c r="A84" s="763"/>
      <c r="B84" s="754"/>
      <c r="C84" s="754"/>
      <c r="D84" s="754" t="s">
        <v>23</v>
      </c>
      <c r="E84" s="754" t="s">
        <v>6</v>
      </c>
      <c r="F84" s="760">
        <f>F73*(F76-$K$11/2+$K$20/2)/F76</f>
        <v>0.39430786729251305</v>
      </c>
      <c r="G84" s="763" t="s">
        <v>10</v>
      </c>
      <c r="H84" s="760">
        <f>H73*(H76-$K$11/2+$K$20/2)/H76</f>
        <v>0.39430702695637859</v>
      </c>
      <c r="I84" s="763" t="s">
        <v>10</v>
      </c>
      <c r="J84" s="760">
        <f>J73*(J76-$K$11/2+$K$20/2)/J76</f>
        <v>0.31880824229493582</v>
      </c>
      <c r="K84" s="763" t="s">
        <v>10</v>
      </c>
      <c r="L84" s="754"/>
      <c r="M84" s="721"/>
    </row>
    <row r="85" spans="1:17" ht="19.899999999999999" hidden="1" customHeight="1">
      <c r="A85" s="763"/>
      <c r="B85" s="754"/>
      <c r="C85" s="754"/>
      <c r="D85" s="754" t="s">
        <v>154</v>
      </c>
      <c r="E85" s="754" t="s">
        <v>6</v>
      </c>
      <c r="F85" s="760">
        <f>(F73*(F76-($K$11-$K$10)/2)/F76)</f>
        <v>2.7882425384713501</v>
      </c>
      <c r="G85" s="763" t="s">
        <v>10</v>
      </c>
      <c r="H85" s="760">
        <f>(H73*(H76-($K$11-$K$10)/2)/H76)</f>
        <v>2.7882416981352152</v>
      </c>
      <c r="I85" s="763" t="s">
        <v>10</v>
      </c>
      <c r="J85" s="760">
        <f>(J73*(J76-($K$11-$K$10)/2)/J76)</f>
        <v>2.033246288495576</v>
      </c>
      <c r="K85" s="763" t="s">
        <v>10</v>
      </c>
      <c r="L85" s="754"/>
      <c r="M85" s="721"/>
    </row>
    <row r="86" spans="1:17" ht="19.899999999999999" customHeight="1">
      <c r="A86" s="763"/>
      <c r="B86" s="754"/>
      <c r="C86" s="754"/>
      <c r="D86" s="754"/>
      <c r="E86" s="754"/>
      <c r="F86" s="760"/>
      <c r="G86" s="760"/>
      <c r="H86" s="760"/>
      <c r="I86" s="754"/>
      <c r="J86" s="754"/>
      <c r="K86" s="754"/>
      <c r="L86" s="754"/>
      <c r="M86" s="721"/>
    </row>
    <row r="87" spans="1:17" ht="19.899999999999999" customHeight="1">
      <c r="A87" s="759" t="s">
        <v>9</v>
      </c>
      <c r="B87" s="754"/>
      <c r="C87" s="754"/>
      <c r="D87" s="754"/>
      <c r="E87" s="754" t="s">
        <v>12</v>
      </c>
      <c r="F87" s="760" t="s">
        <v>16</v>
      </c>
      <c r="G87" s="760"/>
      <c r="H87" s="760" t="s">
        <v>15</v>
      </c>
      <c r="I87" s="754"/>
      <c r="J87" s="754"/>
      <c r="K87" s="754"/>
      <c r="L87" s="754"/>
      <c r="M87" s="721"/>
    </row>
    <row r="88" spans="1:17" ht="19.899999999999999" customHeight="1">
      <c r="A88" s="763"/>
      <c r="B88" s="754"/>
      <c r="C88" s="754"/>
      <c r="D88" s="754"/>
      <c r="E88" s="754"/>
      <c r="F88" s="760"/>
      <c r="G88" s="760"/>
      <c r="H88" s="760"/>
      <c r="I88" s="754"/>
      <c r="J88" s="754"/>
      <c r="K88" s="754"/>
      <c r="L88" s="754"/>
      <c r="M88" s="721"/>
    </row>
    <row r="89" spans="1:17" ht="19.899999999999999" customHeight="1">
      <c r="A89" s="763"/>
      <c r="B89" s="754" t="s">
        <v>14</v>
      </c>
      <c r="C89" s="754" t="s">
        <v>13</v>
      </c>
      <c r="D89" s="754" t="s">
        <v>41</v>
      </c>
      <c r="E89" s="754" t="s">
        <v>12</v>
      </c>
      <c r="F89" s="754"/>
      <c r="G89" s="754"/>
      <c r="H89" s="754"/>
      <c r="I89" s="754"/>
      <c r="J89" s="763" t="s">
        <v>8</v>
      </c>
      <c r="K89" s="754"/>
      <c r="L89" s="754"/>
      <c r="M89" s="721"/>
    </row>
    <row r="90" spans="1:17" ht="19.899999999999999" customHeight="1">
      <c r="A90" s="763"/>
      <c r="B90" s="754"/>
      <c r="C90" s="754"/>
      <c r="D90" s="754"/>
      <c r="E90" s="754"/>
      <c r="F90" s="754"/>
      <c r="G90" s="754" t="s">
        <v>35</v>
      </c>
      <c r="H90" s="754"/>
      <c r="I90" s="754"/>
      <c r="J90" s="754"/>
      <c r="K90" s="754"/>
      <c r="L90" s="754"/>
      <c r="M90" s="721"/>
    </row>
    <row r="91" spans="1:17" ht="19.899999999999999" customHeight="1">
      <c r="A91" s="763"/>
      <c r="B91" s="754"/>
      <c r="C91" s="754"/>
      <c r="D91" s="754"/>
      <c r="E91" s="754"/>
      <c r="F91" s="754"/>
      <c r="G91" s="754"/>
      <c r="H91" s="754"/>
      <c r="I91" s="754"/>
      <c r="J91" s="754"/>
      <c r="K91" s="754"/>
      <c r="L91" s="754"/>
      <c r="M91" s="721"/>
    </row>
    <row r="92" spans="1:17" ht="19.899999999999999" customHeight="1">
      <c r="E92" s="754" t="s">
        <v>40</v>
      </c>
      <c r="M92" s="721"/>
    </row>
    <row r="93" spans="1:17" ht="21" customHeight="1">
      <c r="A93" s="776" t="s">
        <v>627</v>
      </c>
      <c r="B93" s="754"/>
      <c r="C93" s="754"/>
      <c r="D93" s="754"/>
      <c r="E93" s="754"/>
      <c r="F93" s="754"/>
      <c r="G93" s="754"/>
      <c r="H93" s="754"/>
      <c r="I93" s="754"/>
      <c r="J93" s="754"/>
      <c r="K93" s="754"/>
      <c r="L93" s="754"/>
      <c r="M93" s="721"/>
    </row>
    <row r="94" spans="1:17" ht="21" customHeight="1">
      <c r="A94" s="754"/>
      <c r="B94" s="777" t="s">
        <v>628</v>
      </c>
      <c r="C94" s="777"/>
      <c r="D94" s="777"/>
      <c r="E94" s="777"/>
      <c r="F94" s="777"/>
      <c r="G94" s="777"/>
      <c r="H94" s="777"/>
      <c r="I94" s="777"/>
      <c r="J94" s="777"/>
      <c r="K94" s="777"/>
      <c r="L94" s="777"/>
      <c r="M94" s="721"/>
    </row>
    <row r="95" spans="1:17" ht="21" customHeight="1">
      <c r="A95" s="763"/>
      <c r="B95" s="763" t="s">
        <v>629</v>
      </c>
      <c r="C95" s="754"/>
      <c r="D95" s="754"/>
      <c r="E95" s="754"/>
      <c r="F95" s="754"/>
      <c r="G95" s="754"/>
      <c r="H95" s="754"/>
      <c r="I95" s="754"/>
      <c r="J95" s="754"/>
      <c r="K95" s="754"/>
      <c r="L95" s="754"/>
      <c r="M95" s="721"/>
    </row>
    <row r="96" spans="1:17" ht="21" customHeight="1">
      <c r="A96" s="763"/>
      <c r="B96" s="763" t="s">
        <v>630</v>
      </c>
      <c r="C96" s="754"/>
      <c r="D96" s="754"/>
      <c r="E96" s="754"/>
      <c r="F96" s="754"/>
      <c r="G96" s="754"/>
      <c r="H96" s="754"/>
      <c r="I96" s="754"/>
      <c r="J96" s="754"/>
      <c r="K96" s="754"/>
      <c r="L96" s="754"/>
      <c r="M96" s="721"/>
    </row>
    <row r="97" spans="1:14" ht="21" customHeight="1">
      <c r="A97" s="763"/>
      <c r="B97" s="763" t="s">
        <v>631</v>
      </c>
      <c r="C97" s="754"/>
      <c r="D97" s="754"/>
      <c r="E97" s="754"/>
      <c r="F97" s="754"/>
      <c r="G97" s="754"/>
      <c r="H97" s="754"/>
      <c r="I97" s="754"/>
      <c r="J97" s="754"/>
      <c r="K97" s="754"/>
      <c r="L97" s="754"/>
      <c r="M97" s="721"/>
    </row>
    <row r="98" spans="1:14" ht="21" customHeight="1">
      <c r="A98" s="753" t="s">
        <v>232</v>
      </c>
      <c r="B98" s="778"/>
      <c r="C98" s="754"/>
      <c r="D98" s="754"/>
      <c r="E98" s="759" t="s">
        <v>888</v>
      </c>
      <c r="F98" s="754">
        <f>K28+K16/2</f>
        <v>4</v>
      </c>
      <c r="G98" s="763" t="s">
        <v>0</v>
      </c>
      <c r="H98" s="759" t="s">
        <v>889</v>
      </c>
      <c r="I98" s="754">
        <f>K26+K16/2</f>
        <v>3</v>
      </c>
      <c r="J98" s="763" t="s">
        <v>0</v>
      </c>
      <c r="K98" s="754"/>
      <c r="L98" s="754"/>
      <c r="M98" s="721"/>
    </row>
    <row r="99" spans="1:14" ht="21" customHeight="1">
      <c r="A99" s="763"/>
      <c r="B99" s="763" t="s">
        <v>233</v>
      </c>
      <c r="C99" s="754"/>
      <c r="D99" s="754"/>
      <c r="E99" s="754"/>
      <c r="F99" s="754"/>
      <c r="G99" s="763"/>
      <c r="H99" s="754"/>
      <c r="I99" s="754"/>
      <c r="J99" s="754">
        <f>+F98</f>
        <v>4</v>
      </c>
      <c r="K99" s="754"/>
      <c r="L99" s="754"/>
      <c r="M99" s="721"/>
    </row>
    <row r="100" spans="1:14" ht="21" customHeight="1">
      <c r="A100" s="763"/>
      <c r="B100" s="763" t="s">
        <v>234</v>
      </c>
      <c r="C100" s="754"/>
      <c r="D100" s="754"/>
      <c r="E100" s="759" t="s">
        <v>879</v>
      </c>
      <c r="F100" s="760">
        <f>MAX(F73,H73,J73)/(1+F98^4/(I98^4))</f>
        <v>0.79803700206943151</v>
      </c>
      <c r="G100" s="763" t="s">
        <v>235</v>
      </c>
      <c r="H100" s="754"/>
      <c r="I100" s="754"/>
      <c r="J100" s="754"/>
      <c r="K100" s="754"/>
      <c r="L100" s="754"/>
      <c r="M100" s="726"/>
      <c r="N100" s="421">
        <f>+F73/(1+I98^4/F98^4)</f>
        <v>2.5221910188861041</v>
      </c>
    </row>
    <row r="101" spans="1:14" ht="21" customHeight="1">
      <c r="A101" s="763"/>
      <c r="B101" s="759" t="s">
        <v>238</v>
      </c>
      <c r="C101" s="754" t="s">
        <v>1009</v>
      </c>
      <c r="D101" s="754"/>
      <c r="E101" s="759" t="s">
        <v>880</v>
      </c>
      <c r="F101" s="760">
        <f>+MAX(F73,H73,J73)-F100</f>
        <v>2.5221910188861041</v>
      </c>
      <c r="G101" s="763" t="s">
        <v>235</v>
      </c>
      <c r="H101" s="754"/>
      <c r="I101" s="754"/>
      <c r="J101" s="754"/>
      <c r="K101" s="754"/>
      <c r="L101" s="754"/>
      <c r="M101" s="726"/>
      <c r="N101" s="421">
        <f>+F73-N100</f>
        <v>0.79803700206943162</v>
      </c>
    </row>
    <row r="102" spans="1:14" ht="21" customHeight="1">
      <c r="A102" s="763"/>
      <c r="B102" s="759" t="s">
        <v>881</v>
      </c>
      <c r="C102" s="757">
        <f>F100*F98^2/2</f>
        <v>6.3842960165554521</v>
      </c>
      <c r="D102" s="754" t="s">
        <v>4</v>
      </c>
      <c r="E102" s="759" t="s">
        <v>882</v>
      </c>
      <c r="F102" s="757">
        <f>K19</f>
        <v>0.35</v>
      </c>
      <c r="G102" s="763" t="s">
        <v>0</v>
      </c>
      <c r="H102" s="754"/>
      <c r="I102" s="754"/>
      <c r="J102" s="754"/>
      <c r="K102" s="759">
        <f>+I98</f>
        <v>3</v>
      </c>
      <c r="L102" s="754"/>
      <c r="M102" s="721"/>
    </row>
    <row r="103" spans="1:14" ht="21" customHeight="1">
      <c r="A103" s="763"/>
      <c r="B103" s="759" t="s">
        <v>883</v>
      </c>
      <c r="C103" s="757">
        <f>F101*I98^2/2</f>
        <v>11.349859584987469</v>
      </c>
      <c r="D103" s="754" t="s">
        <v>4</v>
      </c>
      <c r="E103" s="759" t="s">
        <v>122</v>
      </c>
      <c r="F103" s="774">
        <v>7.4999999999999997E-2</v>
      </c>
      <c r="G103" s="763" t="s">
        <v>0</v>
      </c>
      <c r="H103" s="754"/>
      <c r="I103" s="758"/>
      <c r="J103" s="754"/>
      <c r="K103" s="754"/>
      <c r="L103" s="754"/>
      <c r="M103" s="727"/>
    </row>
    <row r="104" spans="1:14" ht="21" customHeight="1">
      <c r="A104" s="763"/>
      <c r="B104" s="754"/>
      <c r="C104" s="754"/>
      <c r="D104" s="754"/>
      <c r="E104" s="779" t="s">
        <v>884</v>
      </c>
      <c r="F104" s="754">
        <f>+F102-F103</f>
        <v>0.27499999999999997</v>
      </c>
      <c r="G104" s="763" t="s">
        <v>0</v>
      </c>
      <c r="H104" s="754"/>
      <c r="I104" s="754"/>
      <c r="J104" s="754"/>
      <c r="K104" s="754"/>
      <c r="L104" s="754"/>
      <c r="M104" s="727"/>
    </row>
    <row r="105" spans="1:14" ht="21" customHeight="1">
      <c r="A105" s="754"/>
      <c r="B105" s="763" t="s">
        <v>635</v>
      </c>
      <c r="C105" s="754"/>
      <c r="D105" s="757">
        <f>MAX(C102:C103)</f>
        <v>11.349859584987469</v>
      </c>
      <c r="E105" s="763" t="s">
        <v>777</v>
      </c>
      <c r="F105" s="759" t="s">
        <v>59</v>
      </c>
      <c r="G105" s="780">
        <f>D105/($E$68*$F$104^2)</f>
        <v>0.13050503295709631</v>
      </c>
      <c r="H105" s="754" t="s">
        <v>885</v>
      </c>
      <c r="I105" s="781" t="s">
        <v>539</v>
      </c>
      <c r="J105" s="782">
        <f>0.5*(1+SQRT(1-2*G105))</f>
        <v>0.92982261867129778</v>
      </c>
      <c r="K105" s="754"/>
      <c r="L105" s="754"/>
      <c r="M105" s="727"/>
    </row>
    <row r="106" spans="1:14" ht="21" customHeight="1">
      <c r="A106" s="763"/>
      <c r="B106" s="763" t="s">
        <v>239</v>
      </c>
      <c r="C106" s="781"/>
      <c r="D106" s="759" t="s">
        <v>886</v>
      </c>
      <c r="E106" s="783">
        <f>+D105/($K$68*J105*$F$104)*10^4</f>
        <v>12.682055340115475</v>
      </c>
      <c r="F106" s="784" t="s">
        <v>62</v>
      </c>
      <c r="G106" s="763"/>
      <c r="H106" s="754"/>
      <c r="I106" s="754"/>
      <c r="J106" s="754"/>
      <c r="K106" s="754"/>
      <c r="L106" s="754"/>
      <c r="M106" s="727"/>
    </row>
    <row r="107" spans="1:14" ht="21" customHeight="1">
      <c r="A107" s="1620" t="s">
        <v>827</v>
      </c>
      <c r="B107" s="1620"/>
      <c r="C107" s="785">
        <f>C118</f>
        <v>14</v>
      </c>
      <c r="D107" s="781" t="s">
        <v>826</v>
      </c>
      <c r="E107" s="774">
        <f>E136</f>
        <v>12</v>
      </c>
      <c r="F107" s="781" t="s">
        <v>887</v>
      </c>
      <c r="G107" s="757">
        <f>(100/E107)*3.14*((C107/1000)^2)/4*10^4</f>
        <v>12.821666666666669</v>
      </c>
      <c r="H107" s="763" t="s">
        <v>634</v>
      </c>
      <c r="I107" s="754"/>
      <c r="J107" s="754"/>
      <c r="K107" s="754"/>
      <c r="L107" s="754"/>
      <c r="M107" s="748" t="str">
        <f>IF(G107&lt;E106,"NO","OK")</f>
        <v>OK</v>
      </c>
    </row>
    <row r="108" spans="1:14" ht="21" customHeight="1">
      <c r="A108" s="753" t="s">
        <v>241</v>
      </c>
      <c r="B108" s="778"/>
      <c r="C108" s="786"/>
      <c r="D108" s="754"/>
      <c r="E108" s="754"/>
      <c r="F108" s="754"/>
      <c r="G108" s="757"/>
      <c r="H108" s="754"/>
      <c r="I108" s="754"/>
      <c r="J108" s="754"/>
      <c r="K108" s="754"/>
      <c r="L108" s="754"/>
      <c r="M108" s="727"/>
    </row>
    <row r="109" spans="1:14" ht="21" customHeight="1">
      <c r="A109" s="787"/>
      <c r="B109" s="759" t="s">
        <v>888</v>
      </c>
      <c r="C109" s="757">
        <f>K7</f>
        <v>4</v>
      </c>
      <c r="D109" s="763" t="s">
        <v>0</v>
      </c>
      <c r="E109" s="759" t="s">
        <v>889</v>
      </c>
      <c r="F109" s="757">
        <f>K28+K16/2</f>
        <v>4</v>
      </c>
      <c r="G109" s="763" t="s">
        <v>0</v>
      </c>
      <c r="H109" s="1620" t="s">
        <v>890</v>
      </c>
      <c r="I109" s="1620"/>
      <c r="J109" s="782">
        <f>+C109/F109</f>
        <v>1</v>
      </c>
      <c r="K109" s="1573" t="str">
        <f>IF(J109&lt;2,"&lt; 2 Tính theo bản ngàm 3 cạnh/","&gt;= 2 Tính theo bản console")</f>
        <v>&lt; 2 Tính theo bản ngàm 3 cạnh/</v>
      </c>
      <c r="L109" s="1573"/>
      <c r="M109" s="727"/>
    </row>
    <row r="110" spans="1:14" ht="21" customHeight="1">
      <c r="A110" s="788" t="s">
        <v>520</v>
      </c>
      <c r="B110" s="754"/>
      <c r="C110" s="786"/>
      <c r="D110" s="754"/>
      <c r="E110" s="789"/>
      <c r="F110" s="754"/>
      <c r="G110" s="789"/>
      <c r="H110" s="789"/>
      <c r="I110" s="789"/>
      <c r="J110" s="754"/>
      <c r="K110" s="1573"/>
      <c r="L110" s="1573"/>
      <c r="M110" s="728"/>
    </row>
    <row r="111" spans="1:14" ht="21" customHeight="1">
      <c r="A111" s="763"/>
      <c r="B111" s="763" t="s">
        <v>891</v>
      </c>
      <c r="C111" s="759" t="s">
        <v>892</v>
      </c>
      <c r="D111" s="790">
        <f>+IF(J109&lt;=1.5,IF(J109&lt;=1.4,IF(J109&lt;=1.3,IF(J109&lt;=1.2,IF(J109&lt;=1.1,Tra!O$5+(J109-Tra!$L$5)*Tra!S$5,Tra!O$6+(J109-Tra!$L$6)*Tra!S$6),Tra!O$7+(J109-Tra!$L$7)*Tra!S$7),Tra!O$8+(J109-Tra!$L$8)*Tra!S$8),Tra!O$9+(J109-Tra!$L$9)*Tra!S$9),Tra!O$10)</f>
        <v>5.0999999999999997E-2</v>
      </c>
      <c r="E111" s="754" t="s">
        <v>893</v>
      </c>
      <c r="F111" s="790">
        <f>+IF(J109&lt;=1.5,IF(J109&lt;=1.4,IF(J109&lt;=1.3,IF(J109&lt;=1.2,IF(J109&lt;=1.1,Tra!M$5+(J109-Tra!$L$5)*Tra!Q$5,Tra!M$6+(J109-Tra!$L$6)*Tra!Q$6),Tra!M$7+(J109-Tra!$L$7)*Tra!Q$7),Tra!M$8+(J109-Tra!$L$8)*Tra!Q$8),Tra!M$9+(J109-Tra!$L$9)*Tra!Q$9),Tra!M$10)</f>
        <v>9.9000000000000008E-3</v>
      </c>
      <c r="G111" s="757"/>
      <c r="H111" s="754"/>
      <c r="I111" s="754"/>
      <c r="J111" s="754"/>
      <c r="K111" s="754"/>
      <c r="L111" s="754"/>
      <c r="M111" s="1441" t="s">
        <v>1138</v>
      </c>
    </row>
    <row r="112" spans="1:14" ht="21" customHeight="1">
      <c r="A112" s="763"/>
      <c r="B112" s="754"/>
      <c r="C112" s="759" t="s">
        <v>894</v>
      </c>
      <c r="D112" s="790">
        <f>+IF(J109&lt;=1.5,IF(J109&lt;=1.4,IF(J109&lt;=1.3,IF(J109&lt;=1.2,IF(J109&lt;=1.1,Tra!P$5+(J109-Tra!$L$5)*Tra!T$5,Tra!P$6+(J109-Tra!$L$6)*Tra!T$6),Tra!P$7+(J109-Tra!$L$7)*Tra!T$7),Tra!P$8+(J109-Tra!$L$8)*Tra!T$8),Tra!P$9+(J109-Tra!$L$9)*Tra!T$9),Tra!P$10)</f>
        <v>8.5300000000000001E-2</v>
      </c>
      <c r="E112" s="754" t="s">
        <v>895</v>
      </c>
      <c r="F112" s="790">
        <f>+IF(J109&lt;=1.5,IF(J109&lt;=1.4,IF(J109&lt;=1.3,IF(J109&lt;=1.2,IF(J109&lt;=1.1,Tra!N$5+(J109-Tra!$L$5)*Tra!R$5,Tra!N$6+(J109-Tra!$L$6)*Tra!R$6),Tra!N$7+(J109-Tra!$L$7)*Tra!R$7),Tra!N$8+(J109-Tra!$L$8)*Tra!R$8),Tra!N$9+(J109-Tra!$L$9)*Tra!R$9),Tra!N$10)</f>
        <v>4.5699999999999998E-2</v>
      </c>
      <c r="G112" s="791"/>
      <c r="H112" s="754"/>
      <c r="I112" s="754"/>
      <c r="J112" s="792">
        <f>C109</f>
        <v>4</v>
      </c>
      <c r="K112" s="754"/>
      <c r="L112" s="754"/>
      <c r="M112" s="1441" t="s">
        <v>1139</v>
      </c>
    </row>
    <row r="113" spans="1:15" ht="21" customHeight="1">
      <c r="A113" s="763"/>
      <c r="B113" s="763" t="s">
        <v>242</v>
      </c>
      <c r="C113" s="754"/>
      <c r="D113" s="754"/>
      <c r="E113" s="759" t="s">
        <v>896</v>
      </c>
      <c r="F113" s="757">
        <f>+MAX(F73,H73,J73)</f>
        <v>3.3202280209555357</v>
      </c>
      <c r="G113" s="763" t="s">
        <v>10</v>
      </c>
      <c r="H113" s="754"/>
      <c r="I113" s="754"/>
      <c r="J113" s="754"/>
      <c r="K113" s="754"/>
      <c r="L113" s="754"/>
      <c r="M113" s="1441"/>
    </row>
    <row r="114" spans="1:15" ht="21" customHeight="1">
      <c r="A114" s="763"/>
      <c r="B114" s="759" t="s">
        <v>881</v>
      </c>
      <c r="C114" s="757">
        <f>+IF(J109&lt;2,D111*F113*C109*F109*1,0)</f>
        <v>2.7093060650997169</v>
      </c>
      <c r="D114" s="763" t="s">
        <v>777</v>
      </c>
      <c r="E114" s="759" t="s">
        <v>897</v>
      </c>
      <c r="F114" s="757">
        <f>+IF(J109&lt;2,F111*F113*C109*F109*1,0)</f>
        <v>0.52592411851935694</v>
      </c>
      <c r="G114" s="763" t="s">
        <v>777</v>
      </c>
      <c r="H114" s="754"/>
      <c r="I114" s="757">
        <f>F109</f>
        <v>4</v>
      </c>
      <c r="J114" s="754"/>
      <c r="K114" s="754"/>
      <c r="L114" s="754"/>
      <c r="M114" s="1441" t="s">
        <v>1140</v>
      </c>
    </row>
    <row r="115" spans="1:15" ht="21" customHeight="1">
      <c r="A115" s="763"/>
      <c r="B115" s="759" t="s">
        <v>883</v>
      </c>
      <c r="C115" s="757">
        <f>+IF(J109&lt;2,D112*F113*C109*F109*1,0)</f>
        <v>4.5314472030001154</v>
      </c>
      <c r="D115" s="763" t="s">
        <v>777</v>
      </c>
      <c r="E115" s="759" t="s">
        <v>898</v>
      </c>
      <c r="F115" s="757">
        <f>+IF(J109&lt;2,F112*F113*C109*F109*1,0)</f>
        <v>2.4277507289226876</v>
      </c>
      <c r="G115" s="763" t="s">
        <v>777</v>
      </c>
      <c r="H115" s="754"/>
      <c r="I115" s="754"/>
      <c r="J115" s="754"/>
      <c r="K115" s="754"/>
      <c r="L115" s="754"/>
      <c r="M115" s="1441" t="s">
        <v>1141</v>
      </c>
    </row>
    <row r="116" spans="1:15" ht="21" customHeight="1">
      <c r="A116" s="763"/>
      <c r="B116" s="763" t="s">
        <v>635</v>
      </c>
      <c r="C116" s="754"/>
      <c r="D116" s="757">
        <f>+MAX(C114,C115,F114,F115)</f>
        <v>4.5314472030001154</v>
      </c>
      <c r="E116" s="763" t="s">
        <v>777</v>
      </c>
      <c r="F116" s="759" t="s">
        <v>59</v>
      </c>
      <c r="G116" s="780">
        <f>D116/($E$68*$F$104^2)</f>
        <v>5.210431566511093E-2</v>
      </c>
      <c r="H116" s="754" t="s">
        <v>885</v>
      </c>
      <c r="I116" s="781" t="s">
        <v>539</v>
      </c>
      <c r="J116" s="782">
        <f>0.5*(1+SQRT(1-2*G116))</f>
        <v>0.97323127767239193</v>
      </c>
      <c r="K116" s="754"/>
      <c r="L116" s="754"/>
    </row>
    <row r="117" spans="1:15" ht="21" customHeight="1">
      <c r="A117" s="763"/>
      <c r="B117" s="763" t="s">
        <v>239</v>
      </c>
      <c r="C117" s="781"/>
      <c r="D117" s="759" t="s">
        <v>886</v>
      </c>
      <c r="E117" s="783">
        <f>+D116/($K$68*J116*$F$104)*10^4</f>
        <v>4.8374905349177393</v>
      </c>
      <c r="F117" s="784" t="s">
        <v>62</v>
      </c>
      <c r="G117" s="780"/>
      <c r="H117" s="754"/>
      <c r="I117" s="781"/>
      <c r="J117" s="782"/>
      <c r="K117" s="754"/>
      <c r="L117" s="754"/>
      <c r="M117" s="727"/>
    </row>
    <row r="118" spans="1:15" ht="21" customHeight="1">
      <c r="A118" s="1620" t="s">
        <v>827</v>
      </c>
      <c r="B118" s="1620"/>
      <c r="C118" s="785">
        <f>C122</f>
        <v>14</v>
      </c>
      <c r="D118" s="781" t="s">
        <v>826</v>
      </c>
      <c r="E118" s="774">
        <f>E136</f>
        <v>12</v>
      </c>
      <c r="F118" s="781" t="s">
        <v>887</v>
      </c>
      <c r="G118" s="757">
        <f>(100/E118)*3.14*((C118/1000)^2)/4*10^4</f>
        <v>12.821666666666669</v>
      </c>
      <c r="H118" s="763" t="s">
        <v>634</v>
      </c>
      <c r="I118" s="781"/>
      <c r="J118" s="782"/>
      <c r="K118" s="754"/>
      <c r="L118" s="754"/>
      <c r="M118" s="748" t="str">
        <f>IF(G118&lt;E117,"NO","OK")</f>
        <v>OK</v>
      </c>
    </row>
    <row r="119" spans="1:15" ht="21" customHeight="1">
      <c r="A119" s="788" t="s">
        <v>636</v>
      </c>
      <c r="B119" s="793"/>
      <c r="C119" s="754"/>
      <c r="D119" s="757"/>
      <c r="E119" s="754"/>
      <c r="F119" s="757"/>
      <c r="G119" s="757"/>
      <c r="H119" s="754"/>
      <c r="I119" s="754"/>
      <c r="J119" s="754"/>
      <c r="K119" s="754"/>
      <c r="L119" s="754"/>
      <c r="M119" s="727"/>
    </row>
    <row r="120" spans="1:15" ht="21" customHeight="1">
      <c r="A120" s="763"/>
      <c r="B120" s="763" t="s">
        <v>637</v>
      </c>
      <c r="C120" s="754"/>
      <c r="D120" s="782">
        <f>IF(K109="&gt;= 2 Tính theo bản console",(F78*F109^2/2+(F73-F78)*F109^2/3)*1,0)</f>
        <v>0</v>
      </c>
      <c r="E120" s="763" t="s">
        <v>777</v>
      </c>
      <c r="F120" s="759" t="s">
        <v>59</v>
      </c>
      <c r="G120" s="780">
        <f>D120/($E$68*$F$104^2)</f>
        <v>0</v>
      </c>
      <c r="H120" s="754" t="s">
        <v>885</v>
      </c>
      <c r="I120" s="781" t="s">
        <v>539</v>
      </c>
      <c r="J120" s="782">
        <f>0.5*(1+SQRT(1-2*G120))</f>
        <v>1</v>
      </c>
      <c r="K120" s="754"/>
      <c r="L120" s="754"/>
      <c r="M120" s="727" t="s">
        <v>842</v>
      </c>
      <c r="N120" s="267">
        <f>ROUND(C49*1000/(K10*K11),2)*1</f>
        <v>127.25</v>
      </c>
      <c r="O120" s="267" t="s">
        <v>304</v>
      </c>
    </row>
    <row r="121" spans="1:15" ht="21" customHeight="1">
      <c r="A121" s="763"/>
      <c r="B121" s="763" t="s">
        <v>239</v>
      </c>
      <c r="C121" s="781"/>
      <c r="D121" s="759" t="s">
        <v>886</v>
      </c>
      <c r="E121" s="783">
        <f>+D120/($K$68*J120*$F$104)*10^4</f>
        <v>0</v>
      </c>
      <c r="F121" s="784" t="s">
        <v>62</v>
      </c>
      <c r="G121" s="780"/>
      <c r="H121" s="754"/>
      <c r="I121" s="781"/>
      <c r="J121" s="782"/>
      <c r="K121" s="754"/>
      <c r="L121" s="754"/>
      <c r="M121" s="727"/>
    </row>
    <row r="122" spans="1:15" ht="21" customHeight="1">
      <c r="A122" s="1620" t="s">
        <v>827</v>
      </c>
      <c r="B122" s="1620"/>
      <c r="C122" s="785">
        <f>C132</f>
        <v>14</v>
      </c>
      <c r="D122" s="781" t="s">
        <v>826</v>
      </c>
      <c r="E122" s="774">
        <f>E132</f>
        <v>20</v>
      </c>
      <c r="F122" s="781" t="s">
        <v>887</v>
      </c>
      <c r="G122" s="757">
        <f>(100/E122)*3.14*((C122/1000)^2)/4*10^4</f>
        <v>7.6930000000000014</v>
      </c>
      <c r="H122" s="763" t="s">
        <v>634</v>
      </c>
      <c r="I122" s="781"/>
      <c r="J122" s="782"/>
      <c r="K122" s="754"/>
      <c r="L122" s="754"/>
      <c r="M122" s="748" t="str">
        <f>IF(G122&lt;E121,"NO","OK")</f>
        <v>OK</v>
      </c>
    </row>
    <row r="123" spans="1:15" ht="22.15" customHeight="1">
      <c r="A123" s="753" t="s">
        <v>638</v>
      </c>
      <c r="B123" s="778"/>
      <c r="C123" s="781"/>
      <c r="D123" s="757"/>
      <c r="E123" s="754"/>
      <c r="F123" s="754"/>
      <c r="G123" s="754"/>
      <c r="H123" s="754"/>
      <c r="I123" s="757"/>
      <c r="J123" s="792">
        <f>C124</f>
        <v>4</v>
      </c>
      <c r="K123" s="754"/>
      <c r="L123" s="754"/>
      <c r="M123" s="727"/>
    </row>
    <row r="124" spans="1:15" ht="22.15" customHeight="1">
      <c r="A124" s="787"/>
      <c r="B124" s="759" t="s">
        <v>567</v>
      </c>
      <c r="C124" s="757">
        <f>K7</f>
        <v>4</v>
      </c>
      <c r="D124" s="763" t="s">
        <v>0</v>
      </c>
      <c r="E124" s="759" t="s">
        <v>568</v>
      </c>
      <c r="F124" s="757">
        <f>C124</f>
        <v>4</v>
      </c>
      <c r="G124" s="763" t="s">
        <v>0</v>
      </c>
      <c r="H124" s="754"/>
      <c r="I124" s="754"/>
      <c r="J124" s="754"/>
      <c r="K124" s="754"/>
      <c r="L124" s="754"/>
      <c r="M124" s="729" t="s">
        <v>569</v>
      </c>
    </row>
    <row r="125" spans="1:15" ht="22.15" customHeight="1">
      <c r="A125" s="763"/>
      <c r="B125" s="754" t="s">
        <v>899</v>
      </c>
      <c r="C125" s="759" t="s">
        <v>900</v>
      </c>
      <c r="D125" s="794">
        <f>mi(M125,C124,F124)</f>
        <v>1.7899999395012856E-2</v>
      </c>
      <c r="E125" s="759" t="s">
        <v>893</v>
      </c>
      <c r="F125" s="790">
        <f>ki(M125,C124,F124)</f>
        <v>4.1700001806020737E-2</v>
      </c>
      <c r="G125" s="757"/>
      <c r="H125" s="754"/>
      <c r="I125" s="754"/>
      <c r="J125" s="754"/>
      <c r="K125" s="754"/>
      <c r="L125" s="754"/>
      <c r="M125" s="730">
        <v>9</v>
      </c>
      <c r="N125" s="267" t="s">
        <v>570</v>
      </c>
    </row>
    <row r="126" spans="1:15" ht="22.15" customHeight="1">
      <c r="A126" s="763"/>
      <c r="B126" s="754"/>
      <c r="C126" s="759" t="s">
        <v>901</v>
      </c>
      <c r="D126" s="794">
        <f>mi(M125,C124,F124)</f>
        <v>1.7899999395012856E-2</v>
      </c>
      <c r="E126" s="759" t="s">
        <v>895</v>
      </c>
      <c r="F126" s="790">
        <f>ki(M125,C124,F124)</f>
        <v>4.1700001806020737E-2</v>
      </c>
      <c r="G126" s="757"/>
      <c r="H126" s="754"/>
      <c r="I126" s="754"/>
      <c r="J126" s="754"/>
      <c r="K126" s="754"/>
      <c r="L126" s="754"/>
      <c r="M126" s="727"/>
    </row>
    <row r="127" spans="1:15" ht="22.15" customHeight="1">
      <c r="A127" s="763"/>
      <c r="B127" s="763" t="s">
        <v>242</v>
      </c>
      <c r="C127" s="754"/>
      <c r="D127" s="754"/>
      <c r="E127" s="759" t="s">
        <v>896</v>
      </c>
      <c r="F127" s="757">
        <f>F113</f>
        <v>3.3202280209555357</v>
      </c>
      <c r="G127" s="763" t="s">
        <v>10</v>
      </c>
      <c r="H127" s="754"/>
      <c r="I127" s="773">
        <f>C124</f>
        <v>4</v>
      </c>
      <c r="J127" s="754"/>
      <c r="K127" s="754"/>
      <c r="L127" s="754"/>
      <c r="M127" s="727"/>
    </row>
    <row r="128" spans="1:15" ht="22.15" customHeight="1">
      <c r="A128" s="763"/>
      <c r="B128" s="759" t="s">
        <v>881</v>
      </c>
      <c r="C128" s="783">
        <f>D125*F127*C124*F124</f>
        <v>0.95091327306254114</v>
      </c>
      <c r="D128" s="763" t="s">
        <v>777</v>
      </c>
      <c r="E128" s="759" t="s">
        <v>897</v>
      </c>
      <c r="F128" s="757">
        <f>F125*C124*F124*F127</f>
        <v>2.2152562315239441</v>
      </c>
      <c r="G128" s="763" t="s">
        <v>777</v>
      </c>
      <c r="H128" s="757"/>
      <c r="I128" s="757"/>
      <c r="J128" s="754"/>
      <c r="K128" s="754"/>
      <c r="L128" s="754"/>
      <c r="M128" s="727"/>
    </row>
    <row r="129" spans="1:18" ht="22.15" customHeight="1">
      <c r="A129" s="763"/>
      <c r="B129" s="759" t="s">
        <v>883</v>
      </c>
      <c r="C129" s="783">
        <f>D126*C124*F124*F127</f>
        <v>0.95091327306254114</v>
      </c>
      <c r="D129" s="763" t="s">
        <v>777</v>
      </c>
      <c r="E129" s="759" t="s">
        <v>898</v>
      </c>
      <c r="F129" s="757">
        <f>F128</f>
        <v>2.2152562315239441</v>
      </c>
      <c r="G129" s="763" t="s">
        <v>777</v>
      </c>
      <c r="H129" s="754"/>
      <c r="I129" s="754"/>
      <c r="J129" s="754"/>
      <c r="K129" s="754"/>
      <c r="L129" s="754"/>
      <c r="M129" s="727"/>
    </row>
    <row r="130" spans="1:18" ht="22.15" customHeight="1">
      <c r="A130" s="763"/>
      <c r="B130" s="763" t="s">
        <v>639</v>
      </c>
      <c r="C130" s="781"/>
      <c r="D130" s="757">
        <f>MAX(C128,C129,F128,F129)</f>
        <v>2.2152562315239441</v>
      </c>
      <c r="E130" s="763" t="s">
        <v>777</v>
      </c>
      <c r="F130" s="759" t="s">
        <v>59</v>
      </c>
      <c r="G130" s="780">
        <f>D130/($E$68*$F$104^2)</f>
        <v>2.5471864681554518E-2</v>
      </c>
      <c r="H130" s="754" t="s">
        <v>885</v>
      </c>
      <c r="I130" s="781" t="s">
        <v>539</v>
      </c>
      <c r="J130" s="782">
        <f>0.5*(1+SQRT(1-2*G130))</f>
        <v>0.9870975956204493</v>
      </c>
      <c r="K130" s="754"/>
      <c r="L130" s="754"/>
      <c r="M130" s="727"/>
    </row>
    <row r="131" spans="1:18" ht="22.15" customHeight="1">
      <c r="A131" s="763"/>
      <c r="B131" s="763" t="s">
        <v>239</v>
      </c>
      <c r="C131" s="781"/>
      <c r="D131" s="759" t="s">
        <v>886</v>
      </c>
      <c r="E131" s="783">
        <f>+D130/($K$68*J130*$F$104)*10^4</f>
        <v>2.3316487914473782</v>
      </c>
      <c r="F131" s="784" t="s">
        <v>62</v>
      </c>
      <c r="G131" s="757"/>
      <c r="H131" s="754"/>
      <c r="J131" s="782"/>
      <c r="K131" s="754"/>
      <c r="L131" s="754"/>
      <c r="M131" s="727"/>
    </row>
    <row r="132" spans="1:18" ht="22.15" customHeight="1">
      <c r="A132" s="1620" t="s">
        <v>827</v>
      </c>
      <c r="B132" s="1620"/>
      <c r="C132" s="785">
        <f>C136</f>
        <v>14</v>
      </c>
      <c r="D132" s="779" t="s">
        <v>826</v>
      </c>
      <c r="E132" s="774">
        <v>20</v>
      </c>
      <c r="F132" s="781" t="s">
        <v>905</v>
      </c>
      <c r="G132" s="757">
        <f>(100/E132)*3.14*((C132/1000)^2)/4*10^4</f>
        <v>7.6930000000000014</v>
      </c>
      <c r="H132" s="763" t="s">
        <v>634</v>
      </c>
      <c r="J132" s="782"/>
      <c r="K132" s="754"/>
      <c r="L132" s="754"/>
      <c r="M132" s="727" t="str">
        <f>IF(G132&gt;MAX(E131,E121,E117),"OK","NO")</f>
        <v>OK</v>
      </c>
    </row>
    <row r="133" spans="1:18" ht="22.15" customHeight="1">
      <c r="A133" s="763"/>
      <c r="B133" s="763" t="s">
        <v>839</v>
      </c>
      <c r="C133" s="780"/>
      <c r="D133" s="754"/>
      <c r="E133" s="781"/>
      <c r="F133" s="782"/>
      <c r="G133" s="757"/>
      <c r="H133" s="754"/>
      <c r="I133" s="754"/>
      <c r="J133" s="754"/>
      <c r="K133" s="754"/>
      <c r="L133" s="754"/>
      <c r="M133" s="727"/>
    </row>
    <row r="134" spans="1:18" ht="22.15" customHeight="1">
      <c r="A134" s="763"/>
      <c r="B134" s="759" t="s">
        <v>902</v>
      </c>
      <c r="C134" s="780">
        <f>MAX(C102:C103,D116,D120,D130)</f>
        <v>11.349859584987469</v>
      </c>
      <c r="D134" s="763" t="s">
        <v>777</v>
      </c>
      <c r="E134" s="759" t="s">
        <v>59</v>
      </c>
      <c r="F134" s="780">
        <f>C134/($E$68*$F$104^2)</f>
        <v>0.13050503295709631</v>
      </c>
      <c r="G134" s="754" t="s">
        <v>885</v>
      </c>
      <c r="H134" s="781" t="s">
        <v>904</v>
      </c>
      <c r="I134" s="782">
        <f>0.5*(1+SQRT(1-2*F134))</f>
        <v>0.92982261867129778</v>
      </c>
      <c r="J134" s="759" t="s">
        <v>840</v>
      </c>
      <c r="K134" s="754"/>
      <c r="L134" s="754"/>
      <c r="M134" s="727"/>
    </row>
    <row r="135" spans="1:18" ht="22.15" customHeight="1">
      <c r="A135" s="763"/>
      <c r="B135" s="763" t="s">
        <v>239</v>
      </c>
      <c r="C135" s="781"/>
      <c r="D135" s="759" t="s">
        <v>886</v>
      </c>
      <c r="E135" s="783">
        <f>+C134/($K$68*I134*$F$104)*10^4</f>
        <v>12.682055340115475</v>
      </c>
      <c r="F135" s="784" t="s">
        <v>62</v>
      </c>
      <c r="G135" s="757"/>
      <c r="H135" s="754"/>
      <c r="I135" s="754"/>
      <c r="J135" s="754"/>
      <c r="K135" s="754"/>
      <c r="L135" s="754"/>
      <c r="M135" s="727"/>
    </row>
    <row r="136" spans="1:18" ht="22.15" customHeight="1">
      <c r="A136" s="1620" t="s">
        <v>827</v>
      </c>
      <c r="B136" s="1620"/>
      <c r="C136" s="785">
        <v>14</v>
      </c>
      <c r="D136" s="779" t="s">
        <v>826</v>
      </c>
      <c r="E136" s="774">
        <v>12</v>
      </c>
      <c r="F136" s="781" t="s">
        <v>905</v>
      </c>
      <c r="G136" s="757">
        <f>(100/E136)*3.14*((C136/1000)^2)/4*10^4</f>
        <v>12.821666666666669</v>
      </c>
      <c r="H136" s="763" t="s">
        <v>634</v>
      </c>
      <c r="I136" s="754"/>
      <c r="J136" s="754"/>
      <c r="K136" s="754"/>
      <c r="L136" s="754"/>
      <c r="M136" s="727" t="str">
        <f>IF(G136&gt;E135,"OK","NO")</f>
        <v>OK</v>
      </c>
    </row>
    <row r="137" spans="1:18" ht="22.15" customHeight="1">
      <c r="A137" s="1620" t="s">
        <v>757</v>
      </c>
      <c r="B137" s="1620"/>
      <c r="C137" s="754" t="s">
        <v>81</v>
      </c>
      <c r="D137" s="754">
        <f>ROUND(G136/(F104*100),2)</f>
        <v>0.47</v>
      </c>
      <c r="E137" s="763" t="s">
        <v>758</v>
      </c>
      <c r="F137" s="757"/>
      <c r="G137" s="757"/>
      <c r="H137" s="754"/>
      <c r="I137" s="754"/>
      <c r="J137" s="754"/>
      <c r="K137" s="754"/>
      <c r="L137" s="754"/>
      <c r="M137" s="727" t="str">
        <f>IF(D137&gt;0.1,"OK","NO")</f>
        <v>OK</v>
      </c>
    </row>
    <row r="138" spans="1:18" ht="22.15" customHeight="1">
      <c r="A138" s="795" t="s">
        <v>640</v>
      </c>
      <c r="B138" s="754"/>
      <c r="C138" s="781"/>
      <c r="D138" s="757"/>
      <c r="E138" s="754"/>
      <c r="F138" s="757"/>
      <c r="G138" s="757"/>
      <c r="H138" s="754"/>
      <c r="I138" s="754"/>
      <c r="J138" s="754"/>
      <c r="K138" s="754"/>
      <c r="L138" s="754"/>
      <c r="M138" s="727"/>
    </row>
    <row r="139" spans="1:18" ht="22.15" customHeight="1">
      <c r="A139" s="763"/>
      <c r="B139" s="796" t="s">
        <v>903</v>
      </c>
      <c r="C139" s="754">
        <f>ROUND(N120/1000,2)</f>
        <v>0.13</v>
      </c>
      <c r="D139" s="763" t="s">
        <v>592</v>
      </c>
      <c r="E139" s="754"/>
      <c r="F139" s="757"/>
      <c r="G139" s="757"/>
      <c r="H139" s="754"/>
      <c r="I139" s="754"/>
      <c r="J139" s="754"/>
      <c r="K139" s="754"/>
      <c r="L139" s="754"/>
      <c r="M139" s="727"/>
    </row>
    <row r="140" spans="1:18" ht="22.15" customHeight="1">
      <c r="A140" s="1621" t="s">
        <v>641</v>
      </c>
      <c r="B140" s="1621"/>
      <c r="C140" s="1621"/>
      <c r="D140" s="781"/>
      <c r="E140" s="792">
        <f>1.25*0.5*E69*1*F104</f>
        <v>15.468749999999998</v>
      </c>
      <c r="F140" s="824" t="s">
        <v>906</v>
      </c>
      <c r="I140" s="754"/>
      <c r="J140" s="754"/>
      <c r="K140" s="754"/>
      <c r="L140" s="779" t="s">
        <v>642</v>
      </c>
      <c r="M140" s="727"/>
    </row>
    <row r="141" spans="1:18" ht="19.899999999999999" customHeight="1">
      <c r="A141" s="776" t="s">
        <v>643</v>
      </c>
      <c r="B141" s="754"/>
      <c r="C141" s="754"/>
      <c r="D141" s="754"/>
      <c r="E141" s="754"/>
      <c r="F141" s="754"/>
      <c r="G141" s="754"/>
      <c r="H141" s="1651">
        <f>(F73+F83)*(2*K28+K16)/2</f>
        <v>9.5382887281503361</v>
      </c>
      <c r="I141" s="1651"/>
      <c r="J141" s="763" t="s">
        <v>3</v>
      </c>
      <c r="K141" s="754"/>
      <c r="L141" s="754"/>
      <c r="M141" s="721"/>
      <c r="Q141" s="1602" t="s">
        <v>841</v>
      </c>
      <c r="R141" s="1602"/>
    </row>
    <row r="142" spans="1:18" ht="19.899999999999999" customHeight="1">
      <c r="A142" s="763"/>
      <c r="B142" s="754"/>
      <c r="C142" s="754"/>
      <c r="D142" s="754"/>
      <c r="E142" s="754"/>
      <c r="F142" s="754"/>
      <c r="G142" s="754"/>
      <c r="H142" s="754"/>
      <c r="I142" s="754"/>
      <c r="J142" s="757"/>
      <c r="K142" s="754"/>
      <c r="L142" s="754"/>
      <c r="M142" s="721"/>
      <c r="Q142" s="410" t="s">
        <v>32</v>
      </c>
      <c r="R142" s="410">
        <f>H160</f>
        <v>9.5382887281503361</v>
      </c>
    </row>
    <row r="143" spans="1:18" ht="19.899999999999999" customHeight="1">
      <c r="A143" s="763"/>
      <c r="B143" s="754"/>
      <c r="C143" s="754"/>
      <c r="D143" s="754"/>
      <c r="E143" s="754"/>
      <c r="F143" s="754"/>
      <c r="G143" s="754"/>
      <c r="H143" s="754"/>
      <c r="I143" s="754"/>
      <c r="J143" s="757"/>
      <c r="K143" s="754"/>
      <c r="L143" s="754"/>
      <c r="M143" s="721" t="s">
        <v>155</v>
      </c>
      <c r="N143" s="469">
        <f>0.5*(K26+K16/2)^2*MAX(F78,H78,J78)*2*1000</f>
        <v>11927.542154758547</v>
      </c>
      <c r="O143" s="267" t="s">
        <v>159</v>
      </c>
      <c r="P143" s="266">
        <f>+K28+N147/2</f>
        <v>4.25</v>
      </c>
      <c r="Q143" s="410" t="s">
        <v>33</v>
      </c>
      <c r="R143" s="410">
        <f>H150</f>
        <v>10.214973692682134</v>
      </c>
    </row>
    <row r="144" spans="1:18" ht="19.899999999999999" customHeight="1">
      <c r="A144" s="763"/>
      <c r="B144" s="754"/>
      <c r="C144" s="754"/>
      <c r="D144" s="754"/>
      <c r="E144" s="754"/>
      <c r="F144" s="754"/>
      <c r="G144" s="754"/>
      <c r="H144" s="754"/>
      <c r="I144" s="754"/>
      <c r="J144" s="757">
        <f>Y61-K50</f>
        <v>0</v>
      </c>
      <c r="K144" s="754"/>
      <c r="L144" s="754"/>
      <c r="M144" s="721" t="s">
        <v>156</v>
      </c>
      <c r="N144" s="470">
        <f>0.5*(K26+K16/2)^2*0.5*(MAX(F73,H73,J73)-MAX(F78,H78,J78))*2*1000</f>
        <v>8977.255016920637</v>
      </c>
      <c r="O144" s="267" t="s">
        <v>160</v>
      </c>
      <c r="P144" s="266">
        <f>1/2*K28</f>
        <v>1.875</v>
      </c>
      <c r="Q144" s="410" t="s">
        <v>526</v>
      </c>
      <c r="R144" s="410">
        <f>K7</f>
        <v>4</v>
      </c>
    </row>
    <row r="145" spans="1:22" ht="19.899999999999999" customHeight="1">
      <c r="A145" s="763"/>
      <c r="B145" s="754"/>
      <c r="C145" s="754"/>
      <c r="D145" s="754"/>
      <c r="E145" s="754"/>
      <c r="F145" s="754"/>
      <c r="G145" s="754"/>
      <c r="H145" s="754"/>
      <c r="I145" s="754"/>
      <c r="J145" s="757"/>
      <c r="K145" s="754"/>
      <c r="L145" s="754"/>
      <c r="M145" s="721" t="s">
        <v>158</v>
      </c>
      <c r="N145" s="470">
        <f>+(K26+K16/2)*N147*MAX(F85,H85,J85)*2*1000</f>
        <v>16729.455230828102</v>
      </c>
      <c r="O145" s="267" t="s">
        <v>161</v>
      </c>
      <c r="P145" s="266">
        <f>2/3*K28</f>
        <v>2.5</v>
      </c>
      <c r="Q145" s="410" t="s">
        <v>527</v>
      </c>
      <c r="R145" s="410">
        <f>(K10-K7)/2</f>
        <v>3</v>
      </c>
    </row>
    <row r="146" spans="1:22" ht="19.899999999999999" customHeight="1">
      <c r="A146" s="763"/>
      <c r="B146" s="754"/>
      <c r="C146" s="754"/>
      <c r="D146" s="754"/>
      <c r="E146" s="754"/>
      <c r="F146" s="754"/>
      <c r="G146" s="754"/>
      <c r="H146" s="754"/>
      <c r="I146" s="754"/>
      <c r="J146" s="757"/>
      <c r="K146" s="754"/>
      <c r="L146" s="791"/>
      <c r="M146" s="721" t="s">
        <v>116</v>
      </c>
      <c r="N146" s="468">
        <f>+(K11-K8)/2-K16/2</f>
        <v>3.75</v>
      </c>
      <c r="Q146" s="410" t="s">
        <v>34</v>
      </c>
      <c r="R146" s="410">
        <f>0.5*(R142*R145+R144*R143-R145*R143)</f>
        <v>19.414919938566573</v>
      </c>
    </row>
    <row r="147" spans="1:22" ht="19.899999999999999" customHeight="1">
      <c r="A147" s="763"/>
      <c r="B147" s="754"/>
      <c r="C147" s="754"/>
      <c r="D147" s="754"/>
      <c r="E147" s="754"/>
      <c r="F147" s="754"/>
      <c r="G147" s="754"/>
      <c r="H147" s="754"/>
      <c r="I147" s="754"/>
      <c r="J147" s="757"/>
      <c r="K147" s="754"/>
      <c r="L147" s="791"/>
      <c r="M147" s="721" t="s">
        <v>157</v>
      </c>
      <c r="N147" s="266">
        <f>+K28-K26</f>
        <v>1</v>
      </c>
    </row>
    <row r="148" spans="1:22" ht="19.899999999999999" customHeight="1">
      <c r="A148" s="763"/>
      <c r="B148" s="754"/>
      <c r="C148" s="754"/>
      <c r="D148" s="754"/>
      <c r="E148" s="754"/>
      <c r="F148" s="754"/>
      <c r="G148" s="754"/>
      <c r="H148" s="754"/>
      <c r="I148" s="754"/>
      <c r="J148" s="757"/>
      <c r="K148" s="754"/>
      <c r="L148" s="791"/>
      <c r="M148" s="721" t="s">
        <v>162</v>
      </c>
      <c r="N148" s="469">
        <f>R142*R145^2*100*2/3</f>
        <v>5722.9732368902014</v>
      </c>
      <c r="P148" s="254" t="s">
        <v>151</v>
      </c>
      <c r="Q148" s="467">
        <f>MAX(E44:E47)</f>
        <v>15.269499999999994</v>
      </c>
      <c r="R148" s="467" t="s">
        <v>592</v>
      </c>
      <c r="S148" s="254" t="s">
        <v>761</v>
      </c>
      <c r="T148" s="467">
        <f>R142</f>
        <v>9.5382887281503361</v>
      </c>
    </row>
    <row r="149" spans="1:22" ht="19.899999999999999" customHeight="1">
      <c r="A149" s="763"/>
      <c r="B149" s="754"/>
      <c r="C149" s="754"/>
      <c r="D149" s="754"/>
      <c r="E149" s="754"/>
      <c r="F149" s="754"/>
      <c r="G149" s="754"/>
      <c r="H149" s="754"/>
      <c r="I149" s="754"/>
      <c r="J149" s="757"/>
      <c r="K149" s="754"/>
      <c r="L149" s="791"/>
      <c r="M149" s="721" t="s">
        <v>162</v>
      </c>
      <c r="N149" s="471">
        <f>+(N143*P143+N144*P144+N145*P145)*100</f>
        <v>10934804.539152026</v>
      </c>
      <c r="P149" s="254" t="s">
        <v>755</v>
      </c>
      <c r="Q149" s="147">
        <f>K43*1.8*1.15</f>
        <v>122.46740999999999</v>
      </c>
      <c r="R149" s="254" t="s">
        <v>592</v>
      </c>
      <c r="S149" s="254" t="s">
        <v>762</v>
      </c>
      <c r="T149" s="147">
        <f>$T$148+MAX($N$55:$N$57)/$K$34+MAX($O$55:$O$57)/$K$36</f>
        <v>13.420604120484306</v>
      </c>
    </row>
    <row r="150" spans="1:22" ht="19.899999999999999" customHeight="1">
      <c r="A150" s="763"/>
      <c r="B150" s="754"/>
      <c r="C150" s="754"/>
      <c r="D150" s="754"/>
      <c r="E150" s="754"/>
      <c r="F150" s="754"/>
      <c r="G150" s="754"/>
      <c r="H150" s="1651">
        <f>(F73+F84)*(K11-K20)/4</f>
        <v>10.214973692682134</v>
      </c>
      <c r="I150" s="1651"/>
      <c r="J150" s="763" t="s">
        <v>3</v>
      </c>
      <c r="K150" s="757"/>
      <c r="L150" s="757"/>
      <c r="M150" s="721" t="s">
        <v>980</v>
      </c>
      <c r="N150" s="471">
        <f>(0.5*R146*R144-0.5*R142*R145*(2*R145/3+R144/2)-R143*(R145/2*(R145/3-R145+R144/2))-R143*(R144-2*R145)^2/8)*1000*100</f>
        <v>-2350737.933810994</v>
      </c>
      <c r="P150" s="254" t="s">
        <v>756</v>
      </c>
      <c r="Q150" s="147">
        <f>K30*2.5</f>
        <v>152.0925</v>
      </c>
      <c r="R150" s="254" t="s">
        <v>592</v>
      </c>
      <c r="S150" s="254" t="s">
        <v>763</v>
      </c>
      <c r="T150" s="147">
        <f>$T$148-MAX($N$55:$N$57)/$K$34-MAX($O$55:$O$57)/$K$36</f>
        <v>5.6559733358163653</v>
      </c>
    </row>
    <row r="151" spans="1:22" ht="19.899999999999999" customHeight="1">
      <c r="A151" s="763"/>
      <c r="B151" s="754"/>
      <c r="C151" s="754"/>
      <c r="D151" s="754"/>
      <c r="E151" s="754"/>
      <c r="F151" s="754"/>
      <c r="G151" s="754"/>
      <c r="H151" s="754"/>
      <c r="I151" s="754"/>
      <c r="J151" s="754"/>
      <c r="K151" s="757"/>
      <c r="L151" s="757"/>
      <c r="M151" s="721"/>
      <c r="P151" s="254" t="s">
        <v>760</v>
      </c>
      <c r="Q151" s="467">
        <f>SUM(Q148:Q150)</f>
        <v>289.82940999999994</v>
      </c>
      <c r="R151" s="254" t="s">
        <v>592</v>
      </c>
    </row>
    <row r="152" spans="1:22" ht="19.899999999999999" customHeight="1">
      <c r="A152" s="763"/>
      <c r="B152" s="754"/>
      <c r="C152" s="754"/>
      <c r="D152" s="754"/>
      <c r="E152" s="754"/>
      <c r="F152" s="754"/>
      <c r="G152" s="754"/>
      <c r="H152" s="754"/>
      <c r="I152" s="754"/>
      <c r="J152" s="757"/>
      <c r="K152" s="754"/>
      <c r="L152" s="754"/>
      <c r="M152" s="721"/>
      <c r="N152" s="254" t="s">
        <v>742</v>
      </c>
      <c r="O152" s="254" t="s">
        <v>743</v>
      </c>
      <c r="P152" s="254" t="s">
        <v>749</v>
      </c>
      <c r="Q152" s="254" t="s">
        <v>750</v>
      </c>
      <c r="R152" s="254" t="s">
        <v>751</v>
      </c>
      <c r="S152" s="254" t="s">
        <v>360</v>
      </c>
      <c r="T152" s="254" t="s">
        <v>752</v>
      </c>
      <c r="U152" s="254" t="s">
        <v>753</v>
      </c>
      <c r="V152" s="254" t="s">
        <v>754</v>
      </c>
    </row>
    <row r="153" spans="1:22" ht="19.899999999999999" customHeight="1">
      <c r="A153" s="763"/>
      <c r="B153" s="754"/>
      <c r="C153" s="754"/>
      <c r="D153" s="754"/>
      <c r="E153" s="754"/>
      <c r="F153" s="754"/>
      <c r="G153" s="754"/>
      <c r="H153" s="754"/>
      <c r="I153" s="754"/>
      <c r="J153" s="757"/>
      <c r="L153" s="754"/>
      <c r="M153" s="721"/>
      <c r="N153" s="147">
        <f>T149</f>
        <v>13.420604120484306</v>
      </c>
      <c r="O153" s="467">
        <f>MAX(K10:K11)</f>
        <v>12</v>
      </c>
      <c r="P153" s="254">
        <f>MAX(K26,K28)+K16/2</f>
        <v>4</v>
      </c>
      <c r="Q153" s="254">
        <f>O153-2*P153</f>
        <v>4</v>
      </c>
      <c r="R153" s="254">
        <f>P153</f>
        <v>4</v>
      </c>
      <c r="S153" s="254">
        <f>P153*2</f>
        <v>8</v>
      </c>
      <c r="T153" s="254">
        <f>Q153*2</f>
        <v>8</v>
      </c>
      <c r="U153" s="254">
        <f t="shared" ref="U153" si="11">R153*2</f>
        <v>8</v>
      </c>
      <c r="V153" s="254">
        <f>ROUND(N153*2,2)</f>
        <v>26.84</v>
      </c>
    </row>
    <row r="154" spans="1:22" ht="19.899999999999999" customHeight="1">
      <c r="A154" s="763"/>
      <c r="B154" s="754"/>
      <c r="C154" s="754"/>
      <c r="D154" s="754"/>
      <c r="E154" s="754"/>
      <c r="F154" s="754"/>
      <c r="G154" s="754"/>
      <c r="H154" s="754"/>
      <c r="I154" s="754"/>
      <c r="J154" s="757"/>
      <c r="K154" s="754"/>
      <c r="L154" s="754"/>
      <c r="M154" s="721"/>
      <c r="N154" s="254" t="s">
        <v>744</v>
      </c>
      <c r="O154" s="254" t="s">
        <v>746</v>
      </c>
      <c r="P154" s="254" t="s">
        <v>747</v>
      </c>
      <c r="Q154" s="254" t="s">
        <v>748</v>
      </c>
      <c r="R154" s="254"/>
      <c r="S154" s="254"/>
      <c r="T154" s="254"/>
      <c r="U154" s="254"/>
      <c r="V154" s="254"/>
    </row>
    <row r="155" spans="1:22" ht="19.899999999999999" customHeight="1">
      <c r="A155" s="763"/>
      <c r="B155" s="754"/>
      <c r="C155" s="754"/>
      <c r="D155" s="754"/>
      <c r="E155" s="754"/>
      <c r="F155" s="754"/>
      <c r="G155" s="754"/>
      <c r="H155" s="754"/>
      <c r="I155" s="754"/>
      <c r="J155" s="757"/>
      <c r="K155" s="754"/>
      <c r="L155" s="754"/>
      <c r="M155" s="721"/>
      <c r="N155" s="254">
        <f>ROUND(N153*O153*(O153-U153)/T153,2)</f>
        <v>80.52</v>
      </c>
      <c r="O155" s="254">
        <f>ROUND(N153*P153,2)</f>
        <v>53.68</v>
      </c>
      <c r="P155" s="254">
        <f>ROUND(N153*P153*P153/2,2)</f>
        <v>107.36</v>
      </c>
      <c r="Q155" s="254">
        <f>ROUND(N155*(N155/V153-P153),2)</f>
        <v>-80.52</v>
      </c>
      <c r="R155" s="254"/>
      <c r="S155" s="254"/>
      <c r="T155" s="254"/>
      <c r="U155" s="254"/>
      <c r="V155" s="254"/>
    </row>
    <row r="156" spans="1:22" ht="19.899999999999999" customHeight="1">
      <c r="A156" s="763"/>
      <c r="B156" s="754"/>
      <c r="C156" s="754"/>
      <c r="D156" s="754"/>
      <c r="E156" s="754"/>
      <c r="F156" s="754"/>
      <c r="G156" s="754"/>
      <c r="H156" s="754"/>
      <c r="I156" s="754"/>
      <c r="J156" s="757"/>
      <c r="K156" s="754"/>
      <c r="L156" s="754"/>
      <c r="M156" s="721"/>
    </row>
    <row r="157" spans="1:22" ht="19.899999999999999" customHeight="1">
      <c r="A157" s="763"/>
      <c r="B157" s="754"/>
      <c r="C157" s="754"/>
      <c r="D157" s="754"/>
      <c r="E157" s="754"/>
      <c r="F157" s="754"/>
      <c r="G157" s="754"/>
      <c r="H157" s="754"/>
      <c r="I157" s="754"/>
      <c r="J157" s="757"/>
      <c r="K157" s="757"/>
      <c r="L157" s="757"/>
      <c r="M157" s="721"/>
      <c r="N157" s="267" t="s">
        <v>702</v>
      </c>
    </row>
    <row r="158" spans="1:22" ht="19.899999999999999" customHeight="1">
      <c r="A158" s="763"/>
      <c r="B158" s="754"/>
      <c r="C158" s="754"/>
      <c r="D158" s="754"/>
      <c r="E158" s="754"/>
      <c r="F158" s="754"/>
      <c r="G158" s="754"/>
      <c r="H158" s="754"/>
      <c r="I158" s="754"/>
      <c r="J158" s="757"/>
      <c r="K158" s="757"/>
      <c r="L158" s="757"/>
      <c r="M158" s="721"/>
      <c r="N158" s="267" t="s">
        <v>703</v>
      </c>
      <c r="O158" s="421">
        <f>P155</f>
        <v>107.36</v>
      </c>
      <c r="P158" s="267" t="s">
        <v>704</v>
      </c>
      <c r="Q158" s="267">
        <f>O158*1000*100</f>
        <v>10736000</v>
      </c>
      <c r="R158" s="267" t="s">
        <v>764</v>
      </c>
    </row>
    <row r="159" spans="1:22" ht="19.899999999999999" customHeight="1">
      <c r="A159" s="763"/>
      <c r="B159" s="754"/>
      <c r="C159" s="754"/>
      <c r="D159" s="754"/>
      <c r="E159" s="754"/>
      <c r="F159" s="754"/>
      <c r="G159" s="754"/>
      <c r="H159" s="754"/>
      <c r="I159" s="754"/>
      <c r="J159" s="754"/>
      <c r="K159" s="757"/>
      <c r="L159" s="757"/>
      <c r="M159" s="721"/>
      <c r="N159" s="267" t="s">
        <v>705</v>
      </c>
      <c r="O159" s="267">
        <f>Q155*6</f>
        <v>-483.12</v>
      </c>
      <c r="P159" s="267" t="s">
        <v>704</v>
      </c>
      <c r="Q159" s="267">
        <f>O159*1000*100</f>
        <v>-48312000</v>
      </c>
      <c r="R159" s="267" t="s">
        <v>764</v>
      </c>
    </row>
    <row r="160" spans="1:22" ht="19.899999999999999" customHeight="1">
      <c r="A160" s="763"/>
      <c r="B160" s="754"/>
      <c r="C160" s="754"/>
      <c r="D160" s="754"/>
      <c r="E160" s="754"/>
      <c r="F160" s="754"/>
      <c r="G160" s="754"/>
      <c r="H160" s="1571">
        <f>H141</f>
        <v>9.5382887281503361</v>
      </c>
      <c r="I160" s="1571"/>
      <c r="J160" s="763" t="s">
        <v>3</v>
      </c>
      <c r="K160" s="754"/>
      <c r="L160" s="754"/>
      <c r="M160" s="721"/>
      <c r="N160" s="267" t="s">
        <v>745</v>
      </c>
      <c r="O160" s="267">
        <f>O155</f>
        <v>53.68</v>
      </c>
      <c r="P160" s="267" t="s">
        <v>592</v>
      </c>
    </row>
    <row r="161" spans="1:15" ht="22.15" customHeight="1">
      <c r="A161" s="1620" t="s">
        <v>238</v>
      </c>
      <c r="B161" s="1620"/>
      <c r="C161" s="1620"/>
      <c r="D161" s="759" t="s">
        <v>67</v>
      </c>
      <c r="E161" s="760">
        <f>N149/1000/100</f>
        <v>109.34804539152026</v>
      </c>
      <c r="F161" s="763" t="s">
        <v>4</v>
      </c>
      <c r="G161" s="754"/>
      <c r="H161" s="760"/>
      <c r="I161" s="754"/>
      <c r="J161" s="754"/>
      <c r="K161" s="754"/>
      <c r="L161" s="754"/>
      <c r="M161" s="731"/>
    </row>
    <row r="162" spans="1:15" ht="22.15" customHeight="1">
      <c r="A162" s="1620" t="s">
        <v>248</v>
      </c>
      <c r="B162" s="1620"/>
      <c r="C162" s="1620"/>
      <c r="D162" s="759" t="s">
        <v>67</v>
      </c>
      <c r="E162" s="791">
        <f>N150/1000/100</f>
        <v>-23.507379338109942</v>
      </c>
      <c r="F162" s="763" t="s">
        <v>4</v>
      </c>
      <c r="G162" s="754"/>
      <c r="H162" s="760"/>
      <c r="I162" s="754"/>
      <c r="J162" s="754"/>
      <c r="K162" s="754"/>
      <c r="L162" s="754"/>
      <c r="M162" s="721"/>
    </row>
    <row r="163" spans="1:15" ht="22.15" customHeight="1">
      <c r="A163" s="1620" t="s">
        <v>249</v>
      </c>
      <c r="B163" s="1620"/>
      <c r="C163" s="1620"/>
      <c r="D163" s="759" t="s">
        <v>68</v>
      </c>
      <c r="E163" s="757">
        <f>K16</f>
        <v>0.5</v>
      </c>
      <c r="F163" s="763" t="s">
        <v>0</v>
      </c>
      <c r="G163" s="754" t="s">
        <v>907</v>
      </c>
      <c r="H163" s="797">
        <f>F103</f>
        <v>7.4999999999999997E-2</v>
      </c>
      <c r="I163" s="754" t="s">
        <v>0</v>
      </c>
      <c r="J163" s="754"/>
      <c r="K163" s="754"/>
      <c r="L163" s="754"/>
      <c r="M163" s="721"/>
    </row>
    <row r="164" spans="1:15" ht="22.15" customHeight="1">
      <c r="A164" s="763"/>
      <c r="B164" s="754"/>
      <c r="C164" s="754"/>
      <c r="D164" s="759" t="s">
        <v>69</v>
      </c>
      <c r="E164" s="757">
        <f>K17</f>
        <v>1</v>
      </c>
      <c r="F164" s="763" t="s">
        <v>0</v>
      </c>
      <c r="G164" s="754" t="s">
        <v>70</v>
      </c>
      <c r="H164" s="797">
        <f>E164-H163</f>
        <v>0.92500000000000004</v>
      </c>
      <c r="I164" s="754" t="s">
        <v>0</v>
      </c>
      <c r="J164" s="754"/>
      <c r="K164" s="754"/>
      <c r="L164" s="754"/>
      <c r="M164" s="721"/>
    </row>
    <row r="165" spans="1:15" ht="22.15" customHeight="1">
      <c r="A165" s="763"/>
      <c r="B165" s="1619" t="s">
        <v>908</v>
      </c>
      <c r="C165" s="1619"/>
      <c r="D165" s="759" t="s">
        <v>67</v>
      </c>
      <c r="E165" s="760">
        <f>+E161</f>
        <v>109.34804539152026</v>
      </c>
      <c r="F165" s="763" t="s">
        <v>4</v>
      </c>
      <c r="G165" s="754"/>
      <c r="H165" s="754"/>
      <c r="I165" s="754"/>
      <c r="J165" s="754"/>
      <c r="K165" s="754"/>
      <c r="L165" s="754"/>
      <c r="M165" s="721"/>
    </row>
    <row r="166" spans="1:15" ht="22.15" customHeight="1">
      <c r="A166" s="763"/>
      <c r="B166" s="754"/>
      <c r="C166" s="754"/>
      <c r="D166" s="779" t="s">
        <v>911</v>
      </c>
      <c r="E166" s="797">
        <f>E161/($E$68*$E$163*$H$164^2)</f>
        <v>0.22225918331556818</v>
      </c>
      <c r="F166" s="763" t="s">
        <v>19</v>
      </c>
      <c r="G166" s="754"/>
      <c r="H166" s="754"/>
      <c r="I166" s="754"/>
      <c r="J166" s="754"/>
      <c r="K166" s="754"/>
      <c r="L166" s="754"/>
      <c r="M166" s="721"/>
    </row>
    <row r="167" spans="1:15" ht="22.15" customHeight="1">
      <c r="A167" s="763"/>
      <c r="B167" s="754"/>
      <c r="C167" s="754"/>
      <c r="D167" s="779" t="s">
        <v>912</v>
      </c>
      <c r="E167" s="782">
        <f>0.5*(1+SQRT(1-2*E166))</f>
        <v>0.87265320116995637</v>
      </c>
      <c r="F167" s="763"/>
      <c r="G167" s="754"/>
      <c r="H167" s="754"/>
      <c r="I167" s="754"/>
      <c r="J167" s="754"/>
      <c r="K167" s="754"/>
      <c r="L167" s="754"/>
      <c r="M167" s="721"/>
    </row>
    <row r="168" spans="1:15" ht="22.15" customHeight="1">
      <c r="A168" s="763"/>
      <c r="B168" s="754"/>
      <c r="C168" s="759" t="s">
        <v>886</v>
      </c>
      <c r="D168" s="757">
        <f>+E165/($K$68*E167*$H$164)*10^4</f>
        <v>38.704330644416856</v>
      </c>
      <c r="E168" s="754" t="s">
        <v>20</v>
      </c>
      <c r="F168" s="754"/>
      <c r="G168" s="754"/>
      <c r="H168" s="754"/>
      <c r="I168" s="754"/>
      <c r="J168" s="754"/>
      <c r="K168" s="754"/>
      <c r="L168" s="754"/>
      <c r="M168" s="721"/>
    </row>
    <row r="169" spans="1:15" ht="22.15" customHeight="1">
      <c r="A169" s="763"/>
      <c r="B169" s="801" t="s">
        <v>252</v>
      </c>
      <c r="C169" s="801"/>
      <c r="D169" s="759" t="s">
        <v>67</v>
      </c>
      <c r="E169" s="760">
        <f>+ABS(E162)</f>
        <v>23.507379338109942</v>
      </c>
      <c r="F169" s="763" t="s">
        <v>4</v>
      </c>
      <c r="G169" s="754"/>
      <c r="H169" s="754"/>
      <c r="I169" s="754"/>
      <c r="J169" s="754"/>
      <c r="K169" s="754"/>
      <c r="L169" s="754"/>
      <c r="M169" s="721"/>
    </row>
    <row r="170" spans="1:15" ht="22.15" customHeight="1">
      <c r="A170" s="763"/>
      <c r="B170" s="754"/>
      <c r="C170" s="754"/>
      <c r="D170" s="779" t="s">
        <v>911</v>
      </c>
      <c r="E170" s="797">
        <f>E169/($E$68*$E$163*$H$164^2)</f>
        <v>4.778074372404599E-2</v>
      </c>
      <c r="F170" s="754" t="s">
        <v>19</v>
      </c>
      <c r="G170" s="754"/>
      <c r="H170" s="754"/>
      <c r="I170" s="754"/>
      <c r="J170" s="754"/>
      <c r="K170" s="754"/>
      <c r="L170" s="754"/>
      <c r="M170" s="721"/>
    </row>
    <row r="171" spans="1:15" ht="22.15" customHeight="1">
      <c r="A171" s="763"/>
      <c r="B171" s="754"/>
      <c r="C171" s="754"/>
      <c r="D171" s="779" t="s">
        <v>912</v>
      </c>
      <c r="E171" s="782">
        <f>0.5*(1+SQRT(1-2*E170))</f>
        <v>0.9755098612415698</v>
      </c>
      <c r="F171" s="754"/>
      <c r="G171" s="754"/>
      <c r="H171" s="754"/>
      <c r="I171" s="754"/>
      <c r="J171" s="754"/>
      <c r="K171" s="754"/>
      <c r="L171" s="754"/>
      <c r="M171" s="721"/>
    </row>
    <row r="172" spans="1:15" ht="22.15" customHeight="1">
      <c r="A172" s="763"/>
      <c r="B172" s="754"/>
      <c r="C172" s="759" t="s">
        <v>886</v>
      </c>
      <c r="D172" s="782">
        <f>+E169/($K$68*E171*$H$164)*10^4</f>
        <v>7.4432528869371675</v>
      </c>
      <c r="E172" s="754" t="s">
        <v>20</v>
      </c>
      <c r="F172" s="798"/>
      <c r="G172" s="798"/>
      <c r="H172" s="798"/>
      <c r="I172" s="798"/>
      <c r="J172" s="754"/>
      <c r="K172" s="754"/>
      <c r="L172" s="754"/>
      <c r="M172" s="724"/>
    </row>
    <row r="173" spans="1:15" ht="22.15" customHeight="1">
      <c r="A173" s="1620" t="s">
        <v>827</v>
      </c>
      <c r="B173" s="1620"/>
      <c r="C173" s="799">
        <v>25</v>
      </c>
      <c r="D173" s="754" t="s">
        <v>829</v>
      </c>
      <c r="E173" s="774">
        <v>8</v>
      </c>
      <c r="F173" s="781" t="s">
        <v>905</v>
      </c>
      <c r="G173" s="757">
        <f>E173*3.14*((C173/1000)^2)/4*10^4</f>
        <v>39.250000000000007</v>
      </c>
      <c r="H173" s="763" t="s">
        <v>694</v>
      </c>
      <c r="I173" s="754"/>
      <c r="J173" s="754"/>
      <c r="K173" s="754"/>
      <c r="L173" s="754"/>
      <c r="M173" s="721" t="str">
        <f>IF(G173&gt;MAX(D168,D172),"OK","NO")</f>
        <v>OK</v>
      </c>
      <c r="N173" s="267" t="str">
        <f>IF(G173&gt;D168*1.5,"Thép lớn quá","Thép hợp lý")</f>
        <v>Thép hợp lý</v>
      </c>
      <c r="O173" s="267" t="str">
        <f>IF(G173&gt;MAX(D172,D168)*1.1,"Thép hợp lý","Tăng thép lên")</f>
        <v>Tăng thép lên</v>
      </c>
    </row>
    <row r="174" spans="1:15" ht="22.15" customHeight="1">
      <c r="A174" s="1620" t="s">
        <v>757</v>
      </c>
      <c r="B174" s="1620"/>
      <c r="C174" s="754" t="s">
        <v>81</v>
      </c>
      <c r="D174" s="754">
        <f>ROUND(MAX(D168,D172)/(H164*E163*100*100)*100,2)</f>
        <v>0.84</v>
      </c>
      <c r="E174" s="763" t="s">
        <v>758</v>
      </c>
      <c r="F174" s="757"/>
      <c r="G174" s="754"/>
      <c r="H174" s="754"/>
      <c r="I174" s="754"/>
      <c r="J174" s="754"/>
      <c r="K174" s="754"/>
      <c r="L174" s="754"/>
      <c r="M174" s="721" t="str">
        <f>IF(D174&gt;0.1,"OK","NO")</f>
        <v>OK</v>
      </c>
    </row>
    <row r="175" spans="1:15" ht="22.15" customHeight="1">
      <c r="A175" s="763"/>
      <c r="B175" s="788" t="s">
        <v>291</v>
      </c>
      <c r="C175" s="754"/>
      <c r="D175" s="781"/>
      <c r="E175" s="754"/>
      <c r="F175" s="754"/>
      <c r="G175" s="754"/>
      <c r="H175" s="754"/>
      <c r="I175" s="754"/>
      <c r="J175" s="754"/>
      <c r="K175" s="754"/>
      <c r="L175" s="754"/>
      <c r="M175" s="721"/>
    </row>
    <row r="176" spans="1:15" ht="22.15" customHeight="1">
      <c r="A176" s="763"/>
      <c r="B176" s="758" t="s">
        <v>644</v>
      </c>
      <c r="C176" s="758"/>
      <c r="D176" s="759" t="s">
        <v>909</v>
      </c>
      <c r="E176" s="800">
        <f>IF(O160*1000&gt;F177,O160*0.3,O160)</f>
        <v>16.103999999999999</v>
      </c>
      <c r="F176" s="763" t="s">
        <v>3</v>
      </c>
      <c r="G176" s="754"/>
      <c r="H176" s="754"/>
      <c r="I176" s="754"/>
      <c r="J176" s="754"/>
      <c r="K176" s="754"/>
      <c r="L176" s="754"/>
      <c r="M176" s="721"/>
    </row>
    <row r="177" spans="1:15" ht="22.15" customHeight="1">
      <c r="A177" s="763"/>
      <c r="B177" s="763" t="s">
        <v>641</v>
      </c>
      <c r="C177" s="754"/>
      <c r="D177" s="754"/>
      <c r="E177" s="754"/>
      <c r="F177" s="759">
        <f>ROUND(1.25*0.5*E69*E163*H164,2)</f>
        <v>26.02</v>
      </c>
      <c r="G177" s="763" t="s">
        <v>3</v>
      </c>
      <c r="H177" s="754"/>
      <c r="I177" s="754"/>
      <c r="J177" s="754"/>
      <c r="K177" s="754"/>
      <c r="L177" s="754"/>
      <c r="M177" s="721" t="str">
        <f>IF(F177&gt;E176,"OK","NO")</f>
        <v>OK</v>
      </c>
    </row>
    <row r="178" spans="1:15" ht="22.15" customHeight="1">
      <c r="A178" s="763"/>
      <c r="B178" s="763" t="s">
        <v>910</v>
      </c>
      <c r="C178" s="763" t="s">
        <v>645</v>
      </c>
      <c r="D178" s="754"/>
      <c r="E178" s="754"/>
      <c r="F178" s="754"/>
      <c r="G178" s="754"/>
      <c r="H178" s="754"/>
      <c r="I178" s="754"/>
      <c r="J178" s="754"/>
      <c r="K178" s="754"/>
      <c r="L178" s="754"/>
      <c r="M178" s="721"/>
    </row>
    <row r="179" spans="1:15" ht="22.15" customHeight="1">
      <c r="A179" s="776" t="s">
        <v>646</v>
      </c>
      <c r="B179" s="754"/>
      <c r="C179" s="754"/>
      <c r="D179" s="754"/>
      <c r="E179" s="754"/>
      <c r="F179" s="754"/>
      <c r="G179" s="754"/>
      <c r="H179" s="754"/>
      <c r="I179" s="754"/>
      <c r="J179" s="754"/>
      <c r="K179" s="760">
        <f>+ROUND(C182,2)</f>
        <v>88</v>
      </c>
      <c r="L179" s="763" t="s">
        <v>3</v>
      </c>
      <c r="M179" s="721"/>
    </row>
    <row r="180" spans="1:15" ht="22.15" customHeight="1">
      <c r="A180" s="763"/>
      <c r="B180" s="753" t="s">
        <v>258</v>
      </c>
      <c r="C180" s="754"/>
      <c r="D180" s="754"/>
      <c r="E180" s="754"/>
      <c r="F180" s="754"/>
      <c r="G180" s="754"/>
      <c r="H180" s="754"/>
      <c r="I180" s="754"/>
      <c r="J180" s="754"/>
      <c r="K180" s="754"/>
      <c r="L180" s="754"/>
      <c r="M180" s="721" t="s">
        <v>662</v>
      </c>
    </row>
    <row r="181" spans="1:15" ht="22.15" customHeight="1">
      <c r="A181" s="763"/>
      <c r="B181" s="763" t="s">
        <v>647</v>
      </c>
      <c r="C181" s="754"/>
      <c r="D181" s="754"/>
      <c r="E181" s="754"/>
      <c r="F181" s="763" t="s">
        <v>255</v>
      </c>
      <c r="G181" s="754"/>
      <c r="H181" s="754"/>
      <c r="I181" s="754"/>
      <c r="J181" s="754"/>
      <c r="K181" s="754"/>
      <c r="L181" s="754"/>
      <c r="M181" s="721" t="s">
        <v>1013</v>
      </c>
      <c r="N181" s="266">
        <f>SQRT(C47^2+D47^2)</f>
        <v>9.6999999999999993</v>
      </c>
      <c r="O181" s="763" t="s">
        <v>3</v>
      </c>
    </row>
    <row r="182" spans="1:15" ht="22.15" customHeight="1">
      <c r="A182" s="763"/>
      <c r="B182" s="759" t="s">
        <v>78</v>
      </c>
      <c r="C182" s="757">
        <f>C52</f>
        <v>87.999899999999997</v>
      </c>
      <c r="D182" s="763" t="s">
        <v>3</v>
      </c>
      <c r="E182" s="754"/>
      <c r="F182" s="759" t="s">
        <v>74</v>
      </c>
      <c r="G182" s="757">
        <f>K23</f>
        <v>0.7</v>
      </c>
      <c r="H182" s="763" t="s">
        <v>0</v>
      </c>
      <c r="I182" s="754"/>
      <c r="J182" s="792">
        <f>+ROUND(C183,2)</f>
        <v>6.41</v>
      </c>
      <c r="K182" s="763" t="s">
        <v>3</v>
      </c>
      <c r="L182" s="754"/>
      <c r="M182" s="721" t="s">
        <v>162</v>
      </c>
      <c r="N182" s="266">
        <f>N181*G184</f>
        <v>24.25</v>
      </c>
      <c r="O182" s="763" t="s">
        <v>4</v>
      </c>
    </row>
    <row r="183" spans="1:15" ht="22.15" customHeight="1">
      <c r="A183" s="763"/>
      <c r="B183" s="759" t="s">
        <v>79</v>
      </c>
      <c r="C183" s="757">
        <f>+F52</f>
        <v>6.408199999999999</v>
      </c>
      <c r="D183" s="763" t="s">
        <v>3</v>
      </c>
      <c r="E183" s="754"/>
      <c r="F183" s="759" t="s">
        <v>69</v>
      </c>
      <c r="G183" s="760">
        <f>+G182</f>
        <v>0.7</v>
      </c>
      <c r="H183" s="763" t="s">
        <v>0</v>
      </c>
      <c r="I183" s="754"/>
      <c r="J183" s="754"/>
      <c r="K183" s="754"/>
      <c r="L183" s="754"/>
      <c r="M183" s="721"/>
    </row>
    <row r="184" spans="1:15" ht="22.15" customHeight="1">
      <c r="A184" s="763"/>
      <c r="B184" s="763" t="s">
        <v>256</v>
      </c>
      <c r="C184" s="754"/>
      <c r="D184" s="763"/>
      <c r="E184" s="754"/>
      <c r="F184" s="759" t="s">
        <v>75</v>
      </c>
      <c r="G184" s="757">
        <f>(K14-K17)</f>
        <v>2.5</v>
      </c>
      <c r="H184" s="763" t="s">
        <v>0</v>
      </c>
      <c r="I184" s="754"/>
      <c r="J184" s="754"/>
      <c r="K184" s="802"/>
      <c r="L184" s="1650">
        <f>G184</f>
        <v>2.5</v>
      </c>
      <c r="M184" s="721"/>
    </row>
    <row r="185" spans="1:15" ht="22.15" customHeight="1">
      <c r="A185" s="763"/>
      <c r="B185" s="759" t="s">
        <v>67</v>
      </c>
      <c r="C185" s="757">
        <f>J182*G184</f>
        <v>16.024999999999999</v>
      </c>
      <c r="D185" s="763" t="s">
        <v>4</v>
      </c>
      <c r="E185" s="754"/>
      <c r="F185" s="759" t="s">
        <v>190</v>
      </c>
      <c r="G185" s="803">
        <v>7.4999999999999997E-2</v>
      </c>
      <c r="H185" s="763" t="s">
        <v>0</v>
      </c>
      <c r="I185" s="754"/>
      <c r="J185" s="754"/>
      <c r="K185" s="802"/>
      <c r="L185" s="1650"/>
      <c r="M185" s="721"/>
    </row>
    <row r="186" spans="1:15" ht="22.15" customHeight="1">
      <c r="A186" s="763"/>
      <c r="B186" s="759" t="s">
        <v>913</v>
      </c>
      <c r="C186" s="757">
        <f>+C182*0.8</f>
        <v>70.399919999999995</v>
      </c>
      <c r="D186" s="763" t="s">
        <v>3</v>
      </c>
      <c r="E186" s="754"/>
      <c r="F186" s="759" t="s">
        <v>70</v>
      </c>
      <c r="G186" s="754">
        <f>G183-G185</f>
        <v>0.625</v>
      </c>
      <c r="H186" s="763" t="s">
        <v>0</v>
      </c>
      <c r="I186" s="754"/>
      <c r="J186" s="754"/>
      <c r="K186" s="802"/>
      <c r="L186" s="754"/>
      <c r="M186" s="721"/>
    </row>
    <row r="187" spans="1:15" ht="22.15" customHeight="1">
      <c r="A187" s="763"/>
      <c r="B187" s="759" t="s">
        <v>914</v>
      </c>
      <c r="C187" s="757">
        <f>+C185*0.8</f>
        <v>12.82</v>
      </c>
      <c r="D187" s="763" t="s">
        <v>4</v>
      </c>
      <c r="E187" s="754"/>
      <c r="F187" s="754"/>
      <c r="G187" s="754"/>
      <c r="H187" s="754"/>
      <c r="I187" s="754"/>
      <c r="J187" s="754"/>
      <c r="K187" s="802"/>
      <c r="L187" s="754"/>
      <c r="M187" s="721"/>
    </row>
    <row r="188" spans="1:15" ht="22.15" customHeight="1">
      <c r="A188" s="763"/>
      <c r="B188" s="763" t="s">
        <v>257</v>
      </c>
      <c r="C188" s="754"/>
      <c r="D188" s="763"/>
      <c r="E188" s="763" t="s">
        <v>259</v>
      </c>
      <c r="F188" s="754"/>
      <c r="G188" s="763"/>
      <c r="H188" s="763" t="s">
        <v>915</v>
      </c>
      <c r="I188" s="754"/>
      <c r="J188" s="763"/>
      <c r="K188" s="758" t="s">
        <v>546</v>
      </c>
      <c r="L188" s="754"/>
      <c r="M188" s="721"/>
    </row>
    <row r="189" spans="1:15" ht="22.15" customHeight="1">
      <c r="A189" s="763"/>
      <c r="B189" s="759" t="s">
        <v>916</v>
      </c>
      <c r="C189" s="754">
        <f>ROUND(MAX(G182/30,G184/600,0.01),2)</f>
        <v>0.02</v>
      </c>
      <c r="D189" s="763" t="s">
        <v>0</v>
      </c>
      <c r="E189" s="759" t="s">
        <v>917</v>
      </c>
      <c r="F189" s="757">
        <f>C185*100000/(C182*1000)/100</f>
        <v>0.18210247966190871</v>
      </c>
      <c r="G189" s="763" t="s">
        <v>0</v>
      </c>
      <c r="H189" s="759" t="s">
        <v>918</v>
      </c>
      <c r="I189" s="760">
        <f>+F189+C189</f>
        <v>0.2021024796619087</v>
      </c>
      <c r="J189" s="763" t="s">
        <v>0</v>
      </c>
      <c r="K189" s="759" t="s">
        <v>919</v>
      </c>
      <c r="L189" s="757">
        <f>+I189/G183</f>
        <v>0.28871782808844099</v>
      </c>
      <c r="M189" s="721"/>
    </row>
    <row r="190" spans="1:15" ht="22.15" customHeight="1">
      <c r="A190" s="763"/>
      <c r="B190" s="763"/>
      <c r="C190" s="760">
        <f>2*G184/G183</f>
        <v>7.1428571428571432</v>
      </c>
      <c r="D190" s="763" t="str">
        <f>IF(C190&gt;14,"&gt; 14, cần xét đến ảnh hưởng của uốn dọc", "&lt; 14, bỏ qua ảnh hưởng của uốn dọc, 𝜂 = 1")</f>
        <v>&lt; 14, bỏ qua ảnh hưởng của uốn dọc, 𝜂 = 1</v>
      </c>
      <c r="E190" s="759"/>
      <c r="F190" s="782"/>
      <c r="G190" s="754"/>
      <c r="H190" s="754"/>
      <c r="I190" s="754"/>
      <c r="J190" s="754"/>
      <c r="K190" s="754"/>
      <c r="L190" s="754"/>
      <c r="M190" s="721"/>
    </row>
    <row r="191" spans="1:15" ht="22.15" hidden="1" customHeight="1" outlineLevel="1">
      <c r="A191" s="763"/>
      <c r="B191" s="758" t="s">
        <v>263</v>
      </c>
      <c r="C191" s="754" t="s">
        <v>81</v>
      </c>
      <c r="D191" s="804">
        <v>2E-3</v>
      </c>
      <c r="E191" s="754"/>
      <c r="F191" s="754"/>
      <c r="G191" s="754"/>
      <c r="H191" s="754"/>
      <c r="I191" s="754"/>
      <c r="J191" s="754"/>
      <c r="K191" s="754"/>
      <c r="L191" s="754"/>
      <c r="M191" s="721"/>
    </row>
    <row r="192" spans="1:15" ht="22.15" hidden="1" customHeight="1" outlineLevel="1">
      <c r="A192" s="763"/>
      <c r="B192" s="758" t="s">
        <v>82</v>
      </c>
      <c r="C192" s="754" t="s">
        <v>1014</v>
      </c>
      <c r="D192" s="782">
        <f>+D191*G182*G186*(0.5*G183-G185)^2</f>
        <v>6.6171874999999987E-5</v>
      </c>
      <c r="E192" s="763" t="s">
        <v>920</v>
      </c>
      <c r="F192" s="1569" t="s">
        <v>1015</v>
      </c>
      <c r="G192" s="1569"/>
      <c r="I192" s="759" t="s">
        <v>1016</v>
      </c>
      <c r="J192" s="754">
        <v>0.7</v>
      </c>
      <c r="K192" s="754"/>
      <c r="L192" s="754"/>
      <c r="M192" s="721"/>
    </row>
    <row r="193" spans="1:18" ht="22.15" hidden="1" customHeight="1" outlineLevel="1">
      <c r="A193" s="763"/>
      <c r="B193" s="754"/>
      <c r="C193" s="754" t="s">
        <v>1017</v>
      </c>
      <c r="D193" s="782">
        <f>+(G182*G183^3)/12</f>
        <v>2.0008333333333326E-2</v>
      </c>
      <c r="E193" s="763" t="s">
        <v>920</v>
      </c>
      <c r="F193" s="754" t="s">
        <v>1018</v>
      </c>
      <c r="G193" s="754"/>
      <c r="I193" s="1256" t="s">
        <v>1019</v>
      </c>
      <c r="J193" s="1257">
        <f>IF((1+N182/C185)&gt;2,2,1+N182/C185)</f>
        <v>2</v>
      </c>
      <c r="L193" s="1258"/>
      <c r="M193" s="721"/>
    </row>
    <row r="194" spans="1:18" ht="22.15" hidden="1" customHeight="1" outlineLevel="1">
      <c r="A194" s="763"/>
      <c r="B194" s="754"/>
      <c r="C194" s="754" t="s">
        <v>1020</v>
      </c>
      <c r="D194" s="754">
        <f>VLOOKUP(J67,'Bảng tra'!$I$3:$M$6,5,0)*100</f>
        <v>20000000</v>
      </c>
      <c r="E194" s="763" t="s">
        <v>10</v>
      </c>
      <c r="F194" s="754"/>
      <c r="G194" s="754"/>
      <c r="H194" s="754"/>
      <c r="I194" s="759" t="s">
        <v>1021</v>
      </c>
      <c r="J194" s="797">
        <f>0.15/(J193*(0.3+L189))</f>
        <v>0.12739549648687218</v>
      </c>
      <c r="K194" s="754"/>
      <c r="L194" s="754"/>
      <c r="M194" s="721"/>
    </row>
    <row r="195" spans="1:18" ht="22.15" hidden="1" customHeight="1" outlineLevel="1">
      <c r="A195" s="763"/>
      <c r="B195" s="754"/>
      <c r="C195" s="754" t="s">
        <v>1022</v>
      </c>
      <c r="D195" s="754">
        <f>VLOOKUP(E67,'Bảng tra'!$B$3:$F$13,5,0)*100</f>
        <v>2750000</v>
      </c>
      <c r="E195" s="763" t="s">
        <v>10</v>
      </c>
      <c r="F195" s="754"/>
      <c r="G195" s="754"/>
      <c r="H195" s="763" t="s">
        <v>1023</v>
      </c>
      <c r="J195" s="754">
        <f>J194*D195*D193+J192*D194*D192</f>
        <v>7936.0780369057911</v>
      </c>
      <c r="K195" s="763" t="s">
        <v>1024</v>
      </c>
      <c r="L195" s="754"/>
      <c r="M195" s="721"/>
    </row>
    <row r="196" spans="1:18" ht="22.15" hidden="1" customHeight="1" outlineLevel="1">
      <c r="A196" s="763"/>
      <c r="B196" s="754"/>
      <c r="C196" s="754"/>
      <c r="D196" s="754"/>
      <c r="E196" s="763"/>
      <c r="F196" s="754"/>
      <c r="G196" s="754"/>
      <c r="H196" s="763"/>
      <c r="J196" s="754"/>
      <c r="K196" s="763"/>
      <c r="L196" s="754"/>
      <c r="M196" s="721"/>
    </row>
    <row r="197" spans="1:18" ht="22.15" hidden="1" customHeight="1" outlineLevel="1">
      <c r="A197" s="758"/>
      <c r="B197" s="758"/>
      <c r="C197" s="758" t="s">
        <v>264</v>
      </c>
      <c r="D197" s="754"/>
      <c r="E197" s="759" t="s">
        <v>1025</v>
      </c>
      <c r="F197" s="757">
        <f>PI()^2*J195/(2*G184)^2</f>
        <v>3133.0380288173596</v>
      </c>
      <c r="G197" s="763" t="s">
        <v>3</v>
      </c>
      <c r="H197" s="763" t="s">
        <v>648</v>
      </c>
      <c r="I197" s="754"/>
      <c r="J197" s="779" t="s">
        <v>1026</v>
      </c>
      <c r="K197" s="781" t="s">
        <v>6</v>
      </c>
      <c r="L197" s="805">
        <f>IF(C190&lt;8,1,1/(1-C182/F197))</f>
        <v>1</v>
      </c>
      <c r="M197" s="721"/>
    </row>
    <row r="198" spans="1:18" ht="22.15" hidden="1" customHeight="1" outlineLevel="1">
      <c r="A198" s="763"/>
      <c r="B198" s="754"/>
      <c r="C198" s="754"/>
      <c r="D198" s="754"/>
      <c r="E198" s="754"/>
      <c r="F198" s="754"/>
      <c r="G198" s="754"/>
      <c r="H198" s="754"/>
      <c r="I198" s="754"/>
      <c r="J198" s="754"/>
      <c r="K198" s="754"/>
      <c r="L198" s="754"/>
      <c r="M198" s="721"/>
    </row>
    <row r="199" spans="1:18" ht="22.15" customHeight="1" collapsed="1">
      <c r="A199" s="763"/>
      <c r="B199" s="758" t="s">
        <v>266</v>
      </c>
      <c r="C199" s="758"/>
      <c r="D199" s="759" t="s">
        <v>76</v>
      </c>
      <c r="E199" s="760">
        <f>+L197*I189+G183/2-G185</f>
        <v>0.47710247966190872</v>
      </c>
      <c r="F199" s="763" t="s">
        <v>0</v>
      </c>
      <c r="G199" s="763" t="s">
        <v>921</v>
      </c>
      <c r="H199" s="754"/>
      <c r="I199" s="754"/>
      <c r="J199" s="754"/>
      <c r="K199" s="754"/>
      <c r="L199" s="754"/>
      <c r="M199" s="721"/>
    </row>
    <row r="200" spans="1:18" ht="22.15" customHeight="1">
      <c r="A200" s="763"/>
      <c r="B200" s="754"/>
      <c r="C200" s="754"/>
      <c r="D200" s="759" t="s">
        <v>77</v>
      </c>
      <c r="E200" s="760">
        <f>ABS(L197*I189-G183/2+G185)</f>
        <v>7.2897520338091285E-2</v>
      </c>
      <c r="F200" s="763" t="s">
        <v>0</v>
      </c>
      <c r="G200" s="763" t="s">
        <v>922</v>
      </c>
      <c r="H200" s="754"/>
      <c r="I200" s="754"/>
      <c r="J200" s="754"/>
      <c r="K200" s="754"/>
      <c r="L200" s="754"/>
      <c r="M200" s="721"/>
    </row>
    <row r="201" spans="1:18" ht="22.15" customHeight="1">
      <c r="A201" s="763"/>
      <c r="B201" s="758" t="s">
        <v>267</v>
      </c>
      <c r="C201" s="758"/>
      <c r="D201" s="759" t="s">
        <v>86</v>
      </c>
      <c r="E201" s="782">
        <f>+C182/(E68*G182)</f>
        <v>0.10931664596273291</v>
      </c>
      <c r="F201" s="763" t="s">
        <v>0</v>
      </c>
      <c r="G201" s="754"/>
      <c r="H201" s="760"/>
      <c r="I201" s="754"/>
      <c r="J201" s="754"/>
      <c r="K201" s="754"/>
      <c r="L201" s="754"/>
      <c r="M201" s="721"/>
    </row>
    <row r="202" spans="1:18" ht="22.15" customHeight="1">
      <c r="A202" s="763"/>
      <c r="B202" s="754"/>
      <c r="C202" s="754"/>
      <c r="D202" s="754" t="s">
        <v>923</v>
      </c>
      <c r="E202" s="760">
        <f>0.62*G186</f>
        <v>0.38750000000000001</v>
      </c>
      <c r="F202" s="763" t="s">
        <v>0</v>
      </c>
      <c r="G202" s="781" t="s">
        <v>65</v>
      </c>
      <c r="H202" s="754" t="str">
        <f>+IF(E201&lt;=E202,"x&lt;αoho ","x&gt;αoho")</f>
        <v xml:space="preserve">x&lt;αoho </v>
      </c>
      <c r="I202" s="754"/>
      <c r="J202" s="754"/>
      <c r="K202" s="754"/>
      <c r="L202" s="754"/>
      <c r="M202" s="721"/>
    </row>
    <row r="203" spans="1:18" ht="22.15" customHeight="1">
      <c r="A203" s="763"/>
      <c r="B203" s="754"/>
      <c r="C203" s="781" t="s">
        <v>65</v>
      </c>
      <c r="D203" s="763" t="str">
        <f>+IF(E201&lt;=E202,"Xảy ra trường hợp nén lệch tâm lớn","Xảy ra trường hợp nén lệch tâm bé ")</f>
        <v>Xảy ra trường hợp nén lệch tâm lớn</v>
      </c>
      <c r="E203" s="760"/>
      <c r="F203" s="754"/>
      <c r="G203" s="806"/>
      <c r="H203" s="760"/>
      <c r="I203" s="754"/>
      <c r="J203" s="754"/>
      <c r="K203" s="754"/>
      <c r="L203" s="754"/>
      <c r="M203" s="721"/>
    </row>
    <row r="204" spans="1:18" ht="22.15" customHeight="1">
      <c r="A204" s="754"/>
      <c r="B204" s="770" t="s">
        <v>268</v>
      </c>
      <c r="C204" s="781"/>
      <c r="D204" s="754"/>
      <c r="E204" s="760"/>
      <c r="F204" s="754"/>
      <c r="G204" s="754"/>
      <c r="H204" s="760"/>
      <c r="I204" s="754"/>
      <c r="J204" s="754"/>
      <c r="K204" s="451"/>
      <c r="L204" s="781"/>
      <c r="M204" s="721"/>
      <c r="N204" s="266"/>
      <c r="Q204" s="266"/>
      <c r="R204" s="266"/>
    </row>
    <row r="205" spans="1:18" ht="22.15" customHeight="1">
      <c r="A205" s="763"/>
      <c r="B205" s="754"/>
      <c r="C205" s="754" t="str">
        <f>+IF(E201&gt;2*G185,"x &gt; 2a' ==&gt;","x &lt; 2a' ==&gt;")</f>
        <v>x &lt; 2a' ==&gt;</v>
      </c>
      <c r="D205" s="763" t="str">
        <f>+IF(E201&gt;2*G185,"Fa = F'a = N(e-ho+0.5x)/(R'a(ho-a'))","Fa = F'a = Ne'/(Ra(ho-a'))")</f>
        <v>Fa = F'a = Ne'/(Ra(ho-a'))</v>
      </c>
      <c r="E205" s="760"/>
      <c r="F205" s="754"/>
      <c r="G205" s="754"/>
      <c r="H205" s="760"/>
      <c r="I205" s="754"/>
      <c r="J205" s="754"/>
      <c r="K205" s="754"/>
      <c r="L205" s="754"/>
      <c r="M205" s="721"/>
      <c r="N205" s="266"/>
      <c r="Q205" s="266"/>
      <c r="R205" s="266"/>
    </row>
    <row r="206" spans="1:18" ht="22.15" customHeight="1">
      <c r="A206" s="763"/>
      <c r="B206" s="754"/>
      <c r="C206" s="754"/>
      <c r="D206" s="754" t="s">
        <v>924</v>
      </c>
      <c r="E206" s="760">
        <f>+IF(E201&gt;2*G185,C182*(E199-G186+0.5*E201)/($K$68*(G186-G185)),C182*E200/($K$68*(G186-G185)))*10^4</f>
        <v>3.3324542857142849</v>
      </c>
      <c r="F206" s="754" t="s">
        <v>20</v>
      </c>
      <c r="G206" s="754"/>
      <c r="H206" s="760"/>
      <c r="I206" s="754"/>
      <c r="K206" s="823"/>
      <c r="L206" s="754"/>
      <c r="M206" s="721"/>
      <c r="N206" s="266"/>
      <c r="Q206" s="266"/>
      <c r="R206" s="266"/>
    </row>
    <row r="207" spans="1:18" ht="19.899999999999999" hidden="1" customHeight="1">
      <c r="A207" s="763"/>
      <c r="B207" s="807" t="s">
        <v>269</v>
      </c>
      <c r="C207" s="808" t="s">
        <v>88</v>
      </c>
      <c r="D207" s="809">
        <f>+E206*2/(G182*G186)</f>
        <v>15.234076734693874</v>
      </c>
      <c r="E207" s="810" t="s">
        <v>270</v>
      </c>
      <c r="F207" s="807"/>
      <c r="G207" s="811" t="s">
        <v>81</v>
      </c>
      <c r="H207" s="809">
        <f>+D207/2+D191/2</f>
        <v>7.6180383673469372</v>
      </c>
      <c r="I207" s="754"/>
      <c r="J207" s="754"/>
      <c r="K207" s="754"/>
      <c r="L207" s="781"/>
      <c r="M207" s="473"/>
      <c r="N207" s="474"/>
      <c r="P207" s="266"/>
      <c r="Q207" s="473"/>
      <c r="R207" s="473"/>
    </row>
    <row r="208" spans="1:18" ht="19.899999999999999" hidden="1" customHeight="1">
      <c r="A208" s="763"/>
      <c r="B208" s="812" t="s">
        <v>271</v>
      </c>
      <c r="C208" s="813"/>
      <c r="D208" s="814"/>
      <c r="E208" s="815"/>
      <c r="F208" s="814"/>
      <c r="G208" s="814"/>
      <c r="H208" s="815"/>
      <c r="I208" s="754"/>
      <c r="J208" s="754"/>
      <c r="K208" s="451"/>
      <c r="L208" s="781"/>
      <c r="N208" s="266"/>
      <c r="Q208" s="266"/>
      <c r="R208" s="266"/>
    </row>
    <row r="209" spans="1:18" ht="19.899999999999999" hidden="1" customHeight="1">
      <c r="A209" s="763"/>
      <c r="B209" s="814" t="s">
        <v>272</v>
      </c>
      <c r="C209" s="814"/>
      <c r="D209" s="814" t="e">
        <f>+#REF!</f>
        <v>#REF!</v>
      </c>
      <c r="E209" s="815"/>
      <c r="F209" s="814"/>
      <c r="G209" s="814"/>
      <c r="H209" s="815"/>
      <c r="I209" s="754"/>
      <c r="J209" s="754"/>
      <c r="K209" s="754"/>
      <c r="L209" s="754"/>
      <c r="N209" s="266"/>
      <c r="Q209" s="266"/>
      <c r="R209" s="266"/>
    </row>
    <row r="210" spans="1:18" ht="19.899999999999999" hidden="1" customHeight="1">
      <c r="A210" s="763"/>
      <c r="B210" s="814" t="s">
        <v>237</v>
      </c>
      <c r="C210" s="814"/>
      <c r="D210" s="754" t="e">
        <f>IF(D209="AI",2250,IF(D209="AII",2800,IF(D209="AIII",3650,"Nhóm cốt thép")))</f>
        <v>#REF!</v>
      </c>
      <c r="E210" s="815" t="s">
        <v>66</v>
      </c>
      <c r="F210" s="814"/>
      <c r="G210" s="814"/>
      <c r="H210" s="815"/>
      <c r="I210" s="754"/>
      <c r="J210" s="754"/>
      <c r="K210" s="754"/>
      <c r="L210" s="754"/>
      <c r="N210" s="266"/>
      <c r="Q210" s="266"/>
      <c r="R210" s="266"/>
    </row>
    <row r="211" spans="1:18" ht="19.899999999999999" hidden="1" customHeight="1">
      <c r="A211" s="763"/>
      <c r="B211" s="814"/>
      <c r="C211" s="814" t="s">
        <v>925</v>
      </c>
      <c r="D211" s="814">
        <f>0.4*(1.25*G183-0.62*G186)</f>
        <v>0.19500000000000001</v>
      </c>
      <c r="E211" s="815" t="s">
        <v>18</v>
      </c>
      <c r="F211" s="814" t="s">
        <v>926</v>
      </c>
      <c r="G211" s="814"/>
      <c r="H211" s="815"/>
      <c r="I211" s="754"/>
      <c r="J211" s="754"/>
      <c r="K211" s="754"/>
      <c r="L211" s="754"/>
      <c r="N211" s="266"/>
      <c r="Q211" s="266"/>
      <c r="R211" s="266"/>
    </row>
    <row r="212" spans="1:18" ht="19.899999999999999" hidden="1" customHeight="1">
      <c r="A212" s="763"/>
      <c r="B212" s="814"/>
      <c r="C212" s="814" t="s">
        <v>927</v>
      </c>
      <c r="D212" s="816">
        <f>+L197*I189</f>
        <v>0.2021024796619087</v>
      </c>
      <c r="E212" s="815" t="s">
        <v>18</v>
      </c>
      <c r="F212" s="814"/>
      <c r="G212" s="814"/>
      <c r="H212" s="815"/>
      <c r="I212" s="754"/>
      <c r="J212" s="754"/>
      <c r="K212" s="754"/>
      <c r="L212" s="754"/>
      <c r="M212" s="410"/>
      <c r="N212" s="266"/>
      <c r="Q212" s="266"/>
      <c r="R212" s="266"/>
    </row>
    <row r="213" spans="1:18" ht="19.899999999999999" hidden="1" customHeight="1">
      <c r="A213" s="763"/>
      <c r="B213" s="814"/>
      <c r="C213" s="814" t="s">
        <v>928</v>
      </c>
      <c r="D213" s="816">
        <f>0.2*G186</f>
        <v>0.125</v>
      </c>
      <c r="E213" s="815" t="s">
        <v>18</v>
      </c>
      <c r="F213" s="814"/>
      <c r="G213" s="815"/>
      <c r="H213" s="817"/>
      <c r="I213" s="754"/>
      <c r="J213" s="754"/>
      <c r="K213" s="754"/>
      <c r="L213" s="754"/>
      <c r="M213" s="410"/>
      <c r="N213" s="266"/>
      <c r="P213" s="266"/>
      <c r="Q213" s="473"/>
      <c r="R213" s="473"/>
    </row>
    <row r="214" spans="1:18" ht="19.899999999999999" hidden="1" customHeight="1">
      <c r="A214" s="763"/>
      <c r="B214" s="814" t="s">
        <v>89</v>
      </c>
      <c r="C214" s="814" t="str">
        <f>+IF(D212&lt;=D213," ηeo &lt;0.2ho ","ηeo &gt; 0.2ho ")</f>
        <v xml:space="preserve">ηeo &gt; 0.2ho </v>
      </c>
      <c r="D214" s="813" t="s">
        <v>65</v>
      </c>
      <c r="E214" s="813" t="str">
        <f>+IF(D212&lt;=D213,"x' = h-(1.8+0.5h/ho-1.4αo)ηαo","x' = 1.8(eogh-ηeo)+αoho")</f>
        <v>x' = 1.8(eogh-ηeo)+αoho</v>
      </c>
      <c r="F214" s="814"/>
      <c r="G214" s="815"/>
      <c r="H214" s="817"/>
      <c r="I214" s="754"/>
      <c r="J214" s="754"/>
      <c r="K214" s="754"/>
      <c r="L214" s="754"/>
      <c r="M214" s="472"/>
      <c r="N214" s="472"/>
      <c r="P214" s="266"/>
      <c r="Q214" s="473"/>
      <c r="R214" s="473"/>
    </row>
    <row r="215" spans="1:18" ht="19.899999999999999" hidden="1" customHeight="1">
      <c r="A215" s="763"/>
      <c r="B215" s="814"/>
      <c r="C215" s="814" t="s">
        <v>90</v>
      </c>
      <c r="D215" s="818">
        <f>+IF(D212&lt;=D213,G183-(1.8+0.5*G183/G186-1.4*0.62)*L197*I189,1.8*(D211-D212)+0.62*G186)</f>
        <v>0.37471553660856438</v>
      </c>
      <c r="E215" s="815" t="s">
        <v>18</v>
      </c>
      <c r="F215" s="814"/>
      <c r="G215" s="815"/>
      <c r="H215" s="817"/>
      <c r="I215" s="754"/>
      <c r="J215" s="754"/>
      <c r="K215" s="754"/>
      <c r="L215" s="754"/>
      <c r="M215" s="475"/>
      <c r="N215" s="266"/>
      <c r="P215" s="266"/>
      <c r="Q215" s="473"/>
      <c r="R215" s="473"/>
    </row>
    <row r="216" spans="1:18" ht="19.899999999999999" hidden="1" customHeight="1">
      <c r="A216" s="763"/>
      <c r="B216" s="814" t="s">
        <v>91</v>
      </c>
      <c r="C216" s="1617" t="s">
        <v>92</v>
      </c>
      <c r="D216" s="1618" t="s">
        <v>93</v>
      </c>
      <c r="E216" s="1618"/>
      <c r="F216" s="814"/>
      <c r="G216" s="815"/>
      <c r="H216" s="817"/>
      <c r="I216" s="754"/>
      <c r="J216" s="754"/>
      <c r="K216" s="754"/>
      <c r="L216" s="1570"/>
      <c r="M216" s="1553"/>
      <c r="N216" s="1553"/>
      <c r="P216" s="266"/>
      <c r="Q216" s="473"/>
      <c r="R216" s="473"/>
    </row>
    <row r="217" spans="1:18" ht="19.899999999999999" hidden="1" customHeight="1">
      <c r="A217" s="763"/>
      <c r="B217" s="814"/>
      <c r="C217" s="1617"/>
      <c r="D217" s="1649" t="s">
        <v>94</v>
      </c>
      <c r="E217" s="1649"/>
      <c r="F217" s="814"/>
      <c r="G217" s="815"/>
      <c r="H217" s="817"/>
      <c r="I217" s="754"/>
      <c r="J217" s="754"/>
      <c r="K217" s="754"/>
      <c r="L217" s="1570"/>
      <c r="M217" s="1553"/>
      <c r="N217" s="1553"/>
      <c r="P217" s="266"/>
      <c r="Q217" s="473"/>
      <c r="R217" s="473"/>
    </row>
    <row r="218" spans="1:18" ht="19.899999999999999" hidden="1" customHeight="1">
      <c r="A218" s="763"/>
      <c r="B218" s="814"/>
      <c r="C218" s="814" t="s">
        <v>92</v>
      </c>
      <c r="D218" s="819" t="e">
        <f>+(C182*1000*E199-E68*G182*D215*(G186-0.5*D215))/(D210*(G186-G185))</f>
        <v>#REF!</v>
      </c>
      <c r="E218" s="814" t="s">
        <v>20</v>
      </c>
      <c r="F218" s="815"/>
      <c r="G218" s="815"/>
      <c r="H218" s="815"/>
      <c r="I218" s="754"/>
      <c r="J218" s="754"/>
      <c r="K218" s="754"/>
      <c r="L218" s="754"/>
      <c r="M218" s="410"/>
      <c r="O218" s="266"/>
      <c r="P218" s="266"/>
      <c r="Q218" s="266"/>
      <c r="R218" s="266"/>
    </row>
    <row r="219" spans="1:18" ht="19.899999999999999" hidden="1" customHeight="1">
      <c r="A219" s="763"/>
      <c r="B219" s="814"/>
      <c r="C219" s="813" t="s">
        <v>88</v>
      </c>
      <c r="D219" s="817" t="e">
        <f>+D218*2/(G182*G186)</f>
        <v>#REF!</v>
      </c>
      <c r="E219" s="820" t="s">
        <v>270</v>
      </c>
      <c r="F219" s="814"/>
      <c r="G219" s="815" t="s">
        <v>81</v>
      </c>
      <c r="H219" s="817" t="e">
        <f>+D219/2+D191/2</f>
        <v>#REF!</v>
      </c>
      <c r="I219" s="754"/>
      <c r="J219" s="754"/>
      <c r="K219" s="754"/>
      <c r="L219" s="781"/>
      <c r="M219" s="473"/>
      <c r="N219" s="474"/>
      <c r="P219" s="266"/>
      <c r="Q219" s="473"/>
      <c r="R219" s="473"/>
    </row>
    <row r="220" spans="1:18" ht="19.899999999999999" hidden="1" customHeight="1">
      <c r="A220" s="763"/>
      <c r="B220" s="814"/>
      <c r="C220" s="813"/>
      <c r="D220" s="817"/>
      <c r="E220" s="820"/>
      <c r="F220" s="814"/>
      <c r="G220" s="815"/>
      <c r="H220" s="817"/>
      <c r="I220" s="754"/>
      <c r="J220" s="754"/>
      <c r="K220" s="754"/>
      <c r="L220" s="781"/>
      <c r="M220" s="473"/>
      <c r="N220" s="474"/>
      <c r="P220" s="266"/>
      <c r="Q220" s="473"/>
      <c r="R220" s="473"/>
    </row>
    <row r="221" spans="1:18" ht="19.899999999999999" hidden="1" customHeight="1">
      <c r="A221" s="763"/>
      <c r="B221" s="814"/>
      <c r="C221" s="813"/>
      <c r="D221" s="817"/>
      <c r="E221" s="820"/>
      <c r="F221" s="814"/>
      <c r="G221" s="815"/>
      <c r="H221" s="817"/>
      <c r="I221" s="754"/>
      <c r="J221" s="754"/>
      <c r="K221" s="754"/>
      <c r="L221" s="781"/>
      <c r="M221" s="473"/>
      <c r="N221" s="474"/>
      <c r="P221" s="266"/>
      <c r="Q221" s="473"/>
      <c r="R221" s="473"/>
    </row>
    <row r="222" spans="1:18" ht="19.899999999999999" hidden="1" customHeight="1">
      <c r="A222" s="763"/>
      <c r="B222" s="814"/>
      <c r="C222" s="813"/>
      <c r="D222" s="817"/>
      <c r="E222" s="820"/>
      <c r="F222" s="814"/>
      <c r="G222" s="815"/>
      <c r="H222" s="817"/>
      <c r="I222" s="754"/>
      <c r="J222" s="754"/>
      <c r="K222" s="754"/>
      <c r="L222" s="781"/>
      <c r="M222" s="473"/>
      <c r="N222" s="474"/>
      <c r="P222" s="266"/>
      <c r="Q222" s="473"/>
      <c r="R222" s="473"/>
    </row>
    <row r="223" spans="1:18" ht="19.899999999999999" hidden="1" customHeight="1">
      <c r="A223" s="763"/>
      <c r="B223" s="814"/>
      <c r="C223" s="813"/>
      <c r="D223" s="817"/>
      <c r="E223" s="820"/>
      <c r="F223" s="814"/>
      <c r="G223" s="815"/>
      <c r="H223" s="817"/>
      <c r="I223" s="754"/>
      <c r="J223" s="754"/>
      <c r="K223" s="754"/>
      <c r="L223" s="781"/>
      <c r="M223" s="473"/>
      <c r="N223" s="474"/>
      <c r="P223" s="266"/>
      <c r="Q223" s="473"/>
      <c r="R223" s="473"/>
    </row>
    <row r="224" spans="1:18" ht="22.15" customHeight="1">
      <c r="A224" s="763"/>
      <c r="B224" s="753" t="s">
        <v>273</v>
      </c>
      <c r="C224" s="754"/>
      <c r="D224" s="754"/>
      <c r="E224" s="754"/>
      <c r="F224" s="754"/>
      <c r="G224" s="754"/>
      <c r="H224" s="754"/>
      <c r="I224" s="754"/>
      <c r="J224" s="754"/>
      <c r="K224" s="754"/>
      <c r="L224" s="754"/>
    </row>
    <row r="225" spans="1:13" ht="22.15" customHeight="1">
      <c r="A225" s="763"/>
      <c r="B225" s="822" t="s">
        <v>647</v>
      </c>
      <c r="C225" s="754"/>
      <c r="D225" s="754"/>
      <c r="E225" s="754"/>
      <c r="F225" s="754"/>
      <c r="G225" s="754"/>
      <c r="H225" s="754"/>
      <c r="I225" s="754"/>
      <c r="K225" s="771" t="str">
        <f>+ROUND(C226,2) &amp;" (T)"</f>
        <v>80.48 (T)</v>
      </c>
    </row>
    <row r="226" spans="1:13" ht="22.15" customHeight="1">
      <c r="A226" s="763"/>
      <c r="B226" s="754" t="s">
        <v>78</v>
      </c>
      <c r="C226" s="760">
        <f>C53</f>
        <v>80.48060000000001</v>
      </c>
      <c r="D226" s="754" t="s">
        <v>3</v>
      </c>
      <c r="E226" s="754"/>
      <c r="F226" s="754"/>
      <c r="G226" s="754"/>
      <c r="H226" s="754"/>
      <c r="K226" s="754"/>
      <c r="L226" s="754"/>
    </row>
    <row r="227" spans="1:13" ht="22.15" customHeight="1">
      <c r="A227" s="763"/>
      <c r="B227" s="754" t="s">
        <v>79</v>
      </c>
      <c r="C227" s="760">
        <f>+F53</f>
        <v>4.9444999999999997</v>
      </c>
      <c r="D227" s="754" t="s">
        <v>3</v>
      </c>
      <c r="E227" s="754"/>
      <c r="F227" s="754"/>
      <c r="G227" s="754"/>
      <c r="H227" s="754"/>
      <c r="I227" s="754"/>
      <c r="J227" s="763" t="str">
        <f>ROUND(J182,2)&amp;" (T)"</f>
        <v>6.41 (T)</v>
      </c>
      <c r="K227" s="1645">
        <f>L184</f>
        <v>2.5</v>
      </c>
      <c r="L227" s="754"/>
    </row>
    <row r="228" spans="1:13" ht="22.15" customHeight="1">
      <c r="A228" s="763"/>
      <c r="B228" s="763" t="s">
        <v>256</v>
      </c>
      <c r="C228" s="754"/>
      <c r="D228" s="754"/>
      <c r="E228" s="754"/>
      <c r="F228" s="754"/>
      <c r="G228" s="754"/>
      <c r="H228" s="754"/>
      <c r="I228" s="754"/>
      <c r="K228" s="1645"/>
      <c r="L228" s="754"/>
    </row>
    <row r="229" spans="1:13" ht="22.15" customHeight="1">
      <c r="A229" s="763"/>
      <c r="B229" s="754" t="s">
        <v>67</v>
      </c>
      <c r="C229" s="791">
        <f>+C227*G184</f>
        <v>12.361249999999998</v>
      </c>
      <c r="D229" s="754" t="s">
        <v>4</v>
      </c>
      <c r="E229" s="754"/>
      <c r="F229" s="754"/>
      <c r="G229" s="754"/>
      <c r="K229" s="1645"/>
      <c r="L229" s="754"/>
    </row>
    <row r="230" spans="1:13" ht="22.15" customHeight="1">
      <c r="A230" s="763"/>
      <c r="B230" s="763" t="s">
        <v>274</v>
      </c>
      <c r="C230" s="754" t="s">
        <v>95</v>
      </c>
      <c r="D230" s="757">
        <f>+C229/C226</f>
        <v>0.15359291555977461</v>
      </c>
      <c r="E230" s="754" t="s">
        <v>0</v>
      </c>
      <c r="F230" s="754" t="s">
        <v>96</v>
      </c>
      <c r="G230" s="754"/>
      <c r="H230" s="754"/>
      <c r="I230" s="754"/>
      <c r="K230" s="1645"/>
      <c r="L230" s="754"/>
    </row>
    <row r="231" spans="1:13" ht="22.15" customHeight="1">
      <c r="A231" s="763"/>
      <c r="B231" s="754"/>
      <c r="C231" s="754" t="s">
        <v>97</v>
      </c>
      <c r="D231" s="754">
        <f>0.5*G183-G185</f>
        <v>0.27499999999999997</v>
      </c>
      <c r="E231" s="754" t="s">
        <v>0</v>
      </c>
      <c r="F231" s="754"/>
      <c r="G231" s="754"/>
      <c r="H231" s="754"/>
      <c r="I231" s="754"/>
      <c r="K231" s="1645"/>
      <c r="L231" s="754"/>
    </row>
    <row r="232" spans="1:13" ht="22.15" customHeight="1">
      <c r="A232" s="763"/>
      <c r="B232" s="754"/>
      <c r="C232" s="781" t="s">
        <v>65</v>
      </c>
      <c r="D232" s="763" t="str">
        <f>+IF(D230&lt;=D231,"eo &lt; 0.5h-a  Lệch tâm bé","eo &gt; ho-a  Lệch tâm lớn")</f>
        <v>eo &lt; 0.5h-a  Lệch tâm bé</v>
      </c>
      <c r="E232" s="754"/>
      <c r="F232" s="754"/>
      <c r="G232" s="754"/>
      <c r="H232" s="754"/>
      <c r="J232" s="1570" t="s">
        <v>546</v>
      </c>
      <c r="K232" s="1570"/>
      <c r="L232" s="754"/>
    </row>
    <row r="233" spans="1:13" ht="19.899999999999999" hidden="1" customHeight="1">
      <c r="A233" s="763"/>
      <c r="B233" s="754"/>
      <c r="C233" s="754"/>
      <c r="D233" s="754"/>
      <c r="E233" s="754"/>
      <c r="F233" s="754"/>
      <c r="G233" s="754"/>
      <c r="H233" s="754"/>
      <c r="I233" s="754"/>
      <c r="J233" s="754"/>
      <c r="K233" s="754"/>
      <c r="L233" s="754"/>
    </row>
    <row r="234" spans="1:13" ht="22.15" customHeight="1">
      <c r="A234" s="763"/>
      <c r="B234" s="770" t="s">
        <v>275</v>
      </c>
      <c r="C234" s="754"/>
      <c r="D234" s="754"/>
      <c r="E234" s="754"/>
      <c r="F234" s="754"/>
      <c r="G234" s="770" t="s">
        <v>278</v>
      </c>
      <c r="H234" s="754"/>
      <c r="I234" s="754"/>
      <c r="J234" s="754"/>
      <c r="K234" s="754"/>
      <c r="L234" s="754"/>
    </row>
    <row r="235" spans="1:13" ht="22.15" customHeight="1">
      <c r="A235" s="763"/>
      <c r="B235" s="759" t="s">
        <v>98</v>
      </c>
      <c r="C235" s="757">
        <f>0.5*G183-D230-G185</f>
        <v>0.12140708444022537</v>
      </c>
      <c r="D235" s="763" t="s">
        <v>0</v>
      </c>
      <c r="E235" s="763" t="s">
        <v>105</v>
      </c>
      <c r="F235" s="754"/>
      <c r="G235" s="759" t="s">
        <v>98</v>
      </c>
      <c r="H235" s="757">
        <f>+D230-0.5*G183+G185</f>
        <v>-0.12140708444022537</v>
      </c>
      <c r="I235" s="763" t="s">
        <v>0</v>
      </c>
      <c r="J235" s="1569" t="s">
        <v>107</v>
      </c>
      <c r="K235" s="1569"/>
      <c r="L235" s="754"/>
    </row>
    <row r="236" spans="1:13" ht="22.15" customHeight="1">
      <c r="A236" s="763"/>
      <c r="B236" s="759" t="s">
        <v>99</v>
      </c>
      <c r="C236" s="757">
        <f>0.5*G183+D230-G185</f>
        <v>0.42859291555977458</v>
      </c>
      <c r="D236" s="763" t="s">
        <v>0</v>
      </c>
      <c r="E236" s="763" t="s">
        <v>106</v>
      </c>
      <c r="F236" s="754"/>
      <c r="G236" s="759" t="s">
        <v>99</v>
      </c>
      <c r="H236" s="757">
        <f>+D230+0.5*G186-G185</f>
        <v>0.3910929155597746</v>
      </c>
      <c r="I236" s="763" t="s">
        <v>0</v>
      </c>
      <c r="J236" s="1569" t="s">
        <v>109</v>
      </c>
      <c r="K236" s="1569"/>
      <c r="L236" s="754"/>
    </row>
    <row r="237" spans="1:13" ht="22.15" customHeight="1">
      <c r="A237" s="763"/>
      <c r="B237" s="1620" t="s">
        <v>929</v>
      </c>
      <c r="C237" s="821" t="s">
        <v>101</v>
      </c>
      <c r="D237" s="1570" t="s">
        <v>6</v>
      </c>
      <c r="E237" s="1571">
        <f>+C226*C235/($K$68*(G186-G185))*10^4</f>
        <v>5.075800000000001</v>
      </c>
      <c r="F237" s="1569" t="s">
        <v>20</v>
      </c>
      <c r="G237" s="1620" t="s">
        <v>930</v>
      </c>
      <c r="H237" s="821" t="s">
        <v>103</v>
      </c>
      <c r="I237" s="1570" t="s">
        <v>6</v>
      </c>
      <c r="J237" s="1571">
        <f>+C226*H236/($K$68*(G186-G185))*10^4</f>
        <v>16.350853246753246</v>
      </c>
      <c r="K237" s="1569" t="s">
        <v>759</v>
      </c>
      <c r="L237" s="754"/>
    </row>
    <row r="238" spans="1:13" ht="22.15" customHeight="1">
      <c r="A238" s="763"/>
      <c r="B238" s="1620"/>
      <c r="C238" s="754" t="s">
        <v>94</v>
      </c>
      <c r="D238" s="1570"/>
      <c r="E238" s="1571"/>
      <c r="F238" s="1569"/>
      <c r="G238" s="1620"/>
      <c r="H238" s="754" t="s">
        <v>110</v>
      </c>
      <c r="I238" s="1570"/>
      <c r="J238" s="1571"/>
      <c r="K238" s="1569"/>
      <c r="L238" s="754"/>
    </row>
    <row r="239" spans="1:13" ht="22.15" customHeight="1">
      <c r="A239" s="763"/>
      <c r="B239" s="1620" t="s">
        <v>931</v>
      </c>
      <c r="C239" s="821" t="s">
        <v>103</v>
      </c>
      <c r="D239" s="1570" t="s">
        <v>6</v>
      </c>
      <c r="E239" s="1571">
        <f>+C226*C236/($K$68*(G186-G185))*1.05*10^4</f>
        <v>18.814589999999999</v>
      </c>
      <c r="F239" s="1569" t="s">
        <v>759</v>
      </c>
      <c r="G239" s="798"/>
      <c r="H239" s="798"/>
      <c r="I239" s="798"/>
      <c r="J239" s="798"/>
      <c r="K239" s="754"/>
      <c r="L239" s="754"/>
    </row>
    <row r="240" spans="1:13" ht="22.15" customHeight="1">
      <c r="A240" s="763"/>
      <c r="B240" s="1620"/>
      <c r="C240" s="754" t="s">
        <v>104</v>
      </c>
      <c r="D240" s="1570"/>
      <c r="E240" s="1571"/>
      <c r="F240" s="1569"/>
      <c r="G240" s="798"/>
      <c r="H240" s="798"/>
      <c r="I240" s="798"/>
      <c r="J240" s="798"/>
      <c r="K240" s="754"/>
      <c r="L240" s="754"/>
      <c r="M240" s="721"/>
    </row>
    <row r="241" spans="1:22" ht="22.15" customHeight="1">
      <c r="A241" s="1620" t="s">
        <v>827</v>
      </c>
      <c r="B241" s="1620"/>
      <c r="C241" s="799">
        <v>25</v>
      </c>
      <c r="D241" s="754" t="s">
        <v>829</v>
      </c>
      <c r="E241" s="774">
        <v>4</v>
      </c>
      <c r="F241" s="781" t="s">
        <v>887</v>
      </c>
      <c r="G241" s="757">
        <f>E241*3.14*((C241/1000)^2)/4*10^4</f>
        <v>19.625000000000004</v>
      </c>
      <c r="H241" s="763" t="s">
        <v>694</v>
      </c>
      <c r="I241" s="754"/>
      <c r="J241" s="754"/>
      <c r="K241" s="754"/>
      <c r="L241" s="754"/>
      <c r="M241" s="721" t="str">
        <f>IF(G241&gt;MAX(J237,E239,E237,E206),"OK","NO")</f>
        <v>OK</v>
      </c>
      <c r="N241" s="267" t="str">
        <f>IF(G241&gt;MAX(J237,E239,E237,E206)*1.4,"Thép lớn quá","Thép hợp lý")</f>
        <v>Thép hợp lý</v>
      </c>
      <c r="O241" s="267" t="str">
        <f>IF(G241&gt;MAX(E237,J237,E239,E206)*1.1,"Thép hợp lý","Tăng thép lên")</f>
        <v>Tăng thép lên</v>
      </c>
    </row>
    <row r="242" spans="1:22" ht="22.15" customHeight="1">
      <c r="A242" s="1620" t="s">
        <v>757</v>
      </c>
      <c r="B242" s="1620"/>
      <c r="C242" s="754" t="s">
        <v>81</v>
      </c>
      <c r="D242" s="754">
        <f>ROUND(2*MAX(E206,E237,E239,J237)/(G186*G182*100*100)*100,2)</f>
        <v>0.86</v>
      </c>
      <c r="E242" s="763" t="s">
        <v>758</v>
      </c>
      <c r="F242" s="757"/>
      <c r="G242" s="754"/>
      <c r="H242" s="754"/>
      <c r="I242" s="754"/>
      <c r="J242" s="754"/>
      <c r="K242" s="754"/>
      <c r="L242" s="754"/>
      <c r="M242" s="721" t="str">
        <f>IF(D242&gt;0.1,"OK","NO")</f>
        <v>OK</v>
      </c>
    </row>
    <row r="243" spans="1:22" ht="22.15" customHeight="1">
      <c r="A243" s="776" t="s">
        <v>650</v>
      </c>
      <c r="B243" s="754"/>
      <c r="C243" s="754"/>
      <c r="D243" s="754"/>
      <c r="E243" s="754"/>
      <c r="F243" s="758"/>
      <c r="G243" s="754"/>
      <c r="H243" s="754"/>
      <c r="I243" s="754"/>
      <c r="J243" s="754"/>
      <c r="K243" s="754"/>
      <c r="L243" s="754"/>
      <c r="M243" s="721"/>
    </row>
    <row r="244" spans="1:22" ht="22.15" customHeight="1">
      <c r="A244" s="763"/>
      <c r="B244" s="758" t="s">
        <v>276</v>
      </c>
      <c r="C244" s="760">
        <f>MAX(SQRT(C42^2+D42^2),SQRT(C43^2+D43^2))</f>
        <v>7.9791286523028306</v>
      </c>
      <c r="D244" s="754" t="s">
        <v>3</v>
      </c>
      <c r="E244" s="754"/>
      <c r="F244" s="754"/>
      <c r="G244" s="754"/>
      <c r="H244" s="754"/>
      <c r="I244" s="754"/>
      <c r="J244" s="754"/>
      <c r="K244" s="754"/>
      <c r="L244" s="754"/>
      <c r="M244" s="721"/>
    </row>
    <row r="245" spans="1:22" ht="22.15" customHeight="1">
      <c r="A245" s="763"/>
      <c r="B245" s="763" t="s">
        <v>649</v>
      </c>
      <c r="C245" s="754"/>
      <c r="D245" s="754"/>
      <c r="E245" s="754"/>
      <c r="G245" s="760">
        <f>1.25*0.5*$E$69*G182*G186</f>
        <v>24.609375</v>
      </c>
      <c r="H245" s="754" t="s">
        <v>3</v>
      </c>
      <c r="K245" s="754"/>
      <c r="L245" s="754"/>
      <c r="M245" s="721" t="str">
        <f>IF(G245&gt;C244,"OK","NO")</f>
        <v>OK</v>
      </c>
    </row>
    <row r="246" spans="1:22" ht="19.899999999999999" customHeight="1">
      <c r="A246" s="763"/>
      <c r="B246" s="763" t="s">
        <v>932</v>
      </c>
      <c r="C246" s="763" t="s">
        <v>645</v>
      </c>
      <c r="D246" s="754"/>
      <c r="E246" s="754"/>
      <c r="F246" s="754"/>
      <c r="G246" s="754"/>
      <c r="H246" s="754"/>
      <c r="I246" s="754"/>
      <c r="J246" s="754"/>
      <c r="K246" s="754"/>
      <c r="L246" s="754"/>
      <c r="M246" s="721"/>
    </row>
    <row r="247" spans="1:22" ht="19.899999999999999" hidden="1" customHeight="1">
      <c r="A247" s="749"/>
      <c r="B247" s="751"/>
      <c r="C247" s="750"/>
      <c r="D247" s="750"/>
      <c r="E247" s="750"/>
      <c r="F247" s="750"/>
      <c r="G247" s="750"/>
      <c r="H247" s="750"/>
      <c r="I247" s="750"/>
      <c r="J247" s="750"/>
      <c r="K247" s="750"/>
      <c r="L247" s="750"/>
      <c r="M247" s="721"/>
    </row>
    <row r="248" spans="1:22" ht="19.899999999999999" hidden="1" customHeight="1">
      <c r="A248" s="749"/>
      <c r="B248" s="750"/>
      <c r="C248" s="750"/>
      <c r="D248" s="750"/>
      <c r="E248" s="752"/>
      <c r="F248" s="750"/>
      <c r="G248" s="750"/>
      <c r="H248" s="750"/>
      <c r="I248" s="750"/>
      <c r="J248" s="750"/>
      <c r="K248" s="750"/>
      <c r="L248" s="750"/>
      <c r="M248" s="721"/>
    </row>
    <row r="249" spans="1:22" ht="19.899999999999999" customHeight="1">
      <c r="A249" s="749"/>
      <c r="B249" s="750"/>
      <c r="C249" s="750"/>
      <c r="D249" s="750"/>
      <c r="E249" s="750"/>
      <c r="F249" s="750"/>
      <c r="G249" s="750"/>
      <c r="H249" s="750"/>
      <c r="I249" s="750"/>
      <c r="J249" s="750"/>
      <c r="K249" s="750"/>
      <c r="L249" s="750"/>
      <c r="M249" s="721"/>
    </row>
    <row r="250" spans="1:22" ht="19.899999999999999" customHeight="1">
      <c r="I250" s="447"/>
    </row>
    <row r="251" spans="1:22" ht="19.899999999999999" customHeight="1">
      <c r="A251" s="709"/>
      <c r="B251" s="476"/>
      <c r="C251" s="476"/>
      <c r="D251" s="476"/>
      <c r="E251" s="476"/>
      <c r="F251" s="476"/>
      <c r="G251" s="476"/>
      <c r="H251" s="476"/>
      <c r="I251" s="476"/>
      <c r="J251" s="476"/>
      <c r="K251" s="476"/>
      <c r="L251" s="476"/>
      <c r="M251" s="476"/>
      <c r="N251" s="476"/>
      <c r="O251" s="476"/>
      <c r="P251" s="476"/>
      <c r="Q251" s="476"/>
      <c r="R251" s="476"/>
      <c r="S251" s="476"/>
      <c r="T251" s="476"/>
      <c r="U251" s="476"/>
      <c r="V251" s="476"/>
    </row>
    <row r="252" spans="1:22" ht="19.899999999999999" customHeight="1">
      <c r="A252" s="709"/>
      <c r="B252" s="476"/>
      <c r="C252" s="476"/>
      <c r="D252" s="476"/>
      <c r="E252" s="476"/>
      <c r="F252" s="476"/>
      <c r="G252" s="476"/>
      <c r="H252" s="476"/>
      <c r="I252" s="476"/>
      <c r="J252" s="476"/>
      <c r="K252" s="476"/>
      <c r="L252" s="476"/>
      <c r="M252" s="476"/>
      <c r="N252" s="476"/>
      <c r="O252" s="476"/>
      <c r="P252" s="476"/>
      <c r="Q252" s="476"/>
      <c r="R252" s="476"/>
      <c r="S252" s="476"/>
      <c r="T252" s="476"/>
      <c r="U252" s="476"/>
      <c r="V252" s="476"/>
    </row>
    <row r="253" spans="1:22" ht="19.899999999999999" customHeight="1">
      <c r="A253" s="709"/>
      <c r="B253" s="476"/>
      <c r="C253" s="476"/>
      <c r="D253" s="476"/>
      <c r="E253" s="476"/>
      <c r="F253" s="476"/>
      <c r="G253" s="476"/>
      <c r="H253" s="476"/>
      <c r="I253" s="476"/>
      <c r="J253" s="476"/>
      <c r="K253" s="476"/>
      <c r="L253" s="476"/>
      <c r="M253" s="476"/>
      <c r="N253" s="476"/>
      <c r="O253" s="476"/>
      <c r="P253" s="476"/>
      <c r="Q253" s="476"/>
      <c r="R253" s="476"/>
      <c r="S253" s="476"/>
      <c r="T253" s="476"/>
      <c r="U253" s="476"/>
      <c r="V253" s="476"/>
    </row>
    <row r="254" spans="1:22" ht="19.899999999999999" customHeight="1">
      <c r="A254" s="709"/>
      <c r="B254" s="476"/>
      <c r="C254" s="476"/>
      <c r="D254" s="476"/>
      <c r="E254" s="476"/>
      <c r="F254" s="476"/>
      <c r="G254" s="476"/>
      <c r="H254" s="476"/>
      <c r="I254" s="476"/>
      <c r="J254" s="476"/>
      <c r="K254" s="476"/>
      <c r="L254" s="476"/>
      <c r="M254" s="476"/>
      <c r="N254" s="476"/>
      <c r="O254" s="476"/>
      <c r="P254" s="476"/>
      <c r="Q254" s="476"/>
      <c r="R254" s="476"/>
      <c r="S254" s="476"/>
      <c r="T254" s="476"/>
      <c r="U254" s="476"/>
      <c r="V254" s="476"/>
    </row>
    <row r="255" spans="1:22" ht="19.899999999999999" customHeight="1">
      <c r="A255" s="709"/>
      <c r="B255" s="476"/>
      <c r="C255" s="476"/>
      <c r="D255" s="476"/>
      <c r="E255" s="476"/>
      <c r="F255" s="476"/>
      <c r="G255" s="476"/>
      <c r="H255" s="476"/>
      <c r="I255" s="476"/>
      <c r="J255" s="476"/>
      <c r="K255" s="476"/>
      <c r="L255" s="476"/>
      <c r="M255" s="476"/>
      <c r="N255" s="476"/>
      <c r="O255" s="476"/>
      <c r="P255" s="476"/>
      <c r="Q255" s="476"/>
      <c r="R255" s="476"/>
      <c r="S255" s="476"/>
      <c r="T255" s="476"/>
      <c r="U255" s="476"/>
      <c r="V255" s="476"/>
    </row>
    <row r="256" spans="1:22" ht="19.899999999999999" customHeight="1">
      <c r="A256" s="709"/>
      <c r="B256" s="476"/>
      <c r="C256" s="476"/>
      <c r="D256" s="476"/>
      <c r="E256" s="476"/>
      <c r="F256" s="476"/>
      <c r="G256" s="476"/>
      <c r="H256" s="476"/>
      <c r="I256" s="476"/>
      <c r="J256" s="476"/>
      <c r="K256" s="476"/>
      <c r="L256" s="476"/>
      <c r="M256" s="476"/>
      <c r="N256" s="476"/>
      <c r="O256" s="476"/>
      <c r="P256" s="476"/>
      <c r="Q256" s="476"/>
      <c r="R256" s="476"/>
      <c r="S256" s="476"/>
      <c r="T256" s="476"/>
      <c r="U256" s="476"/>
      <c r="V256" s="476"/>
    </row>
    <row r="257" spans="1:22" ht="19.899999999999999" customHeight="1">
      <c r="A257" s="709"/>
      <c r="B257" s="476"/>
      <c r="C257" s="476"/>
      <c r="D257" s="476"/>
      <c r="E257" s="476"/>
      <c r="F257" s="476"/>
      <c r="G257" s="476"/>
      <c r="H257" s="476"/>
      <c r="I257" s="476"/>
      <c r="J257" s="476"/>
      <c r="K257" s="476"/>
      <c r="L257" s="476"/>
      <c r="M257" s="476"/>
      <c r="N257" s="476"/>
      <c r="O257" s="476"/>
      <c r="P257" s="476"/>
      <c r="Q257" s="476"/>
      <c r="R257" s="476"/>
      <c r="S257" s="476"/>
      <c r="T257" s="476"/>
      <c r="U257" s="476"/>
      <c r="V257" s="476"/>
    </row>
    <row r="258" spans="1:22" ht="19.899999999999999" customHeight="1">
      <c r="A258" s="709"/>
      <c r="B258" s="476"/>
      <c r="C258" s="476"/>
      <c r="D258" s="476"/>
      <c r="E258" s="476"/>
      <c r="F258" s="476"/>
      <c r="G258" s="476"/>
      <c r="H258" s="476"/>
      <c r="I258" s="476"/>
      <c r="J258" s="476"/>
      <c r="K258" s="476"/>
      <c r="L258" s="476"/>
      <c r="M258" s="476"/>
      <c r="N258" s="476"/>
      <c r="O258" s="476"/>
      <c r="P258" s="476"/>
      <c r="Q258" s="476"/>
      <c r="R258" s="476"/>
      <c r="S258" s="476"/>
      <c r="T258" s="476"/>
      <c r="U258" s="476"/>
      <c r="V258" s="476"/>
    </row>
    <row r="259" spans="1:22" ht="19.899999999999999" customHeight="1">
      <c r="A259" s="709"/>
      <c r="B259" s="476"/>
      <c r="C259" s="476"/>
      <c r="D259" s="476"/>
      <c r="E259" s="476"/>
      <c r="F259" s="476"/>
      <c r="G259" s="476"/>
      <c r="H259" s="476"/>
      <c r="I259" s="476"/>
      <c r="J259" s="476"/>
      <c r="K259" s="476"/>
      <c r="L259" s="476"/>
      <c r="M259" s="476"/>
      <c r="N259" s="476"/>
      <c r="O259" s="476"/>
      <c r="P259" s="476"/>
      <c r="Q259" s="476"/>
      <c r="R259" s="476"/>
      <c r="S259" s="476"/>
      <c r="T259" s="476"/>
      <c r="U259" s="476"/>
      <c r="V259" s="476"/>
    </row>
    <row r="260" spans="1:22" ht="19.899999999999999" customHeight="1">
      <c r="A260" s="709"/>
      <c r="B260" s="476"/>
      <c r="C260" s="476"/>
      <c r="D260" s="476"/>
      <c r="E260" s="476"/>
      <c r="F260" s="476"/>
      <c r="G260" s="476"/>
      <c r="H260" s="476"/>
      <c r="I260" s="476"/>
      <c r="J260" s="476"/>
      <c r="K260" s="476"/>
      <c r="L260" s="476"/>
      <c r="M260" s="476"/>
      <c r="N260" s="476"/>
      <c r="O260" s="476"/>
      <c r="P260" s="476"/>
      <c r="Q260" s="476"/>
      <c r="R260" s="476"/>
      <c r="S260" s="476"/>
      <c r="T260" s="476"/>
      <c r="U260" s="476"/>
      <c r="V260" s="476"/>
    </row>
    <row r="261" spans="1:22" ht="19.899999999999999" customHeight="1">
      <c r="A261" s="709"/>
      <c r="B261" s="476"/>
      <c r="C261" s="476"/>
      <c r="D261" s="476"/>
      <c r="E261" s="476"/>
      <c r="F261" s="476"/>
      <c r="G261" s="476"/>
      <c r="H261" s="476"/>
      <c r="I261" s="476"/>
      <c r="J261" s="476"/>
      <c r="K261" s="476"/>
      <c r="L261" s="476"/>
      <c r="M261" s="476"/>
      <c r="N261" s="476"/>
      <c r="O261" s="476"/>
      <c r="P261" s="476"/>
      <c r="Q261" s="476"/>
      <c r="R261" s="476"/>
      <c r="S261" s="476"/>
      <c r="T261" s="476"/>
      <c r="U261" s="476"/>
      <c r="V261" s="476"/>
    </row>
    <row r="262" spans="1:22" ht="19.899999999999999" customHeight="1">
      <c r="A262" s="709"/>
      <c r="B262" s="476"/>
      <c r="C262" s="476"/>
      <c r="D262" s="476"/>
      <c r="E262" s="476"/>
      <c r="F262" s="476"/>
      <c r="G262" s="476"/>
      <c r="H262" s="476"/>
      <c r="I262" s="476"/>
      <c r="J262" s="476"/>
      <c r="K262" s="476"/>
      <c r="L262" s="476"/>
      <c r="M262" s="476"/>
      <c r="N262" s="476"/>
      <c r="O262" s="476"/>
      <c r="P262" s="476"/>
      <c r="Q262" s="476"/>
      <c r="R262" s="476"/>
      <c r="S262" s="476"/>
      <c r="T262" s="476"/>
      <c r="U262" s="476"/>
      <c r="V262" s="476"/>
    </row>
    <row r="263" spans="1:22" ht="19.899999999999999" customHeight="1">
      <c r="A263" s="709"/>
      <c r="B263" s="476"/>
      <c r="C263" s="476"/>
      <c r="D263" s="476"/>
      <c r="E263" s="476"/>
      <c r="F263" s="476"/>
      <c r="G263" s="476"/>
      <c r="H263" s="476"/>
      <c r="I263" s="476"/>
      <c r="J263" s="476"/>
      <c r="K263" s="476"/>
      <c r="L263" s="476"/>
      <c r="M263" s="476"/>
      <c r="N263" s="476"/>
      <c r="O263" s="476"/>
      <c r="P263" s="476"/>
      <c r="Q263" s="476"/>
      <c r="R263" s="476"/>
      <c r="S263" s="476"/>
      <c r="T263" s="476"/>
      <c r="U263" s="476"/>
      <c r="V263" s="476"/>
    </row>
    <row r="264" spans="1:22" ht="19.899999999999999" customHeight="1">
      <c r="A264" s="709"/>
      <c r="B264" s="476"/>
      <c r="C264" s="476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</row>
    <row r="265" spans="1:22" ht="19.899999999999999" customHeight="1">
      <c r="A265" s="709"/>
      <c r="B265" s="476"/>
      <c r="C265" s="476"/>
      <c r="D265" s="476"/>
      <c r="E265" s="476"/>
      <c r="F265" s="476"/>
      <c r="G265" s="476"/>
      <c r="H265" s="476"/>
      <c r="I265" s="476"/>
      <c r="J265" s="476"/>
      <c r="K265" s="476"/>
      <c r="L265" s="476"/>
      <c r="M265" s="476"/>
      <c r="N265" s="476"/>
      <c r="O265" s="476"/>
      <c r="P265" s="476"/>
      <c r="Q265" s="476"/>
      <c r="R265" s="476"/>
      <c r="S265" s="476"/>
      <c r="T265" s="476"/>
      <c r="U265" s="476"/>
      <c r="V265" s="476"/>
    </row>
    <row r="266" spans="1:22" ht="19.899999999999999" customHeight="1">
      <c r="A266" s="709"/>
      <c r="B266" s="476"/>
      <c r="C266" s="476"/>
      <c r="D266" s="476"/>
      <c r="E266" s="476"/>
      <c r="F266" s="476"/>
      <c r="G266" s="476"/>
      <c r="H266" s="476"/>
      <c r="I266" s="476"/>
      <c r="J266" s="476"/>
      <c r="K266" s="476"/>
      <c r="L266" s="476"/>
      <c r="M266" s="476"/>
      <c r="N266" s="476"/>
      <c r="O266" s="476"/>
      <c r="P266" s="476"/>
      <c r="Q266" s="476"/>
      <c r="R266" s="476"/>
      <c r="S266" s="476"/>
      <c r="T266" s="476"/>
      <c r="U266" s="476"/>
      <c r="V266" s="476"/>
    </row>
    <row r="267" spans="1:22" ht="19.899999999999999" customHeight="1">
      <c r="A267" s="709"/>
      <c r="B267" s="476"/>
      <c r="C267" s="476"/>
      <c r="D267" s="476"/>
      <c r="E267" s="476"/>
      <c r="F267" s="476"/>
      <c r="G267" s="476"/>
      <c r="H267" s="476"/>
      <c r="I267" s="476"/>
      <c r="J267" s="476"/>
      <c r="K267" s="476"/>
      <c r="L267" s="476"/>
      <c r="M267" s="476"/>
      <c r="N267" s="476"/>
      <c r="O267" s="476"/>
      <c r="P267" s="476"/>
      <c r="Q267" s="476"/>
      <c r="R267" s="476"/>
      <c r="S267" s="476"/>
      <c r="T267" s="476"/>
      <c r="U267" s="476"/>
      <c r="V267" s="476"/>
    </row>
    <row r="268" spans="1:22" ht="19.899999999999999" customHeight="1">
      <c r="A268" s="709"/>
      <c r="B268" s="476"/>
      <c r="C268" s="476"/>
      <c r="D268" s="476"/>
      <c r="E268" s="476"/>
      <c r="F268" s="476"/>
      <c r="G268" s="476"/>
      <c r="H268" s="476"/>
      <c r="I268" s="476"/>
      <c r="J268" s="476"/>
      <c r="K268" s="476"/>
      <c r="L268" s="476"/>
      <c r="M268" s="476"/>
      <c r="N268" s="476"/>
      <c r="O268" s="476"/>
      <c r="P268" s="476"/>
      <c r="Q268" s="476"/>
      <c r="R268" s="476"/>
      <c r="S268" s="476"/>
      <c r="T268" s="476"/>
      <c r="U268" s="476"/>
      <c r="V268" s="476"/>
    </row>
    <row r="269" spans="1:22" ht="19.899999999999999" customHeight="1">
      <c r="A269" s="709"/>
      <c r="B269" s="476"/>
      <c r="C269" s="476"/>
      <c r="D269" s="476"/>
      <c r="E269" s="476"/>
      <c r="F269" s="476"/>
      <c r="G269" s="476"/>
      <c r="H269" s="476"/>
      <c r="I269" s="476"/>
      <c r="J269" s="476"/>
      <c r="K269" s="476"/>
      <c r="L269" s="476"/>
      <c r="M269" s="476"/>
      <c r="N269" s="476"/>
      <c r="O269" s="476"/>
      <c r="P269" s="476"/>
      <c r="Q269" s="476"/>
      <c r="R269" s="476"/>
      <c r="S269" s="476"/>
      <c r="T269" s="476"/>
      <c r="U269" s="476"/>
      <c r="V269" s="476"/>
    </row>
    <row r="270" spans="1:22" ht="19.899999999999999" customHeight="1">
      <c r="A270" s="709"/>
      <c r="B270" s="476"/>
      <c r="C270" s="476"/>
      <c r="D270" s="476"/>
      <c r="E270" s="476"/>
      <c r="F270" s="476"/>
      <c r="G270" s="476"/>
      <c r="H270" s="476"/>
      <c r="I270" s="476"/>
      <c r="J270" s="476"/>
      <c r="K270" s="476"/>
      <c r="L270" s="476"/>
      <c r="M270" s="476"/>
      <c r="N270" s="476"/>
      <c r="O270" s="476"/>
      <c r="P270" s="476"/>
      <c r="Q270" s="476"/>
      <c r="R270" s="476"/>
      <c r="S270" s="476"/>
      <c r="T270" s="476"/>
      <c r="U270" s="476"/>
      <c r="V270" s="476"/>
    </row>
    <row r="271" spans="1:22" ht="19.899999999999999" customHeight="1">
      <c r="A271" s="709"/>
      <c r="B271" s="476"/>
      <c r="C271" s="476"/>
      <c r="D271" s="476"/>
      <c r="E271" s="476"/>
      <c r="F271" s="476"/>
      <c r="G271" s="476"/>
      <c r="H271" s="476"/>
      <c r="I271" s="476"/>
      <c r="J271" s="476"/>
      <c r="K271" s="476"/>
      <c r="L271" s="476"/>
      <c r="M271" s="476"/>
      <c r="N271" s="476"/>
      <c r="O271" s="476"/>
      <c r="P271" s="476"/>
      <c r="Q271" s="476"/>
      <c r="R271" s="476"/>
      <c r="S271" s="476"/>
      <c r="T271" s="476"/>
      <c r="U271" s="476"/>
      <c r="V271" s="476"/>
    </row>
    <row r="272" spans="1:22" ht="19.899999999999999" customHeight="1">
      <c r="A272" s="709"/>
      <c r="B272" s="476"/>
      <c r="C272" s="476"/>
      <c r="D272" s="476"/>
      <c r="E272" s="476"/>
      <c r="F272" s="476"/>
      <c r="G272" s="476"/>
      <c r="H272" s="476"/>
      <c r="I272" s="476"/>
      <c r="J272" s="476"/>
      <c r="K272" s="476"/>
      <c r="L272" s="476"/>
      <c r="M272" s="476"/>
      <c r="N272" s="476"/>
      <c r="O272" s="476"/>
      <c r="P272" s="476"/>
      <c r="Q272" s="476"/>
      <c r="R272" s="476"/>
      <c r="S272" s="476"/>
      <c r="T272" s="476"/>
      <c r="U272" s="476"/>
      <c r="V272" s="476"/>
    </row>
    <row r="273" spans="1:22" ht="19.899999999999999" customHeight="1">
      <c r="A273" s="709"/>
      <c r="B273" s="476"/>
      <c r="C273" s="476"/>
      <c r="D273" s="476"/>
      <c r="E273" s="476"/>
      <c r="F273" s="476"/>
      <c r="G273" s="476"/>
      <c r="H273" s="476"/>
      <c r="I273" s="476"/>
      <c r="J273" s="476"/>
      <c r="K273" s="476"/>
      <c r="L273" s="476"/>
      <c r="M273" s="476"/>
      <c r="N273" s="476"/>
      <c r="O273" s="476"/>
      <c r="P273" s="476"/>
      <c r="Q273" s="476"/>
      <c r="R273" s="476"/>
      <c r="S273" s="476"/>
      <c r="T273" s="476"/>
      <c r="U273" s="476"/>
      <c r="V273" s="476"/>
    </row>
    <row r="274" spans="1:22" ht="19.899999999999999" customHeight="1">
      <c r="A274" s="709"/>
      <c r="B274" s="476"/>
      <c r="C274" s="476"/>
      <c r="D274" s="476"/>
      <c r="E274" s="476"/>
      <c r="F274" s="476"/>
      <c r="G274" s="476"/>
      <c r="H274" s="476"/>
      <c r="I274" s="476"/>
      <c r="J274" s="476"/>
      <c r="K274" s="476"/>
      <c r="L274" s="476"/>
      <c r="M274" s="476"/>
      <c r="N274" s="476"/>
      <c r="O274" s="476"/>
      <c r="P274" s="476"/>
      <c r="Q274" s="476"/>
      <c r="R274" s="476"/>
      <c r="S274" s="476"/>
      <c r="T274" s="476"/>
      <c r="U274" s="476"/>
      <c r="V274" s="476"/>
    </row>
    <row r="275" spans="1:22" ht="19.899999999999999" customHeight="1">
      <c r="A275" s="709"/>
      <c r="B275" s="476"/>
      <c r="C275" s="476"/>
      <c r="D275" s="476"/>
      <c r="E275" s="476"/>
      <c r="F275" s="476"/>
      <c r="G275" s="476"/>
      <c r="H275" s="476"/>
      <c r="I275" s="476"/>
      <c r="J275" s="476"/>
      <c r="K275" s="476"/>
      <c r="L275" s="476"/>
      <c r="M275" s="476"/>
      <c r="N275" s="476"/>
      <c r="O275" s="476"/>
      <c r="P275" s="476"/>
      <c r="Q275" s="476"/>
      <c r="R275" s="476"/>
      <c r="S275" s="476"/>
      <c r="T275" s="476"/>
      <c r="U275" s="476"/>
      <c r="V275" s="476"/>
    </row>
    <row r="276" spans="1:22" ht="19.899999999999999" customHeight="1">
      <c r="A276" s="709"/>
      <c r="B276" s="476"/>
      <c r="C276" s="476"/>
      <c r="D276" s="476"/>
      <c r="E276" s="476"/>
      <c r="F276" s="476"/>
      <c r="G276" s="476"/>
      <c r="H276" s="476"/>
      <c r="I276" s="476"/>
      <c r="J276" s="476"/>
      <c r="K276" s="476"/>
      <c r="L276" s="476"/>
      <c r="M276" s="476"/>
      <c r="N276" s="476"/>
      <c r="O276" s="476"/>
      <c r="P276" s="476"/>
      <c r="Q276" s="476"/>
      <c r="R276" s="476"/>
      <c r="S276" s="476"/>
      <c r="T276" s="476"/>
      <c r="U276" s="476"/>
      <c r="V276" s="476"/>
    </row>
    <row r="277" spans="1:22" ht="19.899999999999999" customHeight="1">
      <c r="A277" s="709"/>
      <c r="B277" s="476"/>
      <c r="C277" s="476"/>
      <c r="D277" s="476"/>
      <c r="E277" s="476"/>
      <c r="F277" s="476"/>
      <c r="G277" s="476"/>
      <c r="H277" s="476"/>
      <c r="I277" s="476"/>
      <c r="J277" s="476"/>
      <c r="K277" s="476"/>
      <c r="L277" s="476"/>
      <c r="M277" s="476"/>
      <c r="N277" s="476"/>
      <c r="O277" s="476"/>
      <c r="P277" s="476"/>
      <c r="Q277" s="476"/>
      <c r="R277" s="476"/>
      <c r="S277" s="476"/>
      <c r="T277" s="476"/>
      <c r="U277" s="476"/>
      <c r="V277" s="476"/>
    </row>
    <row r="278" spans="1:22" ht="19.899999999999999" customHeight="1">
      <c r="A278" s="709"/>
      <c r="B278" s="476"/>
      <c r="C278" s="476"/>
      <c r="D278" s="476"/>
      <c r="E278" s="476"/>
      <c r="F278" s="476"/>
      <c r="G278" s="476"/>
      <c r="H278" s="476"/>
      <c r="I278" s="476"/>
      <c r="J278" s="476"/>
      <c r="K278" s="476"/>
      <c r="L278" s="476"/>
      <c r="M278" s="476"/>
      <c r="N278" s="476"/>
      <c r="O278" s="476"/>
      <c r="P278" s="476"/>
      <c r="Q278" s="476"/>
      <c r="R278" s="476"/>
      <c r="S278" s="476"/>
      <c r="T278" s="476"/>
      <c r="U278" s="476"/>
      <c r="V278" s="476"/>
    </row>
    <row r="279" spans="1:22" ht="19.899999999999999" customHeight="1">
      <c r="A279" s="709"/>
      <c r="B279" s="476"/>
      <c r="C279" s="476"/>
      <c r="D279" s="476"/>
      <c r="E279" s="476"/>
      <c r="F279" s="476"/>
      <c r="G279" s="476"/>
      <c r="H279" s="476"/>
      <c r="I279" s="476"/>
      <c r="J279" s="476"/>
      <c r="K279" s="476"/>
      <c r="L279" s="476"/>
      <c r="M279" s="476"/>
      <c r="N279" s="476"/>
      <c r="O279" s="476"/>
      <c r="P279" s="476"/>
      <c r="Q279" s="476"/>
      <c r="R279" s="476"/>
      <c r="S279" s="476"/>
      <c r="T279" s="476"/>
      <c r="U279" s="476"/>
      <c r="V279" s="476"/>
    </row>
    <row r="280" spans="1:22" ht="19.899999999999999" customHeight="1">
      <c r="A280" s="709"/>
      <c r="B280" s="476"/>
      <c r="C280" s="476"/>
      <c r="D280" s="476"/>
      <c r="E280" s="476"/>
      <c r="F280" s="476"/>
      <c r="G280" s="476"/>
      <c r="H280" s="476"/>
      <c r="I280" s="476"/>
      <c r="J280" s="476"/>
      <c r="K280" s="476"/>
      <c r="L280" s="476"/>
      <c r="M280" s="476"/>
      <c r="N280" s="476"/>
      <c r="O280" s="476"/>
      <c r="P280" s="476"/>
      <c r="Q280" s="476"/>
      <c r="R280" s="476"/>
      <c r="S280" s="476"/>
      <c r="T280" s="476"/>
      <c r="U280" s="476"/>
      <c r="V280" s="476"/>
    </row>
    <row r="281" spans="1:22" ht="19.899999999999999" customHeight="1">
      <c r="A281" s="709"/>
      <c r="B281" s="476"/>
      <c r="C281" s="476"/>
      <c r="D281" s="476"/>
      <c r="E281" s="476"/>
      <c r="F281" s="476"/>
      <c r="G281" s="476"/>
      <c r="H281" s="476"/>
      <c r="I281" s="476"/>
      <c r="J281" s="476"/>
      <c r="K281" s="476"/>
      <c r="L281" s="476"/>
      <c r="M281" s="476"/>
      <c r="N281" s="476"/>
      <c r="O281" s="476"/>
      <c r="P281" s="476"/>
      <c r="Q281" s="476"/>
      <c r="R281" s="476"/>
      <c r="S281" s="476"/>
      <c r="T281" s="476"/>
      <c r="U281" s="476"/>
      <c r="V281" s="476"/>
    </row>
    <row r="282" spans="1:22" ht="19.899999999999999" customHeight="1">
      <c r="A282" s="709"/>
      <c r="B282" s="476"/>
      <c r="C282" s="476"/>
      <c r="D282" s="476"/>
      <c r="E282" s="476"/>
      <c r="F282" s="476"/>
      <c r="G282" s="476"/>
      <c r="H282" s="476"/>
      <c r="I282" s="476"/>
      <c r="J282" s="476"/>
      <c r="K282" s="476"/>
      <c r="L282" s="476"/>
      <c r="M282" s="476"/>
      <c r="N282" s="476"/>
      <c r="O282" s="476"/>
      <c r="P282" s="476"/>
      <c r="Q282" s="476"/>
      <c r="R282" s="476"/>
      <c r="S282" s="476"/>
      <c r="T282" s="476"/>
      <c r="U282" s="476"/>
      <c r="V282" s="476"/>
    </row>
    <row r="283" spans="1:22" ht="19.899999999999999" customHeight="1">
      <c r="A283" s="709"/>
      <c r="B283" s="476"/>
      <c r="C283" s="476"/>
      <c r="D283" s="476"/>
      <c r="E283" s="476"/>
      <c r="F283" s="476"/>
      <c r="G283" s="476"/>
      <c r="H283" s="476"/>
      <c r="I283" s="476"/>
      <c r="J283" s="476"/>
      <c r="K283" s="476"/>
      <c r="L283" s="476"/>
      <c r="M283" s="476"/>
      <c r="N283" s="476"/>
      <c r="O283" s="476"/>
      <c r="P283" s="476"/>
      <c r="Q283" s="476"/>
      <c r="R283" s="476"/>
      <c r="S283" s="476"/>
      <c r="T283" s="476"/>
      <c r="U283" s="476"/>
      <c r="V283" s="476"/>
    </row>
    <row r="284" spans="1:22" ht="19.899999999999999" customHeight="1">
      <c r="A284" s="709"/>
      <c r="B284" s="476"/>
      <c r="C284" s="476"/>
      <c r="D284" s="476"/>
      <c r="E284" s="476"/>
      <c r="F284" s="476"/>
      <c r="G284" s="476"/>
      <c r="H284" s="476"/>
      <c r="I284" s="476"/>
      <c r="J284" s="476"/>
      <c r="K284" s="476"/>
      <c r="L284" s="476"/>
      <c r="M284" s="476"/>
      <c r="N284" s="476"/>
      <c r="O284" s="476"/>
      <c r="P284" s="476"/>
      <c r="Q284" s="476"/>
      <c r="R284" s="476"/>
      <c r="S284" s="476"/>
      <c r="T284" s="476"/>
      <c r="U284" s="476"/>
      <c r="V284" s="476"/>
    </row>
    <row r="285" spans="1:22" ht="19.899999999999999" customHeight="1">
      <c r="A285" s="709"/>
      <c r="B285" s="476"/>
      <c r="C285" s="476"/>
      <c r="D285" s="476"/>
      <c r="E285" s="476"/>
      <c r="F285" s="476"/>
      <c r="G285" s="476"/>
      <c r="H285" s="476"/>
      <c r="I285" s="476"/>
      <c r="J285" s="476"/>
      <c r="K285" s="476"/>
      <c r="L285" s="476"/>
      <c r="M285" s="476"/>
      <c r="N285" s="476"/>
      <c r="O285" s="476"/>
      <c r="P285" s="476"/>
      <c r="Q285" s="476"/>
      <c r="R285" s="476"/>
      <c r="S285" s="476"/>
      <c r="T285" s="476"/>
      <c r="U285" s="476"/>
      <c r="V285" s="476"/>
    </row>
    <row r="286" spans="1:22" ht="19.899999999999999" customHeight="1">
      <c r="A286" s="709"/>
      <c r="B286" s="476"/>
      <c r="C286" s="476"/>
      <c r="D286" s="476"/>
      <c r="E286" s="476"/>
      <c r="F286" s="476"/>
      <c r="G286" s="476"/>
      <c r="H286" s="476"/>
      <c r="I286" s="476"/>
      <c r="J286" s="476"/>
      <c r="K286" s="476"/>
      <c r="L286" s="476"/>
      <c r="M286" s="476"/>
      <c r="N286" s="476"/>
      <c r="O286" s="476"/>
      <c r="P286" s="476"/>
      <c r="Q286" s="476"/>
      <c r="R286" s="476"/>
      <c r="S286" s="476"/>
      <c r="T286" s="476"/>
      <c r="U286" s="476"/>
      <c r="V286" s="476"/>
    </row>
    <row r="287" spans="1:22" ht="19.899999999999999" customHeight="1">
      <c r="A287" s="709"/>
      <c r="B287" s="476"/>
      <c r="C287" s="476"/>
      <c r="D287" s="476"/>
      <c r="E287" s="476"/>
      <c r="F287" s="476"/>
      <c r="G287" s="476"/>
      <c r="H287" s="476"/>
      <c r="I287" s="476"/>
      <c r="J287" s="476"/>
      <c r="K287" s="476"/>
      <c r="L287" s="476"/>
      <c r="M287" s="476"/>
      <c r="N287" s="476"/>
      <c r="O287" s="476"/>
      <c r="P287" s="476"/>
      <c r="Q287" s="476"/>
      <c r="R287" s="476"/>
      <c r="S287" s="476"/>
      <c r="T287" s="476"/>
      <c r="U287" s="476"/>
      <c r="V287" s="476"/>
    </row>
    <row r="288" spans="1:22" ht="19.899999999999999" customHeight="1">
      <c r="A288" s="709"/>
      <c r="B288" s="476"/>
      <c r="C288" s="476"/>
      <c r="D288" s="476"/>
      <c r="E288" s="476"/>
      <c r="F288" s="476"/>
      <c r="G288" s="476"/>
      <c r="H288" s="476"/>
      <c r="I288" s="476"/>
      <c r="J288" s="476"/>
      <c r="K288" s="476"/>
      <c r="L288" s="476"/>
      <c r="M288" s="476"/>
      <c r="N288" s="476"/>
      <c r="O288" s="476"/>
      <c r="P288" s="476"/>
      <c r="Q288" s="476"/>
      <c r="R288" s="476"/>
      <c r="S288" s="476"/>
      <c r="T288" s="476"/>
      <c r="U288" s="476"/>
      <c r="V288" s="476"/>
    </row>
    <row r="289" spans="1:41" ht="19.899999999999999" customHeight="1">
      <c r="A289" s="709"/>
      <c r="B289" s="476"/>
      <c r="C289" s="476"/>
      <c r="D289" s="476"/>
      <c r="E289" s="476"/>
      <c r="F289" s="476"/>
      <c r="G289" s="476"/>
      <c r="H289" s="476"/>
      <c r="I289" s="476"/>
      <c r="J289" s="476"/>
      <c r="K289" s="476"/>
      <c r="L289" s="476"/>
      <c r="M289" s="476"/>
      <c r="N289" s="476"/>
      <c r="O289" s="476"/>
      <c r="P289" s="476"/>
      <c r="Q289" s="476"/>
      <c r="R289" s="476"/>
      <c r="S289" s="476"/>
      <c r="T289" s="476"/>
      <c r="U289" s="476"/>
      <c r="V289" s="476"/>
    </row>
    <row r="290" spans="1:41" ht="19.899999999999999" customHeight="1" thickBot="1">
      <c r="A290" s="709"/>
      <c r="B290" s="476"/>
      <c r="C290" s="476"/>
      <c r="D290" s="476"/>
      <c r="E290" s="476"/>
      <c r="F290" s="476"/>
      <c r="G290" s="476"/>
      <c r="H290" s="476"/>
      <c r="I290" s="476"/>
      <c r="J290" s="476"/>
      <c r="K290" s="476"/>
      <c r="L290" s="476"/>
      <c r="M290" s="476"/>
      <c r="N290" s="476"/>
      <c r="O290" s="476"/>
      <c r="P290" s="476"/>
      <c r="Q290" s="476"/>
      <c r="R290" s="476"/>
      <c r="S290" s="476"/>
      <c r="T290" s="476"/>
      <c r="U290" s="476"/>
      <c r="V290" s="476"/>
    </row>
    <row r="291" spans="1:41" ht="19.899999999999999" customHeight="1" thickBot="1">
      <c r="A291" s="709"/>
      <c r="B291" s="476"/>
      <c r="C291" s="476"/>
      <c r="D291" s="476"/>
      <c r="E291" s="476"/>
      <c r="F291" s="476"/>
      <c r="G291" s="476"/>
      <c r="H291" s="476"/>
      <c r="I291" s="476"/>
      <c r="J291" s="476"/>
      <c r="K291" s="476"/>
      <c r="M291" s="477"/>
      <c r="N291" s="478"/>
      <c r="O291" s="479"/>
      <c r="P291" s="479"/>
      <c r="Q291" s="479"/>
      <c r="R291" s="479"/>
      <c r="S291" s="479"/>
      <c r="T291" s="479"/>
      <c r="U291" s="479"/>
      <c r="V291" s="479"/>
      <c r="W291" s="480" t="s">
        <v>422</v>
      </c>
      <c r="X291" s="480" t="s">
        <v>423</v>
      </c>
      <c r="Y291" s="481" t="s">
        <v>303</v>
      </c>
      <c r="Z291" s="481" t="s">
        <v>424</v>
      </c>
      <c r="AA291" s="1626" t="s">
        <v>425</v>
      </c>
      <c r="AB291" s="1627"/>
      <c r="AC291" s="1628"/>
      <c r="AD291" s="466"/>
      <c r="AE291" s="479"/>
      <c r="AF291" s="479"/>
      <c r="AG291" s="482"/>
      <c r="AH291" s="476"/>
      <c r="AI291" s="476"/>
      <c r="AJ291" s="476"/>
      <c r="AK291" s="476"/>
      <c r="AL291" s="476"/>
      <c r="AM291" s="476"/>
      <c r="AN291" s="476"/>
      <c r="AO291" s="476"/>
    </row>
    <row r="292" spans="1:41" ht="19.899999999999999" customHeight="1">
      <c r="A292" s="709"/>
      <c r="B292" s="476"/>
      <c r="C292" s="476"/>
      <c r="D292" s="476"/>
      <c r="E292" s="476"/>
      <c r="F292" s="476"/>
      <c r="G292" s="476"/>
      <c r="H292" s="476"/>
      <c r="I292" s="476"/>
      <c r="J292" s="476"/>
      <c r="K292" s="476"/>
      <c r="M292" s="483"/>
      <c r="N292" s="484"/>
      <c r="O292" s="476"/>
      <c r="P292" s="484"/>
      <c r="Q292" s="476"/>
      <c r="R292" s="476"/>
      <c r="S292" s="485" t="s">
        <v>436</v>
      </c>
      <c r="T292" s="486"/>
      <c r="U292" s="476"/>
      <c r="V292" s="476"/>
      <c r="W292" s="487"/>
      <c r="X292" s="487"/>
      <c r="Y292" s="488"/>
      <c r="Z292" s="488"/>
      <c r="AA292" s="488" t="s">
        <v>426</v>
      </c>
      <c r="AB292" s="488" t="s">
        <v>427</v>
      </c>
      <c r="AC292" s="488" t="s">
        <v>428</v>
      </c>
      <c r="AE292" s="476"/>
      <c r="AF292" s="476"/>
      <c r="AG292" s="489"/>
      <c r="AH292" s="476"/>
      <c r="AI292" s="476"/>
      <c r="AJ292" s="476"/>
      <c r="AK292" s="476"/>
      <c r="AL292" s="476"/>
      <c r="AM292" s="476"/>
      <c r="AN292" s="476"/>
      <c r="AO292" s="476"/>
    </row>
    <row r="293" spans="1:41" ht="19.899999999999999" customHeight="1" thickBot="1">
      <c r="A293" s="709"/>
      <c r="B293" s="476"/>
      <c r="C293" s="476"/>
      <c r="D293" s="476"/>
      <c r="E293" s="476"/>
      <c r="F293" s="476"/>
      <c r="G293" s="476"/>
      <c r="H293" s="476"/>
      <c r="I293" s="476"/>
      <c r="J293" s="476"/>
      <c r="K293" s="476"/>
      <c r="M293" s="483"/>
      <c r="N293" s="484" t="s">
        <v>301</v>
      </c>
      <c r="O293" s="476"/>
      <c r="P293" s="490" t="str">
        <f>+O295&amp;" - "&amp;O296&amp;" x "&amp;Q296</f>
        <v>4 - 10 x 12</v>
      </c>
      <c r="Q293" s="476"/>
      <c r="R293" s="491"/>
      <c r="S293" s="492" t="e">
        <f>+#REF!</f>
        <v>#REF!</v>
      </c>
      <c r="T293" s="493" t="e">
        <f>+#REF!</f>
        <v>#REF!</v>
      </c>
      <c r="U293" s="476"/>
      <c r="V293" s="476"/>
      <c r="W293" s="487">
        <v>160</v>
      </c>
      <c r="X293" s="487">
        <v>140</v>
      </c>
      <c r="Y293" s="494" t="s">
        <v>429</v>
      </c>
      <c r="Z293" s="495">
        <v>21.43</v>
      </c>
      <c r="AA293" s="495">
        <f t="shared" ref="AA293:AA299" si="12">Z293*8</f>
        <v>171.44</v>
      </c>
      <c r="AB293" s="495">
        <f>+AA293*2</f>
        <v>342.88</v>
      </c>
      <c r="AC293" s="495">
        <f>AA293*3</f>
        <v>514.31999999999994</v>
      </c>
      <c r="AE293" s="476"/>
      <c r="AF293" s="476"/>
      <c r="AG293" s="489"/>
      <c r="AH293" s="476"/>
      <c r="AI293" s="476"/>
      <c r="AJ293" s="476"/>
      <c r="AK293" s="476"/>
      <c r="AL293" s="476"/>
      <c r="AM293" s="476"/>
      <c r="AN293" s="476"/>
      <c r="AO293" s="476"/>
    </row>
    <row r="294" spans="1:41" ht="19.899999999999999" customHeight="1" thickBot="1">
      <c r="A294" s="709"/>
      <c r="B294" s="476"/>
      <c r="C294" s="476"/>
      <c r="D294" s="476"/>
      <c r="E294" s="476"/>
      <c r="F294" s="476"/>
      <c r="G294" s="476"/>
      <c r="H294" s="476"/>
      <c r="I294" s="476"/>
      <c r="J294" s="476"/>
      <c r="K294" s="476"/>
      <c r="M294" s="483"/>
      <c r="N294" s="476"/>
      <c r="O294" s="476"/>
      <c r="P294" s="476"/>
      <c r="Q294" s="476"/>
      <c r="R294" s="476"/>
      <c r="S294" s="476"/>
      <c r="T294" s="476"/>
      <c r="U294" s="476"/>
      <c r="V294" s="476"/>
      <c r="W294" s="487"/>
      <c r="X294" s="487"/>
      <c r="Y294" s="494" t="s">
        <v>430</v>
      </c>
      <c r="Z294" s="495">
        <v>21.65</v>
      </c>
      <c r="AA294" s="495">
        <f>Z294*4</f>
        <v>86.6</v>
      </c>
      <c r="AB294" s="495">
        <f t="shared" ref="AB294:AB303" si="13">+AA294*2</f>
        <v>173.2</v>
      </c>
      <c r="AC294" s="495">
        <f t="shared" ref="AC294:AC303" si="14">AA294*3</f>
        <v>259.79999999999995</v>
      </c>
      <c r="AE294" s="476"/>
      <c r="AF294" s="476"/>
      <c r="AG294" s="489"/>
      <c r="AH294" s="476"/>
      <c r="AI294" s="476"/>
      <c r="AJ294" s="476"/>
      <c r="AK294" s="476"/>
      <c r="AL294" s="476"/>
      <c r="AM294" s="476"/>
      <c r="AN294" s="476"/>
      <c r="AO294" s="476"/>
    </row>
    <row r="295" spans="1:41" ht="19.899999999999999" customHeight="1" thickBot="1">
      <c r="A295" s="709"/>
      <c r="B295" s="476"/>
      <c r="C295" s="476"/>
      <c r="D295" s="476"/>
      <c r="E295" s="476"/>
      <c r="F295" s="476"/>
      <c r="G295" s="476"/>
      <c r="H295" s="476"/>
      <c r="I295" s="476"/>
      <c r="J295" s="476"/>
      <c r="K295" s="476"/>
      <c r="M295" s="483"/>
      <c r="N295" s="1537" t="s">
        <v>302</v>
      </c>
      <c r="O295" s="496">
        <f>+K7</f>
        <v>4</v>
      </c>
      <c r="P295" s="497" t="s">
        <v>35</v>
      </c>
      <c r="Q295" s="498">
        <f>+O295</f>
        <v>4</v>
      </c>
      <c r="R295" s="482" t="s">
        <v>0</v>
      </c>
      <c r="S295" s="476"/>
      <c r="T295" s="21" t="s">
        <v>303</v>
      </c>
      <c r="U295" s="21" t="s">
        <v>304</v>
      </c>
      <c r="V295" s="476"/>
      <c r="W295" s="487">
        <v>180</v>
      </c>
      <c r="X295" s="487">
        <v>160</v>
      </c>
      <c r="Y295" s="494" t="s">
        <v>431</v>
      </c>
      <c r="Z295" s="495">
        <v>30.44</v>
      </c>
      <c r="AA295" s="495">
        <f t="shared" si="12"/>
        <v>243.52</v>
      </c>
      <c r="AB295" s="495">
        <f t="shared" si="13"/>
        <v>487.04</v>
      </c>
      <c r="AC295" s="495">
        <f t="shared" si="14"/>
        <v>730.56000000000006</v>
      </c>
      <c r="AE295" s="476"/>
      <c r="AF295" s="476"/>
      <c r="AG295" s="499"/>
      <c r="AH295" s="476"/>
      <c r="AI295" s="476"/>
      <c r="AJ295" s="476"/>
      <c r="AK295" s="476"/>
      <c r="AL295" s="476"/>
      <c r="AM295" s="476"/>
      <c r="AN295" s="476"/>
      <c r="AO295" s="476"/>
    </row>
    <row r="296" spans="1:41" ht="19.899999999999999" customHeight="1" thickBot="1">
      <c r="A296" s="709"/>
      <c r="B296" s="476"/>
      <c r="C296" s="476"/>
      <c r="D296" s="476"/>
      <c r="E296" s="476"/>
      <c r="F296" s="476"/>
      <c r="G296" s="476"/>
      <c r="H296" s="476"/>
      <c r="I296" s="476"/>
      <c r="J296" s="476"/>
      <c r="K296" s="476"/>
      <c r="M296" s="483"/>
      <c r="N296" s="1538"/>
      <c r="O296" s="496">
        <f>+K10</f>
        <v>10</v>
      </c>
      <c r="P296" s="497" t="s">
        <v>35</v>
      </c>
      <c r="Q296" s="500">
        <f>+K11</f>
        <v>12</v>
      </c>
      <c r="R296" s="489" t="s">
        <v>0</v>
      </c>
      <c r="S296" s="476"/>
      <c r="T296" s="491" t="s">
        <v>420</v>
      </c>
      <c r="U296" s="501">
        <f>+SUMIF(Y293:Y303,T296,AA293:AA303)</f>
        <v>356.16</v>
      </c>
      <c r="V296" s="476"/>
      <c r="W296" s="487"/>
      <c r="X296" s="487"/>
      <c r="Y296" s="494" t="s">
        <v>432</v>
      </c>
      <c r="Z296" s="495">
        <v>30.55</v>
      </c>
      <c r="AA296" s="495">
        <f>Z296*4</f>
        <v>122.2</v>
      </c>
      <c r="AB296" s="495">
        <f t="shared" si="13"/>
        <v>244.4</v>
      </c>
      <c r="AC296" s="495">
        <f t="shared" si="14"/>
        <v>366.6</v>
      </c>
      <c r="AD296" s="476"/>
      <c r="AE296" s="476"/>
      <c r="AF296" s="476"/>
      <c r="AG296" s="502"/>
      <c r="AH296" s="476"/>
      <c r="AI296" s="476"/>
      <c r="AJ296" s="476"/>
      <c r="AK296" s="476"/>
      <c r="AL296" s="476"/>
      <c r="AM296" s="476"/>
      <c r="AN296" s="476"/>
      <c r="AO296" s="476"/>
    </row>
    <row r="297" spans="1:41" ht="19.899999999999999" customHeight="1" thickBot="1">
      <c r="A297" s="709"/>
      <c r="B297" s="476"/>
      <c r="C297" s="476"/>
      <c r="D297" s="476"/>
      <c r="E297" s="476"/>
      <c r="F297" s="476"/>
      <c r="G297" s="476"/>
      <c r="H297" s="476"/>
      <c r="I297" s="476"/>
      <c r="J297" s="476"/>
      <c r="K297" s="476"/>
      <c r="M297" s="483"/>
      <c r="N297" s="1539"/>
      <c r="O297" s="496">
        <f>+K20</f>
        <v>1</v>
      </c>
      <c r="P297" s="497" t="s">
        <v>35</v>
      </c>
      <c r="Q297" s="503">
        <f>+O297</f>
        <v>1</v>
      </c>
      <c r="R297" s="504" t="s">
        <v>0</v>
      </c>
      <c r="S297" s="505" t="s">
        <v>305</v>
      </c>
      <c r="T297" s="505" t="s">
        <v>306</v>
      </c>
      <c r="U297" s="476"/>
      <c r="V297" s="476"/>
      <c r="W297" s="487">
        <v>200</v>
      </c>
      <c r="X297" s="487">
        <v>180</v>
      </c>
      <c r="Y297" s="494" t="s">
        <v>420</v>
      </c>
      <c r="Z297" s="495">
        <v>44.52</v>
      </c>
      <c r="AA297" s="495">
        <f t="shared" si="12"/>
        <v>356.16</v>
      </c>
      <c r="AB297" s="495">
        <f t="shared" si="13"/>
        <v>712.32</v>
      </c>
      <c r="AC297" s="495">
        <f t="shared" si="14"/>
        <v>1068.48</v>
      </c>
      <c r="AD297" s="476"/>
      <c r="AE297" s="476"/>
      <c r="AF297" s="476"/>
      <c r="AG297" s="506"/>
      <c r="AH297" s="476"/>
      <c r="AI297" s="490"/>
      <c r="AJ297" s="507"/>
      <c r="AK297" s="507"/>
      <c r="AL297" s="507"/>
      <c r="AM297" s="507"/>
      <c r="AN297" s="476"/>
      <c r="AO297" s="476"/>
    </row>
    <row r="298" spans="1:41" ht="19.899999999999999" customHeight="1">
      <c r="A298" s="709"/>
      <c r="B298" s="476"/>
      <c r="C298" s="476"/>
      <c r="D298" s="476"/>
      <c r="E298" s="476"/>
      <c r="F298" s="476"/>
      <c r="G298" s="476"/>
      <c r="H298" s="476"/>
      <c r="I298" s="476"/>
      <c r="J298" s="476"/>
      <c r="K298" s="476"/>
      <c r="M298" s="483"/>
      <c r="N298" s="508" t="s">
        <v>307</v>
      </c>
      <c r="O298" s="509">
        <f>+K19</f>
        <v>0.35</v>
      </c>
      <c r="P298" s="510" t="s">
        <v>0</v>
      </c>
      <c r="Q298" s="511" t="s">
        <v>308</v>
      </c>
      <c r="R298" s="512"/>
      <c r="S298" s="513" t="s">
        <v>309</v>
      </c>
      <c r="T298" s="514" t="s">
        <v>310</v>
      </c>
      <c r="U298" s="476"/>
      <c r="V298" s="476"/>
      <c r="W298" s="487"/>
      <c r="X298" s="487"/>
      <c r="Y298" s="494" t="s">
        <v>433</v>
      </c>
      <c r="Z298" s="495">
        <v>44.63</v>
      </c>
      <c r="AA298" s="495">
        <f>Z298*4</f>
        <v>178.52</v>
      </c>
      <c r="AB298" s="495">
        <f t="shared" si="13"/>
        <v>357.04</v>
      </c>
      <c r="AC298" s="495">
        <f>AA298*3</f>
        <v>535.56000000000006</v>
      </c>
      <c r="AD298" s="476"/>
      <c r="AE298" s="476"/>
      <c r="AF298" s="476"/>
      <c r="AG298" s="489"/>
      <c r="AH298" s="476"/>
      <c r="AI298" s="476"/>
      <c r="AJ298" s="476"/>
      <c r="AK298" s="476"/>
      <c r="AL298" s="476"/>
      <c r="AM298" s="476"/>
      <c r="AN298" s="476"/>
      <c r="AO298" s="476"/>
    </row>
    <row r="299" spans="1:41" ht="19.899999999999999" customHeight="1">
      <c r="A299" s="709"/>
      <c r="B299" s="476"/>
      <c r="C299" s="476"/>
      <c r="D299" s="476"/>
      <c r="E299" s="476"/>
      <c r="F299" s="476"/>
      <c r="G299" s="476"/>
      <c r="H299" s="476"/>
      <c r="I299" s="476"/>
      <c r="J299" s="476"/>
      <c r="K299" s="476"/>
      <c r="M299" s="483"/>
      <c r="N299" s="515" t="s">
        <v>311</v>
      </c>
      <c r="O299" s="516">
        <f>+K17</f>
        <v>1</v>
      </c>
      <c r="P299" s="517" t="s">
        <v>0</v>
      </c>
      <c r="Q299" s="16" t="s">
        <v>312</v>
      </c>
      <c r="R299" s="518" t="s">
        <v>313</v>
      </c>
      <c r="S299" s="518" t="e">
        <f>+IF(S293&lt;=85,S293*3/1000,IF(S293&lt;=125,S293*2/1000,S293/1000))</f>
        <v>#REF!</v>
      </c>
      <c r="T299" s="518" t="e">
        <f>+IF(T293&lt;=85,T293*3/1000,IF(T293&lt;=125,T293*2/1000,T293/1000))</f>
        <v>#REF!</v>
      </c>
      <c r="U299" s="476" t="s">
        <v>0</v>
      </c>
      <c r="V299" s="476"/>
      <c r="W299" s="487"/>
      <c r="X299" s="487"/>
      <c r="Y299" s="494" t="s">
        <v>434</v>
      </c>
      <c r="Z299" s="495">
        <v>63.15</v>
      </c>
      <c r="AA299" s="495">
        <f t="shared" si="12"/>
        <v>505.2</v>
      </c>
      <c r="AB299" s="495">
        <f t="shared" si="13"/>
        <v>1010.4</v>
      </c>
      <c r="AC299" s="495">
        <f t="shared" si="14"/>
        <v>1515.6</v>
      </c>
      <c r="AD299" s="476"/>
      <c r="AE299" s="476"/>
      <c r="AF299" s="476"/>
      <c r="AG299" s="489"/>
      <c r="AH299" s="476"/>
      <c r="AI299" s="476"/>
      <c r="AJ299" s="476"/>
      <c r="AK299" s="476"/>
      <c r="AL299" s="476"/>
      <c r="AM299" s="476"/>
      <c r="AN299" s="476"/>
      <c r="AO299" s="476"/>
    </row>
    <row r="300" spans="1:41" ht="19.899999999999999" customHeight="1">
      <c r="A300" s="709"/>
      <c r="B300" s="476"/>
      <c r="C300" s="476"/>
      <c r="D300" s="476"/>
      <c r="E300" s="476"/>
      <c r="F300" s="476"/>
      <c r="G300" s="476"/>
      <c r="H300" s="476"/>
      <c r="I300" s="476"/>
      <c r="J300" s="476"/>
      <c r="K300" s="476"/>
      <c r="M300" s="483"/>
      <c r="N300" s="515" t="s">
        <v>314</v>
      </c>
      <c r="O300" s="516">
        <f>+K14</f>
        <v>3.5</v>
      </c>
      <c r="P300" s="517" t="s">
        <v>0</v>
      </c>
      <c r="Q300" s="16"/>
      <c r="R300" s="518" t="s">
        <v>315</v>
      </c>
      <c r="S300" s="518" t="e">
        <f>+S299</f>
        <v>#REF!</v>
      </c>
      <c r="T300" s="519" t="e">
        <f>+T299</f>
        <v>#REF!</v>
      </c>
      <c r="U300" s="476" t="s">
        <v>0</v>
      </c>
      <c r="V300" s="476"/>
      <c r="W300" s="487">
        <v>200</v>
      </c>
      <c r="X300" s="487">
        <v>180</v>
      </c>
      <c r="Y300" s="494">
        <v>56</v>
      </c>
      <c r="Z300" s="495">
        <v>31.12</v>
      </c>
      <c r="AA300" s="495">
        <f>Z300*16</f>
        <v>497.92</v>
      </c>
      <c r="AB300" s="495">
        <f t="shared" si="13"/>
        <v>995.84</v>
      </c>
      <c r="AC300" s="495">
        <f t="shared" si="14"/>
        <v>1493.76</v>
      </c>
      <c r="AD300" s="476"/>
      <c r="AE300" s="476"/>
      <c r="AF300" s="476"/>
      <c r="AG300" s="489"/>
      <c r="AH300" s="476"/>
      <c r="AI300" s="476"/>
      <c r="AJ300" s="476"/>
      <c r="AK300" s="476"/>
      <c r="AL300" s="476"/>
      <c r="AM300" s="476"/>
      <c r="AN300" s="476"/>
      <c r="AO300" s="476"/>
    </row>
    <row r="301" spans="1:41" ht="19.899999999999999" customHeight="1" thickBot="1">
      <c r="A301" s="709"/>
      <c r="B301" s="476"/>
      <c r="C301" s="476"/>
      <c r="D301" s="476"/>
      <c r="E301" s="476"/>
      <c r="F301" s="476"/>
      <c r="G301" s="476"/>
      <c r="H301" s="476"/>
      <c r="I301" s="476"/>
      <c r="J301" s="476"/>
      <c r="K301" s="476"/>
      <c r="M301" s="483"/>
      <c r="N301" s="515" t="s">
        <v>316</v>
      </c>
      <c r="O301" s="516">
        <f>+K23</f>
        <v>0.7</v>
      </c>
      <c r="P301" s="517" t="s">
        <v>0</v>
      </c>
      <c r="Q301" s="520" t="s">
        <v>317</v>
      </c>
      <c r="R301" s="521"/>
      <c r="S301" s="522">
        <v>0</v>
      </c>
      <c r="T301" s="523">
        <v>0</v>
      </c>
      <c r="U301" s="476"/>
      <c r="V301" s="476"/>
      <c r="W301" s="487">
        <v>220</v>
      </c>
      <c r="X301" s="487">
        <v>200</v>
      </c>
      <c r="Y301" s="494">
        <v>64</v>
      </c>
      <c r="Z301" s="495">
        <v>44.03</v>
      </c>
      <c r="AA301" s="495">
        <f>Z301*16</f>
        <v>704.48</v>
      </c>
      <c r="AB301" s="495">
        <f t="shared" si="13"/>
        <v>1408.96</v>
      </c>
      <c r="AC301" s="495">
        <f t="shared" si="14"/>
        <v>2113.44</v>
      </c>
      <c r="AD301" s="476"/>
      <c r="AE301" s="476"/>
      <c r="AF301" s="476"/>
      <c r="AG301" s="489"/>
      <c r="AH301" s="476"/>
      <c r="AI301" s="476"/>
      <c r="AJ301" s="476"/>
      <c r="AK301" s="476"/>
      <c r="AL301" s="476"/>
      <c r="AM301" s="476"/>
      <c r="AN301" s="476"/>
      <c r="AO301" s="476"/>
    </row>
    <row r="302" spans="1:41" ht="19.899999999999999" customHeight="1">
      <c r="A302" s="709"/>
      <c r="B302" s="476"/>
      <c r="C302" s="476"/>
      <c r="D302" s="476"/>
      <c r="E302" s="476"/>
      <c r="F302" s="476"/>
      <c r="G302" s="476"/>
      <c r="H302" s="476"/>
      <c r="I302" s="476"/>
      <c r="J302" s="476"/>
      <c r="K302" s="476"/>
      <c r="M302" s="483"/>
      <c r="N302" s="515" t="s">
        <v>318</v>
      </c>
      <c r="O302" s="516">
        <f>+K16</f>
        <v>0.5</v>
      </c>
      <c r="P302" s="517" t="s">
        <v>0</v>
      </c>
      <c r="Q302" s="524" t="s">
        <v>319</v>
      </c>
      <c r="R302" s="525"/>
      <c r="S302" s="526">
        <f>+IF(O302&lt;=1,IF(O302&lt;=0.8,IF(O302&lt;=0.6,IF(O302&lt;=0.5,IF(O302&lt;=0.4,IF(O302&lt;=0.35,0.115,0.14),0.19),0.25),0.335),0.435),"NO")</f>
        <v>0.19</v>
      </c>
      <c r="T302" s="476"/>
      <c r="U302" s="476"/>
      <c r="V302" s="476"/>
      <c r="W302" s="487">
        <v>250</v>
      </c>
      <c r="X302" s="487">
        <v>250</v>
      </c>
      <c r="Y302" s="494">
        <v>72</v>
      </c>
      <c r="Z302" s="495">
        <v>58.01</v>
      </c>
      <c r="AA302" s="495">
        <f>Z302*16</f>
        <v>928.16</v>
      </c>
      <c r="AB302" s="495">
        <f t="shared" si="13"/>
        <v>1856.32</v>
      </c>
      <c r="AC302" s="495">
        <f t="shared" si="14"/>
        <v>2784.48</v>
      </c>
      <c r="AD302" s="476"/>
      <c r="AE302" s="476"/>
      <c r="AF302" s="476"/>
      <c r="AG302" s="489"/>
      <c r="AH302" s="476"/>
      <c r="AI302" s="476"/>
      <c r="AJ302" s="476"/>
      <c r="AK302" s="476"/>
      <c r="AL302" s="476"/>
      <c r="AM302" s="476"/>
      <c r="AN302" s="476"/>
      <c r="AO302" s="476"/>
    </row>
    <row r="303" spans="1:41" ht="19.899999999999999" customHeight="1" thickBot="1">
      <c r="A303" s="709"/>
      <c r="B303" s="476"/>
      <c r="C303" s="476"/>
      <c r="D303" s="476"/>
      <c r="E303" s="476"/>
      <c r="F303" s="476"/>
      <c r="G303" s="476"/>
      <c r="H303" s="476"/>
      <c r="I303" s="476"/>
      <c r="J303" s="476"/>
      <c r="K303" s="476"/>
      <c r="M303" s="483"/>
      <c r="N303" s="515" t="s">
        <v>320</v>
      </c>
      <c r="O303" s="516">
        <f>+K21</f>
        <v>0.35</v>
      </c>
      <c r="P303" s="517" t="s">
        <v>0</v>
      </c>
      <c r="Q303" s="527" t="s">
        <v>321</v>
      </c>
      <c r="R303" s="528"/>
      <c r="S303" s="529">
        <f>+T303</f>
        <v>0</v>
      </c>
      <c r="T303" s="476">
        <f>+IF(OR(O299-O298=1,O299-O298=1.1,O299-O298=1.2),8,IF(OR(O299-O298=0.9,O299-O298=0.8,O299-O298=0.7,O299-O298=0.6),4,0))</f>
        <v>0</v>
      </c>
      <c r="U303" s="476" t="s">
        <v>322</v>
      </c>
      <c r="V303" s="476"/>
      <c r="W303" s="530">
        <v>250</v>
      </c>
      <c r="X303" s="530">
        <v>250</v>
      </c>
      <c r="Y303" s="531">
        <v>80</v>
      </c>
      <c r="Z303" s="532">
        <v>77.37</v>
      </c>
      <c r="AA303" s="532">
        <f>Z303*16</f>
        <v>1237.92</v>
      </c>
      <c r="AB303" s="532">
        <f t="shared" si="13"/>
        <v>2475.84</v>
      </c>
      <c r="AC303" s="532">
        <f t="shared" si="14"/>
        <v>3713.76</v>
      </c>
      <c r="AD303" s="476"/>
      <c r="AE303" s="476"/>
      <c r="AF303" s="476"/>
      <c r="AG303" s="489"/>
      <c r="AH303" s="476"/>
      <c r="AI303" s="476"/>
      <c r="AJ303" s="484"/>
      <c r="AK303" s="484"/>
      <c r="AL303" s="476"/>
      <c r="AM303" s="476"/>
      <c r="AN303" s="476"/>
      <c r="AO303" s="476"/>
    </row>
    <row r="304" spans="1:41" ht="19.899999999999999" customHeight="1" thickBot="1">
      <c r="A304" s="709"/>
      <c r="B304" s="476"/>
      <c r="C304" s="476"/>
      <c r="D304" s="476"/>
      <c r="E304" s="476"/>
      <c r="F304" s="476"/>
      <c r="G304" s="476"/>
      <c r="H304" s="476"/>
      <c r="I304" s="476"/>
      <c r="J304" s="476"/>
      <c r="K304" s="476"/>
      <c r="M304" s="483"/>
      <c r="N304" s="533" t="s">
        <v>53</v>
      </c>
      <c r="O304" s="534">
        <v>7.4999999999999997E-2</v>
      </c>
      <c r="P304" s="535" t="s">
        <v>0</v>
      </c>
      <c r="Q304" s="536" t="s">
        <v>323</v>
      </c>
      <c r="R304" s="537">
        <v>0</v>
      </c>
      <c r="S304" s="538">
        <f>+((ROUND(((Y314-W314)/2-2*O304-O302/2)/0.3-0.3,0)+1)*2+(ROUND((W314-O302-2*O304)/0.3-0.3,0)+1)+(ROUND(((X314-V314)/2-2*O304-O302/2)/0.3-0.3,0)+1)*2+(ROUND((V314-O302-2*O304)/0.3-0.3,0)+1))*2</f>
        <v>136</v>
      </c>
      <c r="T304" s="539"/>
      <c r="U304" s="476"/>
      <c r="V304" s="476"/>
      <c r="W304" s="476"/>
      <c r="X304" s="476"/>
      <c r="Y304" s="476"/>
      <c r="Z304" s="476"/>
      <c r="AA304" s="476"/>
      <c r="AB304" s="476"/>
      <c r="AC304" s="476"/>
      <c r="AD304" s="476"/>
      <c r="AE304" s="476"/>
      <c r="AF304" s="476"/>
      <c r="AG304" s="489"/>
      <c r="AH304" s="476"/>
      <c r="AI304" s="476"/>
      <c r="AJ304" s="484"/>
      <c r="AK304" s="484"/>
      <c r="AL304" s="476"/>
      <c r="AM304" s="476"/>
      <c r="AN304" s="476"/>
      <c r="AO304" s="476"/>
    </row>
    <row r="305" spans="1:41" ht="19.899999999999999" customHeight="1" thickBot="1">
      <c r="A305" s="709"/>
      <c r="B305" s="476"/>
      <c r="C305" s="476"/>
      <c r="D305" s="476"/>
      <c r="E305" s="476"/>
      <c r="F305" s="476"/>
      <c r="G305" s="476"/>
      <c r="H305" s="476"/>
      <c r="I305" s="476"/>
      <c r="J305" s="476"/>
      <c r="K305" s="476"/>
      <c r="M305" s="483"/>
      <c r="N305" s="476"/>
      <c r="O305" s="476"/>
      <c r="P305" s="476"/>
      <c r="Q305" s="536" t="s">
        <v>324</v>
      </c>
      <c r="R305" s="537" t="str">
        <f>+IF(O301=0.6,20,IF(O301=0.8,28,IF(O301=1,36,IF(O301=1.2,44,"kiem tra"))))</f>
        <v>kiem tra</v>
      </c>
      <c r="S305" s="1629" t="s">
        <v>325</v>
      </c>
      <c r="T305" s="1630"/>
      <c r="U305" s="1630"/>
      <c r="V305" s="1630"/>
      <c r="W305" s="1630"/>
      <c r="X305" s="1631"/>
      <c r="Y305" s="1629" t="s">
        <v>326</v>
      </c>
      <c r="Z305" s="1630"/>
      <c r="AA305" s="1630"/>
      <c r="AB305" s="1631"/>
      <c r="AC305" s="1629" t="s">
        <v>327</v>
      </c>
      <c r="AD305" s="1630"/>
      <c r="AE305" s="1630"/>
      <c r="AF305" s="1631"/>
      <c r="AG305" s="499"/>
      <c r="AH305" s="476"/>
      <c r="AI305" s="476"/>
      <c r="AJ305" s="484"/>
      <c r="AK305" s="484"/>
      <c r="AL305" s="476"/>
      <c r="AM305" s="476"/>
      <c r="AN305" s="476"/>
      <c r="AO305" s="476"/>
    </row>
    <row r="306" spans="1:41" ht="19.899999999999999" customHeight="1" thickBot="1">
      <c r="A306" s="709"/>
      <c r="B306" s="476"/>
      <c r="C306" s="476"/>
      <c r="D306" s="476"/>
      <c r="E306" s="476"/>
      <c r="F306" s="476"/>
      <c r="G306" s="476"/>
      <c r="H306" s="476"/>
      <c r="I306" s="476"/>
      <c r="J306" s="476"/>
      <c r="K306" s="476"/>
      <c r="M306" s="483"/>
      <c r="N306" s="476"/>
      <c r="O306" s="476"/>
      <c r="P306" s="476"/>
      <c r="Q306" s="476"/>
      <c r="R306" s="476"/>
      <c r="S306" s="1632" t="s">
        <v>313</v>
      </c>
      <c r="T306" s="1633"/>
      <c r="U306" s="1634"/>
      <c r="V306" s="1635" t="s">
        <v>315</v>
      </c>
      <c r="W306" s="1633"/>
      <c r="X306" s="1634"/>
      <c r="Y306" s="1636" t="s">
        <v>313</v>
      </c>
      <c r="Z306" s="1637"/>
      <c r="AA306" s="1638" t="s">
        <v>435</v>
      </c>
      <c r="AB306" s="1639"/>
      <c r="AC306" s="1640" t="s">
        <v>313</v>
      </c>
      <c r="AD306" s="1641"/>
      <c r="AE306" s="1622" t="s">
        <v>435</v>
      </c>
      <c r="AF306" s="1623"/>
      <c r="AG306" s="489"/>
      <c r="AH306" s="476"/>
      <c r="AI306" s="476"/>
      <c r="AJ306" s="484"/>
      <c r="AK306" s="484"/>
      <c r="AL306" s="476"/>
      <c r="AM306" s="476"/>
      <c r="AN306" s="476"/>
      <c r="AO306" s="476"/>
    </row>
    <row r="307" spans="1:41" ht="19.899999999999999" customHeight="1">
      <c r="A307" s="709"/>
      <c r="B307" s="476"/>
      <c r="C307" s="476"/>
      <c r="D307" s="476"/>
      <c r="E307" s="476"/>
      <c r="F307" s="476"/>
      <c r="G307" s="476"/>
      <c r="H307" s="476"/>
      <c r="I307" s="476"/>
      <c r="J307" s="476"/>
      <c r="K307" s="476"/>
      <c r="M307" s="540" t="s">
        <v>328</v>
      </c>
      <c r="N307" s="541" t="s">
        <v>329</v>
      </c>
      <c r="O307" s="541" t="s">
        <v>330</v>
      </c>
      <c r="P307" s="541" t="s">
        <v>331</v>
      </c>
      <c r="Q307" s="541" t="s">
        <v>332</v>
      </c>
      <c r="R307" s="542" t="s">
        <v>333</v>
      </c>
      <c r="S307" s="543">
        <v>1</v>
      </c>
      <c r="T307" s="544">
        <v>2</v>
      </c>
      <c r="U307" s="545">
        <v>3</v>
      </c>
      <c r="V307" s="543">
        <v>1</v>
      </c>
      <c r="W307" s="544">
        <v>2</v>
      </c>
      <c r="X307" s="545">
        <v>3</v>
      </c>
      <c r="Y307" s="543" t="s">
        <v>334</v>
      </c>
      <c r="Z307" s="545" t="s">
        <v>335</v>
      </c>
      <c r="AA307" s="524" t="s">
        <v>336</v>
      </c>
      <c r="AB307" s="545" t="s">
        <v>337</v>
      </c>
      <c r="AC307" s="524" t="s">
        <v>338</v>
      </c>
      <c r="AD307" s="546" t="s">
        <v>339</v>
      </c>
      <c r="AE307" s="525" t="s">
        <v>338</v>
      </c>
      <c r="AF307" s="546" t="s">
        <v>339</v>
      </c>
      <c r="AG307" s="489"/>
      <c r="AH307" s="476"/>
      <c r="AI307" s="476"/>
      <c r="AJ307" s="484"/>
      <c r="AK307" s="484"/>
      <c r="AL307" s="476"/>
      <c r="AM307" s="476"/>
      <c r="AN307" s="476"/>
      <c r="AO307" s="476"/>
    </row>
    <row r="308" spans="1:41" ht="19.899999999999999" customHeight="1">
      <c r="A308" s="709"/>
      <c r="B308" s="476"/>
      <c r="C308" s="476"/>
      <c r="D308" s="476"/>
      <c r="E308" s="476"/>
      <c r="F308" s="476"/>
      <c r="G308" s="476"/>
      <c r="H308" s="476"/>
      <c r="I308" s="476"/>
      <c r="J308" s="476"/>
      <c r="K308" s="476"/>
      <c r="M308" s="547" t="s">
        <v>57</v>
      </c>
      <c r="N308" s="548" t="e">
        <f>+VALUE(MID(C241,4,2))</f>
        <v>#VALUE!</v>
      </c>
      <c r="O308" s="548" t="e">
        <f>+VALUE(MID(C173,4,2))</f>
        <v>#VALUE!</v>
      </c>
      <c r="P308" s="548" t="e">
        <f>+O308</f>
        <v>#VALUE!</v>
      </c>
      <c r="Q308" s="548" t="e">
        <f>+O308</f>
        <v>#VALUE!</v>
      </c>
      <c r="R308" s="549" t="e">
        <f>+O308</f>
        <v>#VALUE!</v>
      </c>
      <c r="S308" s="550" t="e">
        <f>+VALUE(LEFT(#REF!,2))</f>
        <v>#REF!</v>
      </c>
      <c r="T308" s="518" t="e">
        <f>+VALUE(LEFT(#REF!,2))</f>
        <v>#REF!</v>
      </c>
      <c r="U308" s="519" t="e">
        <f>+T308</f>
        <v>#REF!</v>
      </c>
      <c r="V308" s="550" t="e">
        <f>+S308</f>
        <v>#REF!</v>
      </c>
      <c r="W308" s="518" t="e">
        <f>+T308</f>
        <v>#REF!</v>
      </c>
      <c r="X308" s="519" t="e">
        <f>+W308</f>
        <v>#REF!</v>
      </c>
      <c r="Y308" s="550" t="e">
        <f>+S308</f>
        <v>#REF!</v>
      </c>
      <c r="Z308" s="519" t="e">
        <f>+T308</f>
        <v>#REF!</v>
      </c>
      <c r="AA308" s="551" t="e">
        <f>+V308</f>
        <v>#REF!</v>
      </c>
      <c r="AB308" s="519" t="e">
        <f>+W308</f>
        <v>#REF!</v>
      </c>
      <c r="AC308" s="551" t="e">
        <f>+Y308</f>
        <v>#REF!</v>
      </c>
      <c r="AD308" s="552" t="e">
        <f>+Z308</f>
        <v>#REF!</v>
      </c>
      <c r="AE308" s="553" t="e">
        <f>+AA308</f>
        <v>#REF!</v>
      </c>
      <c r="AF308" s="519" t="e">
        <f>+AB308</f>
        <v>#REF!</v>
      </c>
      <c r="AG308" s="489"/>
      <c r="AH308" s="476"/>
      <c r="AI308" s="476"/>
      <c r="AJ308" s="484"/>
      <c r="AK308" s="484"/>
      <c r="AL308" s="476"/>
      <c r="AM308" s="476"/>
      <c r="AN308" s="476"/>
      <c r="AO308" s="476"/>
    </row>
    <row r="309" spans="1:41" ht="19.899999999999999" customHeight="1">
      <c r="A309" s="709"/>
      <c r="B309" s="476"/>
      <c r="C309" s="476"/>
      <c r="D309" s="476"/>
      <c r="E309" s="476"/>
      <c r="F309" s="476"/>
      <c r="G309" s="476"/>
      <c r="H309" s="476"/>
      <c r="I309" s="476"/>
      <c r="J309" s="476"/>
      <c r="K309" s="476"/>
      <c r="M309" s="554" t="s">
        <v>340</v>
      </c>
      <c r="N309" s="555" t="str">
        <f>+LEFT(C241,2)</f>
        <v>25</v>
      </c>
      <c r="O309" s="555" t="e">
        <f>+MAX(LEFT(#REF!,2),LEFT(C173,2))-P309</f>
        <v>#REF!</v>
      </c>
      <c r="P309" s="556">
        <v>3</v>
      </c>
      <c r="Q309" s="555" t="e">
        <f>+O309</f>
        <v>#REF!</v>
      </c>
      <c r="R309" s="557">
        <f>+P309</f>
        <v>3</v>
      </c>
      <c r="S309" s="550" t="e">
        <f>+S299</f>
        <v>#REF!</v>
      </c>
      <c r="T309" s="518" t="e">
        <f>+T299</f>
        <v>#REF!</v>
      </c>
      <c r="U309" s="519" t="e">
        <f>+T309</f>
        <v>#REF!</v>
      </c>
      <c r="V309" s="550" t="e">
        <f>+S300</f>
        <v>#REF!</v>
      </c>
      <c r="W309" s="518" t="e">
        <f>+T300</f>
        <v>#REF!</v>
      </c>
      <c r="X309" s="519" t="e">
        <f>+W309</f>
        <v>#REF!</v>
      </c>
      <c r="Y309" s="558"/>
      <c r="Z309" s="519"/>
      <c r="AA309" s="559"/>
      <c r="AB309" s="519"/>
      <c r="AC309" s="559"/>
      <c r="AD309" s="552"/>
      <c r="AE309" s="560"/>
      <c r="AF309" s="519"/>
      <c r="AG309" s="489"/>
      <c r="AH309" s="476"/>
      <c r="AI309" s="476"/>
      <c r="AJ309" s="484"/>
      <c r="AK309" s="484"/>
      <c r="AL309" s="476"/>
      <c r="AM309" s="476"/>
      <c r="AN309" s="476"/>
      <c r="AO309" s="476"/>
    </row>
    <row r="310" spans="1:41" ht="19.899999999999999" customHeight="1">
      <c r="A310" s="709"/>
      <c r="B310" s="476"/>
      <c r="C310" s="476"/>
      <c r="D310" s="476"/>
      <c r="E310" s="476"/>
      <c r="F310" s="476"/>
      <c r="G310" s="476"/>
      <c r="H310" s="476"/>
      <c r="I310" s="476"/>
      <c r="J310" s="476"/>
      <c r="K310" s="476"/>
      <c r="M310" s="1624" t="s">
        <v>341</v>
      </c>
      <c r="N310" s="561">
        <f>+N309*4-4</f>
        <v>96</v>
      </c>
      <c r="O310" s="561" t="e">
        <f>+O309*2</f>
        <v>#REF!</v>
      </c>
      <c r="P310" s="561">
        <f>+P309*2</f>
        <v>6</v>
      </c>
      <c r="Q310" s="561" t="e">
        <f>+Q309*2</f>
        <v>#REF!</v>
      </c>
      <c r="R310" s="562">
        <f>+R309*2</f>
        <v>6</v>
      </c>
      <c r="S310" s="550" t="e">
        <f>+ROUND(((O296-O295)/2-S302-O304)/S309,0)+1</f>
        <v>#REF!</v>
      </c>
      <c r="T310" s="518" t="e">
        <f>+ROUND(((O295-O297)/2-S302-O304)/T309,0)+1</f>
        <v>#REF!</v>
      </c>
      <c r="U310" s="519" t="e">
        <f>+ROUND((O297+2*O304)/U309,0)-1</f>
        <v>#REF!</v>
      </c>
      <c r="V310" s="550" t="e">
        <f>+ROUND(((Q296-Q295)/2-S302-O304)/V309,0)+1</f>
        <v>#REF!</v>
      </c>
      <c r="W310" s="518" t="e">
        <f>+ROUND(((Q295-Q297)/2-S302-O304)/W309,0)+1</f>
        <v>#REF!</v>
      </c>
      <c r="X310" s="519" t="e">
        <f>+ROUND((Q297+2*O304)/X309,0)-1</f>
        <v>#REF!</v>
      </c>
      <c r="Y310" s="558" t="e">
        <f>+(S310-1)*2*S301</f>
        <v>#REF!</v>
      </c>
      <c r="Z310" s="519" t="e">
        <f>+((U310+1)+(T310-1)*2)*T301</f>
        <v>#REF!</v>
      </c>
      <c r="AA310" s="559" t="e">
        <f>+(V310-1)*2*S301</f>
        <v>#REF!</v>
      </c>
      <c r="AB310" s="563" t="e">
        <f>+((X310+1)+(W310-1)*2)*T301</f>
        <v>#REF!</v>
      </c>
      <c r="AC310" s="564" t="e">
        <f>+Y310</f>
        <v>#REF!</v>
      </c>
      <c r="AD310" s="565" t="e">
        <f>+((U310+1)+(T310-1)*2)*T301</f>
        <v>#REF!</v>
      </c>
      <c r="AE310" s="566" t="e">
        <f>+AA310</f>
        <v>#REF!</v>
      </c>
      <c r="AF310" s="563" t="e">
        <f>+((X310+1)+(W310-1)*2)*T301</f>
        <v>#REF!</v>
      </c>
      <c r="AG310" s="489"/>
      <c r="AH310" s="476"/>
      <c r="AI310" s="476"/>
      <c r="AJ310" s="476"/>
      <c r="AK310" s="484"/>
      <c r="AL310" s="476"/>
      <c r="AM310" s="476"/>
      <c r="AN310" s="476"/>
      <c r="AO310" s="476"/>
    </row>
    <row r="311" spans="1:41" ht="19.899999999999999" customHeight="1">
      <c r="A311" s="709"/>
      <c r="B311" s="476"/>
      <c r="C311" s="476"/>
      <c r="D311" s="476"/>
      <c r="E311" s="476"/>
      <c r="F311" s="476"/>
      <c r="G311" s="476"/>
      <c r="H311" s="476"/>
      <c r="I311" s="476"/>
      <c r="J311" s="476"/>
      <c r="K311" s="476"/>
      <c r="M311" s="1625"/>
      <c r="N311" s="567"/>
      <c r="O311" s="568" t="s">
        <v>342</v>
      </c>
      <c r="P311" s="569">
        <f>+ROUND(K28/2,1)+0.1</f>
        <v>2</v>
      </c>
      <c r="Q311" s="567"/>
      <c r="R311" s="570">
        <f>+ROUND(K26/2,1)+0.1</f>
        <v>1.5</v>
      </c>
      <c r="S311" s="571" t="e">
        <f>+S310-1</f>
        <v>#REF!</v>
      </c>
      <c r="T311" s="567" t="e">
        <f>+T310-1</f>
        <v>#REF!</v>
      </c>
      <c r="U311" s="572"/>
      <c r="V311" s="571" t="e">
        <f>+V310-1</f>
        <v>#REF!</v>
      </c>
      <c r="W311" s="567" t="e">
        <f>+W310-1</f>
        <v>#REF!</v>
      </c>
      <c r="X311" s="572"/>
      <c r="Y311" s="573" t="e">
        <f t="shared" ref="Y311:AF311" si="15">+Y310</f>
        <v>#REF!</v>
      </c>
      <c r="Z311" s="574" t="e">
        <f t="shared" si="15"/>
        <v>#REF!</v>
      </c>
      <c r="AA311" s="575" t="e">
        <f t="shared" si="15"/>
        <v>#REF!</v>
      </c>
      <c r="AB311" s="574" t="e">
        <f t="shared" si="15"/>
        <v>#REF!</v>
      </c>
      <c r="AC311" s="575" t="e">
        <f t="shared" si="15"/>
        <v>#REF!</v>
      </c>
      <c r="AD311" s="576" t="e">
        <f t="shared" si="15"/>
        <v>#REF!</v>
      </c>
      <c r="AE311" s="577" t="e">
        <f t="shared" si="15"/>
        <v>#REF!</v>
      </c>
      <c r="AF311" s="574" t="e">
        <f t="shared" si="15"/>
        <v>#REF!</v>
      </c>
      <c r="AG311" s="489"/>
      <c r="AH311" s="476"/>
      <c r="AI311" s="476"/>
      <c r="AJ311" s="476"/>
      <c r="AK311" s="484"/>
      <c r="AL311" s="476"/>
      <c r="AM311" s="476"/>
      <c r="AN311" s="476"/>
      <c r="AO311" s="476"/>
    </row>
    <row r="312" spans="1:41" ht="19.899999999999999" customHeight="1" thickBot="1">
      <c r="A312" s="709"/>
      <c r="B312" s="476"/>
      <c r="C312" s="476"/>
      <c r="D312" s="476"/>
      <c r="E312" s="476"/>
      <c r="F312" s="476"/>
      <c r="G312" s="476"/>
      <c r="H312" s="476"/>
      <c r="I312" s="476"/>
      <c r="J312" s="476"/>
      <c r="K312" s="476"/>
      <c r="M312" s="449" t="s">
        <v>343</v>
      </c>
      <c r="N312" s="578">
        <f>+O300-2*O304+0.25</f>
        <v>3.6</v>
      </c>
      <c r="O312" s="578">
        <f>+Q296-2*O304</f>
        <v>11.85</v>
      </c>
      <c r="P312" s="578">
        <f>+P311*2+O295</f>
        <v>8</v>
      </c>
      <c r="Q312" s="578">
        <f>+O296-2*O304</f>
        <v>9.85</v>
      </c>
      <c r="R312" s="579">
        <f>+R311*2+O295</f>
        <v>7</v>
      </c>
      <c r="S312" s="580">
        <f>+O312</f>
        <v>11.85</v>
      </c>
      <c r="T312" s="581">
        <f>+S312</f>
        <v>11.85</v>
      </c>
      <c r="U312" s="582">
        <f>+(Q296/2-Q297/2-2*O304)</f>
        <v>5.35</v>
      </c>
      <c r="V312" s="580">
        <f>+Q312</f>
        <v>9.85</v>
      </c>
      <c r="W312" s="581">
        <f>+V312</f>
        <v>9.85</v>
      </c>
      <c r="X312" s="582">
        <f>+(O296/2-O297/2-2*O304)</f>
        <v>4.3499999999999996</v>
      </c>
      <c r="Y312" s="583"/>
      <c r="Z312" s="584"/>
      <c r="AA312" s="583"/>
      <c r="AB312" s="584"/>
      <c r="AC312" s="585"/>
      <c r="AD312" s="586"/>
      <c r="AE312" s="587"/>
      <c r="AF312" s="584"/>
      <c r="AG312" s="489"/>
      <c r="AH312" s="476"/>
      <c r="AI312" s="476"/>
      <c r="AJ312" s="476"/>
      <c r="AK312" s="476"/>
      <c r="AL312" s="476"/>
      <c r="AM312" s="476"/>
      <c r="AN312" s="476"/>
      <c r="AO312" s="476"/>
    </row>
    <row r="313" spans="1:41" ht="19.899999999999999" customHeight="1" thickBot="1">
      <c r="A313" s="709"/>
      <c r="B313" s="476"/>
      <c r="C313" s="476"/>
      <c r="D313" s="476"/>
      <c r="E313" s="476"/>
      <c r="F313" s="476"/>
      <c r="G313" s="476"/>
      <c r="H313" s="476"/>
      <c r="I313" s="476"/>
      <c r="J313" s="476"/>
      <c r="K313" s="476"/>
      <c r="M313" s="477"/>
      <c r="N313" s="479"/>
      <c r="O313" s="479"/>
      <c r="P313" s="479"/>
      <c r="Q313" s="479"/>
      <c r="R313" s="479"/>
      <c r="S313" s="476"/>
      <c r="T313" s="476"/>
      <c r="U313" s="476"/>
      <c r="V313" s="476"/>
      <c r="W313" s="476"/>
      <c r="X313" s="476"/>
      <c r="Y313" s="476"/>
      <c r="Z313" s="476"/>
      <c r="AA313" s="476"/>
      <c r="AB313" s="476"/>
      <c r="AC313" s="476"/>
      <c r="AD313" s="476"/>
      <c r="AE313" s="476"/>
      <c r="AF313" s="476"/>
      <c r="AG313" s="489"/>
      <c r="AH313" s="476"/>
      <c r="AI313" s="476"/>
      <c r="AJ313" s="476"/>
      <c r="AK313" s="476"/>
      <c r="AL313" s="476"/>
      <c r="AM313" s="476"/>
      <c r="AN313" s="476"/>
      <c r="AO313" s="476"/>
    </row>
    <row r="314" spans="1:41" ht="19.899999999999999" customHeight="1" thickBot="1">
      <c r="A314" s="709"/>
      <c r="B314" s="476"/>
      <c r="C314" s="476"/>
      <c r="D314" s="476"/>
      <c r="E314" s="476"/>
      <c r="F314" s="476"/>
      <c r="G314" s="476"/>
      <c r="H314" s="476"/>
      <c r="I314" s="476"/>
      <c r="J314" s="476"/>
      <c r="K314" s="476"/>
      <c r="M314" s="450" t="s">
        <v>344</v>
      </c>
      <c r="N314" s="588"/>
      <c r="O314" s="588"/>
      <c r="P314" s="588"/>
      <c r="Q314" s="588"/>
      <c r="R314" s="588"/>
      <c r="S314" s="589"/>
      <c r="T314" s="476"/>
      <c r="U314" s="450" t="s">
        <v>302</v>
      </c>
      <c r="V314" s="590">
        <f>+O295</f>
        <v>4</v>
      </c>
      <c r="W314" s="590">
        <f>+Q295</f>
        <v>4</v>
      </c>
      <c r="X314" s="591">
        <f>+O296</f>
        <v>10</v>
      </c>
      <c r="Y314" s="592">
        <f>+Q296</f>
        <v>12</v>
      </c>
      <c r="Z314" s="593"/>
      <c r="AA314" s="593"/>
      <c r="AB314" s="21"/>
      <c r="AC314" s="21"/>
      <c r="AD314" s="476"/>
      <c r="AE314" s="476"/>
      <c r="AF314" s="476"/>
      <c r="AG314" s="489"/>
      <c r="AH314" s="476"/>
      <c r="AI314" s="476"/>
      <c r="AJ314" s="484"/>
      <c r="AK314" s="484"/>
      <c r="AL314" s="476"/>
      <c r="AM314" s="476"/>
      <c r="AN314" s="476"/>
      <c r="AO314" s="476"/>
    </row>
    <row r="315" spans="1:41" ht="19.899999999999999" customHeight="1" thickBot="1">
      <c r="A315" s="709"/>
      <c r="B315" s="476"/>
      <c r="C315" s="476"/>
      <c r="D315" s="476"/>
      <c r="E315" s="476"/>
      <c r="F315" s="476"/>
      <c r="G315" s="476"/>
      <c r="H315" s="476"/>
      <c r="I315" s="476"/>
      <c r="J315" s="476"/>
      <c r="K315" s="476"/>
      <c r="M315" s="594"/>
      <c r="N315" s="595" t="s">
        <v>345</v>
      </c>
      <c r="O315" s="595" t="s">
        <v>346</v>
      </c>
      <c r="P315" s="595" t="s">
        <v>347</v>
      </c>
      <c r="Q315" s="595" t="s">
        <v>348</v>
      </c>
      <c r="R315" s="596" t="s">
        <v>349</v>
      </c>
      <c r="S315" s="597" t="s">
        <v>350</v>
      </c>
      <c r="T315" s="594" t="s">
        <v>140</v>
      </c>
      <c r="U315" s="598" t="s">
        <v>351</v>
      </c>
      <c r="V315" s="595" t="s">
        <v>57</v>
      </c>
      <c r="W315" s="595" t="s">
        <v>352</v>
      </c>
      <c r="X315" s="595" t="s">
        <v>353</v>
      </c>
      <c r="Y315" s="597" t="s">
        <v>354</v>
      </c>
      <c r="Z315" s="599"/>
      <c r="AA315" s="599"/>
      <c r="AB315" s="21"/>
      <c r="AC315" s="21"/>
      <c r="AD315" s="476"/>
      <c r="AE315" s="476"/>
      <c r="AF315" s="476"/>
      <c r="AG315" s="489"/>
      <c r="AH315" s="476"/>
      <c r="AI315" s="21"/>
      <c r="AJ315" s="484"/>
      <c r="AK315" s="484"/>
      <c r="AL315" s="476"/>
      <c r="AM315" s="476"/>
      <c r="AN315" s="476"/>
      <c r="AO315" s="476"/>
    </row>
    <row r="316" spans="1:41" ht="19.899999999999999" customHeight="1">
      <c r="A316" s="709"/>
      <c r="B316" s="476"/>
      <c r="C316" s="476"/>
      <c r="D316" s="476"/>
      <c r="E316" s="476"/>
      <c r="F316" s="476"/>
      <c r="G316" s="476"/>
      <c r="H316" s="476"/>
      <c r="I316" s="476"/>
      <c r="J316" s="476"/>
      <c r="K316" s="476"/>
      <c r="M316" s="600" t="s">
        <v>355</v>
      </c>
      <c r="N316" s="601">
        <f>X314</f>
        <v>10</v>
      </c>
      <c r="O316" s="601">
        <f>Y314</f>
        <v>12</v>
      </c>
      <c r="P316" s="601">
        <f>+O297</f>
        <v>1</v>
      </c>
      <c r="Q316" s="601">
        <f>+Q297</f>
        <v>1</v>
      </c>
      <c r="R316" s="601">
        <f>+O298</f>
        <v>0.35</v>
      </c>
      <c r="S316" s="602">
        <f>(N316*O316-P316*Q316)*R316</f>
        <v>41.65</v>
      </c>
      <c r="T316" s="603"/>
      <c r="U316" s="604">
        <v>1</v>
      </c>
      <c r="V316" s="605" t="e">
        <f>+N308</f>
        <v>#VALUE!</v>
      </c>
      <c r="W316" s="606">
        <f>+N312</f>
        <v>3.6</v>
      </c>
      <c r="X316" s="605">
        <f>+N310*4</f>
        <v>384</v>
      </c>
      <c r="Y316" s="607">
        <f t="shared" ref="Y316:Y341" si="16">W316*X316</f>
        <v>1382.4</v>
      </c>
      <c r="Z316" s="608"/>
      <c r="AA316" s="608"/>
      <c r="AB316" s="21" t="s">
        <v>356</v>
      </c>
      <c r="AC316" s="21"/>
      <c r="AD316" s="21"/>
      <c r="AE316" s="21"/>
      <c r="AF316" s="476"/>
      <c r="AG316" s="489"/>
      <c r="AH316" s="476"/>
      <c r="AI316" s="21"/>
      <c r="AJ316" s="476"/>
      <c r="AK316" s="484"/>
      <c r="AL316" s="476"/>
      <c r="AM316" s="476"/>
      <c r="AN316" s="476"/>
      <c r="AO316" s="476"/>
    </row>
    <row r="317" spans="1:41" ht="19.899999999999999" customHeight="1">
      <c r="A317" s="709"/>
      <c r="B317" s="476"/>
      <c r="C317" s="476"/>
      <c r="D317" s="476"/>
      <c r="E317" s="476"/>
      <c r="F317" s="476"/>
      <c r="G317" s="476"/>
      <c r="H317" s="476"/>
      <c r="I317" s="476"/>
      <c r="J317" s="476"/>
      <c r="K317" s="476"/>
      <c r="M317" s="609" t="s">
        <v>357</v>
      </c>
      <c r="N317" s="610">
        <f>+O302</f>
        <v>0.5</v>
      </c>
      <c r="O317" s="611">
        <f>R317-R316</f>
        <v>0.65</v>
      </c>
      <c r="P317" s="611">
        <f>N316</f>
        <v>10</v>
      </c>
      <c r="Q317" s="611">
        <f>O316</f>
        <v>12</v>
      </c>
      <c r="R317" s="610">
        <f>+O299</f>
        <v>1</v>
      </c>
      <c r="S317" s="612">
        <f>(N317*O317*P317*2)+(N317*O317*(Q317-N317*2))*2</f>
        <v>13.65</v>
      </c>
      <c r="T317" s="609"/>
      <c r="U317" s="613" t="e">
        <f>+IF(OR(W317=0,X317=0),0,IF(U316=0,U315+1,U316+1))</f>
        <v>#REF!</v>
      </c>
      <c r="V317" s="610" t="e">
        <f>O308</f>
        <v>#VALUE!</v>
      </c>
      <c r="W317" s="614">
        <f>+O312</f>
        <v>11.85</v>
      </c>
      <c r="X317" s="610" t="e">
        <f>+O310*2</f>
        <v>#REF!</v>
      </c>
      <c r="Y317" s="615" t="e">
        <f t="shared" si="16"/>
        <v>#REF!</v>
      </c>
      <c r="Z317" s="608"/>
      <c r="AA317" s="608"/>
      <c r="AB317" s="21" t="s">
        <v>358</v>
      </c>
      <c r="AC317" s="21"/>
      <c r="AD317" s="21"/>
      <c r="AE317" s="21"/>
      <c r="AF317" s="476"/>
      <c r="AG317" s="489"/>
      <c r="AH317" s="476"/>
      <c r="AI317" s="21"/>
      <c r="AJ317" s="476"/>
      <c r="AK317" s="476"/>
      <c r="AL317" s="476"/>
      <c r="AM317" s="476"/>
      <c r="AN317" s="476"/>
      <c r="AO317" s="476"/>
    </row>
    <row r="318" spans="1:41" ht="19.899999999999999" customHeight="1">
      <c r="A318" s="709"/>
      <c r="B318" s="476"/>
      <c r="C318" s="476"/>
      <c r="D318" s="476"/>
      <c r="E318" s="476"/>
      <c r="F318" s="476"/>
      <c r="G318" s="476"/>
      <c r="H318" s="476"/>
      <c r="I318" s="476"/>
      <c r="J318" s="476"/>
      <c r="K318" s="476"/>
      <c r="M318" s="609" t="s">
        <v>359</v>
      </c>
      <c r="N318" s="610">
        <f>+O303</f>
        <v>0.35</v>
      </c>
      <c r="O318" s="610">
        <f>N318</f>
        <v>0.35</v>
      </c>
      <c r="P318" s="610">
        <f>O317</f>
        <v>0.65</v>
      </c>
      <c r="Q318" s="610"/>
      <c r="R318" s="610"/>
      <c r="S318" s="612">
        <f>((N318*O318)/2)*P318*16</f>
        <v>0.6369999999999999</v>
      </c>
      <c r="T318" s="609"/>
      <c r="U318" s="613" t="s">
        <v>360</v>
      </c>
      <c r="V318" s="616" t="e">
        <f>+P308</f>
        <v>#VALUE!</v>
      </c>
      <c r="W318" s="617">
        <f>+P312</f>
        <v>8</v>
      </c>
      <c r="X318" s="618">
        <f>+P310*2</f>
        <v>12</v>
      </c>
      <c r="Y318" s="619">
        <f>W318*X318</f>
        <v>96</v>
      </c>
      <c r="Z318" s="20">
        <f>+Y318+Y319</f>
        <v>180</v>
      </c>
      <c r="AA318" s="21">
        <f>+X318+X319</f>
        <v>24</v>
      </c>
      <c r="AB318" s="21" t="s">
        <v>361</v>
      </c>
      <c r="AC318" s="21"/>
      <c r="AD318" s="21"/>
      <c r="AE318" s="21"/>
      <c r="AF318" s="476"/>
      <c r="AG318" s="489"/>
      <c r="AH318" s="476"/>
      <c r="AI318" s="21"/>
      <c r="AJ318" s="476"/>
      <c r="AK318" s="476"/>
      <c r="AL318" s="476"/>
      <c r="AM318" s="476"/>
      <c r="AN318" s="476"/>
      <c r="AO318" s="476"/>
    </row>
    <row r="319" spans="1:41" ht="19.899999999999999" customHeight="1" thickBot="1">
      <c r="A319" s="709"/>
      <c r="B319" s="476"/>
      <c r="C319" s="476"/>
      <c r="D319" s="476"/>
      <c r="E319" s="476"/>
      <c r="F319" s="476"/>
      <c r="G319" s="476"/>
      <c r="H319" s="476"/>
      <c r="I319" s="476"/>
      <c r="J319" s="476"/>
      <c r="K319" s="476"/>
      <c r="M319" s="620" t="s">
        <v>362</v>
      </c>
      <c r="N319" s="621">
        <f>+O301</f>
        <v>0.7</v>
      </c>
      <c r="O319" s="621">
        <f>N319</f>
        <v>0.7</v>
      </c>
      <c r="P319" s="621"/>
      <c r="Q319" s="621"/>
      <c r="R319" s="622">
        <f>O300-(O317+R316)</f>
        <v>2.5</v>
      </c>
      <c r="S319" s="623">
        <f>N319*O319*R319*4</f>
        <v>4.8999999999999995</v>
      </c>
      <c r="T319" s="609"/>
      <c r="U319" s="613" t="s">
        <v>363</v>
      </c>
      <c r="V319" s="624" t="e">
        <f>+R308</f>
        <v>#VALUE!</v>
      </c>
      <c r="W319" s="625">
        <f>+R312</f>
        <v>7</v>
      </c>
      <c r="X319" s="626">
        <f>+R310*2</f>
        <v>12</v>
      </c>
      <c r="Y319" s="627">
        <f t="shared" si="16"/>
        <v>84</v>
      </c>
      <c r="Z319" s="20"/>
      <c r="AA319" s="21"/>
      <c r="AB319" s="21"/>
      <c r="AC319" s="21"/>
      <c r="AD319" s="21"/>
      <c r="AE319" s="21"/>
      <c r="AF319" s="476"/>
      <c r="AG319" s="489"/>
      <c r="AH319" s="476"/>
      <c r="AI319" s="21"/>
      <c r="AJ319" s="476"/>
      <c r="AK319" s="476"/>
      <c r="AL319" s="476"/>
      <c r="AM319" s="476"/>
      <c r="AN319" s="476"/>
      <c r="AO319" s="476"/>
    </row>
    <row r="320" spans="1:41" ht="19.899999999999999" customHeight="1" thickBot="1">
      <c r="A320" s="709"/>
      <c r="B320" s="476"/>
      <c r="C320" s="476"/>
      <c r="D320" s="476"/>
      <c r="E320" s="476"/>
      <c r="F320" s="476"/>
      <c r="G320" s="476"/>
      <c r="H320" s="476"/>
      <c r="I320" s="476"/>
      <c r="J320" s="476"/>
      <c r="K320" s="476"/>
      <c r="M320" s="628" t="s">
        <v>364</v>
      </c>
      <c r="N320" s="629"/>
      <c r="O320" s="629"/>
      <c r="P320" s="629"/>
      <c r="Q320" s="629"/>
      <c r="R320" s="629"/>
      <c r="S320" s="630">
        <f>SUM(S316:S319)</f>
        <v>60.836999999999996</v>
      </c>
      <c r="T320" s="609"/>
      <c r="U320" s="613" t="e">
        <f>+IF(OR(W320=0,X320=0),0,IF(U317=0,U316+1,U317+1))</f>
        <v>#REF!</v>
      </c>
      <c r="V320" s="610" t="e">
        <f>Q308</f>
        <v>#VALUE!</v>
      </c>
      <c r="W320" s="614">
        <f>+Q312</f>
        <v>9.85</v>
      </c>
      <c r="X320" s="610" t="e">
        <f>+Q310*2</f>
        <v>#REF!</v>
      </c>
      <c r="Y320" s="615" t="e">
        <f t="shared" si="16"/>
        <v>#REF!</v>
      </c>
      <c r="Z320" s="608"/>
      <c r="AA320" s="608"/>
      <c r="AB320" s="21"/>
      <c r="AC320" s="21"/>
      <c r="AD320" s="21"/>
      <c r="AE320" s="21"/>
      <c r="AF320" s="476"/>
      <c r="AG320" s="489"/>
      <c r="AH320" s="476"/>
      <c r="AI320" s="21"/>
      <c r="AJ320" s="476"/>
      <c r="AK320" s="476"/>
      <c r="AL320" s="476"/>
      <c r="AM320" s="476"/>
      <c r="AN320" s="476"/>
      <c r="AO320" s="476"/>
    </row>
    <row r="321" spans="1:41" ht="19.899999999999999" customHeight="1" thickBot="1">
      <c r="A321" s="709"/>
      <c r="B321" s="476"/>
      <c r="C321" s="476"/>
      <c r="D321" s="476"/>
      <c r="E321" s="476"/>
      <c r="F321" s="476"/>
      <c r="G321" s="476"/>
      <c r="H321" s="476"/>
      <c r="I321" s="476"/>
      <c r="J321" s="476"/>
      <c r="K321" s="476"/>
      <c r="M321" s="631" t="s">
        <v>365</v>
      </c>
      <c r="N321" s="632">
        <f>N316+0.1*2</f>
        <v>10.199999999999999</v>
      </c>
      <c r="O321" s="595">
        <f>O316+0.1*2</f>
        <v>12.2</v>
      </c>
      <c r="P321" s="595">
        <f>P316-0.1*2</f>
        <v>0.8</v>
      </c>
      <c r="Q321" s="595">
        <f>Q316-0.1*2</f>
        <v>0.8</v>
      </c>
      <c r="R321" s="597">
        <v>0.1</v>
      </c>
      <c r="S321" s="633">
        <f>(N321*O321-P321*Q321)*R321</f>
        <v>12.379999999999999</v>
      </c>
      <c r="T321" s="609"/>
      <c r="U321" s="613">
        <v>4</v>
      </c>
      <c r="V321" s="634" t="e">
        <f>+S308</f>
        <v>#REF!</v>
      </c>
      <c r="W321" s="635">
        <f>+S312</f>
        <v>11.85</v>
      </c>
      <c r="X321" s="636" t="e">
        <f>+(S311+S310)*2+S303</f>
        <v>#REF!</v>
      </c>
      <c r="Y321" s="637" t="e">
        <f t="shared" si="16"/>
        <v>#REF!</v>
      </c>
      <c r="Z321" s="20" t="e">
        <f>+Y321+Y322</f>
        <v>#REF!</v>
      </c>
      <c r="AA321" s="21" t="e">
        <f>+X321+X322</f>
        <v>#REF!</v>
      </c>
      <c r="AB321" s="638" t="s">
        <v>366</v>
      </c>
      <c r="AC321" s="638"/>
      <c r="AD321" s="476"/>
      <c r="AE321" s="476"/>
      <c r="AF321" s="476"/>
      <c r="AG321" s="489"/>
      <c r="AH321" s="476"/>
      <c r="AI321" s="21"/>
      <c r="AJ321" s="484"/>
      <c r="AK321" s="484"/>
      <c r="AL321" s="476"/>
      <c r="AM321" s="476"/>
      <c r="AN321" s="476"/>
      <c r="AO321" s="476"/>
    </row>
    <row r="322" spans="1:41" ht="19.899999999999999" customHeight="1" thickBot="1">
      <c r="A322" s="709"/>
      <c r="B322" s="476"/>
      <c r="C322" s="476"/>
      <c r="D322" s="476"/>
      <c r="E322" s="476"/>
      <c r="F322" s="476"/>
      <c r="G322" s="476"/>
      <c r="H322" s="476"/>
      <c r="I322" s="476"/>
      <c r="J322" s="476"/>
      <c r="K322" s="476"/>
      <c r="M322" s="639" t="s">
        <v>367</v>
      </c>
      <c r="N322" s="640">
        <f>N316+R322*2</f>
        <v>10</v>
      </c>
      <c r="O322" s="640">
        <f>O316+R322*2</f>
        <v>12</v>
      </c>
      <c r="P322" s="640">
        <f>N322+R322*2</f>
        <v>10</v>
      </c>
      <c r="Q322" s="640">
        <f>O322+R322*2</f>
        <v>12</v>
      </c>
      <c r="R322" s="641">
        <v>0</v>
      </c>
      <c r="S322" s="642">
        <f>R322/6*((N322*O322)+(N322+P322)*(O322+Q322)+(P322*Q322))</f>
        <v>0</v>
      </c>
      <c r="T322" s="609"/>
      <c r="U322" s="613" t="s">
        <v>368</v>
      </c>
      <c r="V322" s="643" t="e">
        <f>+T308</f>
        <v>#REF!</v>
      </c>
      <c r="W322" s="644">
        <f>+T312</f>
        <v>11.85</v>
      </c>
      <c r="X322" s="643" t="e">
        <f>+(T311+T310)*2</f>
        <v>#REF!</v>
      </c>
      <c r="Y322" s="645" t="e">
        <f t="shared" si="16"/>
        <v>#REF!</v>
      </c>
      <c r="Z322" s="20"/>
      <c r="AA322" s="21"/>
      <c r="AB322" s="638" t="s">
        <v>369</v>
      </c>
      <c r="AC322" s="638"/>
      <c r="AD322" s="476"/>
      <c r="AE322" s="476"/>
      <c r="AF322" s="476"/>
      <c r="AG322" s="489"/>
      <c r="AH322" s="476"/>
      <c r="AI322" s="21"/>
      <c r="AJ322" s="484"/>
      <c r="AK322" s="476"/>
      <c r="AL322" s="476"/>
      <c r="AM322" s="484"/>
      <c r="AN322" s="476"/>
      <c r="AO322" s="476"/>
    </row>
    <row r="323" spans="1:41" ht="19.899999999999999" customHeight="1" thickBot="1">
      <c r="A323" s="709"/>
      <c r="B323" s="476"/>
      <c r="C323" s="476"/>
      <c r="D323" s="476"/>
      <c r="E323" s="476"/>
      <c r="F323" s="476"/>
      <c r="G323" s="476"/>
      <c r="H323" s="476"/>
      <c r="I323" s="476"/>
      <c r="J323" s="476"/>
      <c r="K323" s="476"/>
      <c r="M323" s="646" t="s">
        <v>370</v>
      </c>
      <c r="N323" s="595">
        <f>N322</f>
        <v>10</v>
      </c>
      <c r="O323" s="595">
        <f>O322</f>
        <v>12</v>
      </c>
      <c r="P323" s="595">
        <f>N323+R323*2</f>
        <v>17.2</v>
      </c>
      <c r="Q323" s="595">
        <f>O323+R323*2</f>
        <v>19.2</v>
      </c>
      <c r="R323" s="597">
        <f>+O300+R322+R321</f>
        <v>3.6</v>
      </c>
      <c r="S323" s="647">
        <f>R323/6*((N323*O323)+(N323+P323)*(O323+Q323)+(P323*Q323))</f>
        <v>779.32799999999986</v>
      </c>
      <c r="T323" s="609"/>
      <c r="U323" s="613" t="s">
        <v>371</v>
      </c>
      <c r="V323" s="476" t="e">
        <f>+Y308</f>
        <v>#REF!</v>
      </c>
      <c r="W323" s="614">
        <f>+Y312</f>
        <v>0</v>
      </c>
      <c r="X323" s="476" t="e">
        <f>+(Y310+Y311)*2</f>
        <v>#REF!</v>
      </c>
      <c r="Y323" s="615" t="e">
        <f t="shared" si="16"/>
        <v>#REF!</v>
      </c>
      <c r="Z323" s="20" t="e">
        <f>+Y323+Y324</f>
        <v>#REF!</v>
      </c>
      <c r="AA323" s="21" t="e">
        <f>+X323+X324</f>
        <v>#REF!</v>
      </c>
      <c r="AB323" s="648" t="s">
        <v>372</v>
      </c>
      <c r="AC323" s="648"/>
      <c r="AD323" s="476"/>
      <c r="AE323" s="476"/>
      <c r="AF323" s="476"/>
      <c r="AG323" s="489"/>
      <c r="AH323" s="476"/>
      <c r="AI323" s="21"/>
      <c r="AJ323" s="484"/>
      <c r="AK323" s="476"/>
      <c r="AL323" s="476"/>
      <c r="AM323" s="484"/>
      <c r="AN323" s="476"/>
      <c r="AO323" s="476"/>
    </row>
    <row r="324" spans="1:41" ht="19.899999999999999" customHeight="1" thickBot="1">
      <c r="A324" s="709"/>
      <c r="B324" s="476"/>
      <c r="C324" s="476"/>
      <c r="D324" s="476"/>
      <c r="E324" s="476"/>
      <c r="F324" s="476"/>
      <c r="G324" s="476"/>
      <c r="H324" s="476"/>
      <c r="I324" s="476"/>
      <c r="J324" s="476"/>
      <c r="K324" s="476"/>
      <c r="M324" s="649" t="s">
        <v>373</v>
      </c>
      <c r="N324" s="650">
        <f>N316</f>
        <v>10</v>
      </c>
      <c r="O324" s="650">
        <f>O316</f>
        <v>12</v>
      </c>
      <c r="P324" s="651">
        <f>N324+R324*2</f>
        <v>11</v>
      </c>
      <c r="Q324" s="651">
        <f>O324+R324*2</f>
        <v>13</v>
      </c>
      <c r="R324" s="651">
        <v>0.5</v>
      </c>
      <c r="S324" s="647">
        <f>(R324/6*((N324*O324)+(N324+P324)*(O324+Q324)+(P324*Q324)))-(N319*O319*R324*4)</f>
        <v>64.686666666666653</v>
      </c>
      <c r="T324" s="609"/>
      <c r="U324" s="613" t="s">
        <v>374</v>
      </c>
      <c r="V324" s="518" t="e">
        <f>+Z308</f>
        <v>#REF!</v>
      </c>
      <c r="W324" s="614">
        <f>+Z312</f>
        <v>0</v>
      </c>
      <c r="X324" s="610" t="e">
        <f>+(Z310+Z311)*2</f>
        <v>#REF!</v>
      </c>
      <c r="Y324" s="615" t="e">
        <f t="shared" si="16"/>
        <v>#REF!</v>
      </c>
      <c r="Z324" s="22"/>
      <c r="AA324" s="21"/>
      <c r="AB324" s="648" t="s">
        <v>375</v>
      </c>
      <c r="AC324" s="476"/>
      <c r="AD324" s="476"/>
      <c r="AE324" s="476"/>
      <c r="AF324" s="476"/>
      <c r="AG324" s="489"/>
      <c r="AH324" s="476"/>
      <c r="AI324" s="476"/>
      <c r="AJ324" s="484"/>
      <c r="AK324" s="476"/>
      <c r="AL324" s="490"/>
      <c r="AM324" s="476"/>
      <c r="AN324" s="476"/>
      <c r="AO324" s="484"/>
    </row>
    <row r="325" spans="1:41" ht="19.899999999999999" customHeight="1" thickBot="1">
      <c r="A325" s="709"/>
      <c r="B325" s="476"/>
      <c r="C325" s="476"/>
      <c r="D325" s="476"/>
      <c r="E325" s="476"/>
      <c r="F325" s="476"/>
      <c r="G325" s="476"/>
      <c r="H325" s="476"/>
      <c r="I325" s="476"/>
      <c r="J325" s="476"/>
      <c r="K325" s="476"/>
      <c r="M325" s="649" t="s">
        <v>376</v>
      </c>
      <c r="N325" s="651"/>
      <c r="O325" s="651"/>
      <c r="P325" s="651"/>
      <c r="Q325" s="651"/>
      <c r="R325" s="651"/>
      <c r="S325" s="652">
        <f>S323-S322-S321-S320+S324+(N319*O319*(1-R324)*4)</f>
        <v>771.77766666666651</v>
      </c>
      <c r="T325" s="609"/>
      <c r="U325" s="613" t="s">
        <v>377</v>
      </c>
      <c r="V325" s="518" t="e">
        <f>+AC308</f>
        <v>#REF!</v>
      </c>
      <c r="W325" s="653">
        <f>+AC312</f>
        <v>0</v>
      </c>
      <c r="X325" s="610" t="e">
        <f>+(AC310+AC311)*2</f>
        <v>#REF!</v>
      </c>
      <c r="Y325" s="615" t="e">
        <f t="shared" si="16"/>
        <v>#REF!</v>
      </c>
      <c r="Z325" s="20"/>
      <c r="AA325" s="21"/>
      <c r="AB325" s="648" t="s">
        <v>378</v>
      </c>
      <c r="AC325" s="507"/>
      <c r="AD325" s="476"/>
      <c r="AE325" s="476"/>
      <c r="AF325" s="476"/>
      <c r="AG325" s="489"/>
      <c r="AH325" s="476"/>
      <c r="AI325" s="476"/>
      <c r="AJ325" s="484"/>
      <c r="AK325" s="476"/>
      <c r="AL325" s="654"/>
      <c r="AM325" s="476"/>
      <c r="AN325" s="476"/>
      <c r="AO325" s="476"/>
    </row>
    <row r="326" spans="1:41" ht="19.899999999999999" customHeight="1">
      <c r="A326" s="709"/>
      <c r="B326" s="476"/>
      <c r="C326" s="476"/>
      <c r="D326" s="476"/>
      <c r="E326" s="476"/>
      <c r="F326" s="476"/>
      <c r="G326" s="476"/>
      <c r="H326" s="476"/>
      <c r="I326" s="476"/>
      <c r="J326" s="476"/>
      <c r="K326" s="476"/>
      <c r="M326" s="655"/>
      <c r="N326" s="599"/>
      <c r="O326" s="599"/>
      <c r="P326" s="599"/>
      <c r="Q326" s="599"/>
      <c r="R326" s="599"/>
      <c r="S326" s="656"/>
      <c r="T326" s="609"/>
      <c r="U326" s="613" t="s">
        <v>379</v>
      </c>
      <c r="V326" s="518" t="e">
        <f>+AD308</f>
        <v>#REF!</v>
      </c>
      <c r="W326" s="653">
        <f>+AD312</f>
        <v>0</v>
      </c>
      <c r="X326" s="610" t="e">
        <f>+(AD310+AD311)*2</f>
        <v>#REF!</v>
      </c>
      <c r="Y326" s="615" t="e">
        <f t="shared" si="16"/>
        <v>#REF!</v>
      </c>
      <c r="Z326" s="43"/>
      <c r="AA326" s="21"/>
      <c r="AB326" s="648" t="s">
        <v>380</v>
      </c>
      <c r="AC326" s="507"/>
      <c r="AD326" s="476"/>
      <c r="AE326" s="476"/>
      <c r="AF326" s="476"/>
      <c r="AG326" s="489"/>
      <c r="AH326" s="476"/>
      <c r="AI326" s="476"/>
      <c r="AJ326" s="484"/>
      <c r="AK326" s="476"/>
      <c r="AL326" s="654"/>
      <c r="AM326" s="476"/>
      <c r="AN326" s="476"/>
      <c r="AO326" s="476"/>
    </row>
    <row r="327" spans="1:41" ht="19.899999999999999" customHeight="1" thickBot="1">
      <c r="A327" s="709"/>
      <c r="B327" s="476"/>
      <c r="C327" s="476"/>
      <c r="D327" s="476"/>
      <c r="E327" s="476"/>
      <c r="F327" s="476"/>
      <c r="G327" s="476"/>
      <c r="H327" s="476"/>
      <c r="I327" s="476"/>
      <c r="J327" s="476"/>
      <c r="K327" s="476"/>
      <c r="M327" s="657" t="s">
        <v>381</v>
      </c>
      <c r="N327" s="21"/>
      <c r="O327" s="21"/>
      <c r="P327" s="21"/>
      <c r="Q327" s="21"/>
      <c r="R327" s="21"/>
      <c r="S327" s="648"/>
      <c r="T327" s="609"/>
      <c r="U327" s="613">
        <v>5</v>
      </c>
      <c r="V327" s="610" t="e">
        <f>+U308</f>
        <v>#REF!</v>
      </c>
      <c r="W327" s="614">
        <f>+U312</f>
        <v>5.35</v>
      </c>
      <c r="X327" s="610" t="e">
        <f>+U310*4</f>
        <v>#REF!</v>
      </c>
      <c r="Y327" s="615" t="e">
        <f t="shared" si="16"/>
        <v>#REF!</v>
      </c>
      <c r="Z327" s="21"/>
      <c r="AA327" s="476"/>
      <c r="AB327" s="638" t="s">
        <v>382</v>
      </c>
      <c r="AC327" s="638"/>
      <c r="AD327" s="476"/>
      <c r="AE327" s="476"/>
      <c r="AF327" s="476"/>
      <c r="AG327" s="489"/>
      <c r="AH327" s="476"/>
      <c r="AI327" s="476"/>
      <c r="AJ327" s="476"/>
      <c r="AK327" s="476"/>
      <c r="AL327" s="476"/>
      <c r="AM327" s="476"/>
      <c r="AN327" s="476"/>
      <c r="AO327" s="476"/>
    </row>
    <row r="328" spans="1:41" ht="19.899999999999999" customHeight="1" thickBot="1">
      <c r="A328" s="709"/>
      <c r="B328" s="476"/>
      <c r="C328" s="476"/>
      <c r="D328" s="476"/>
      <c r="E328" s="476"/>
      <c r="F328" s="476"/>
      <c r="G328" s="476"/>
      <c r="H328" s="476"/>
      <c r="I328" s="476"/>
      <c r="J328" s="476"/>
      <c r="K328" s="476"/>
      <c r="M328" s="658" t="s">
        <v>57</v>
      </c>
      <c r="N328" s="659" t="s">
        <v>352</v>
      </c>
      <c r="O328" s="659" t="s">
        <v>383</v>
      </c>
      <c r="P328" s="659" t="s">
        <v>384</v>
      </c>
      <c r="Q328" s="660" t="s">
        <v>354</v>
      </c>
      <c r="R328" s="661" t="s">
        <v>385</v>
      </c>
      <c r="S328" s="648"/>
      <c r="T328" s="609"/>
      <c r="U328" s="613">
        <v>6</v>
      </c>
      <c r="V328" s="634" t="e">
        <f>+V308</f>
        <v>#REF!</v>
      </c>
      <c r="W328" s="635">
        <f>+V312</f>
        <v>9.85</v>
      </c>
      <c r="X328" s="636" t="e">
        <f>+(V311+V310)*2+S303</f>
        <v>#REF!</v>
      </c>
      <c r="Y328" s="637" t="e">
        <f t="shared" si="16"/>
        <v>#REF!</v>
      </c>
      <c r="Z328" s="20" t="e">
        <f>+Y328+Y329</f>
        <v>#REF!</v>
      </c>
      <c r="AA328" s="21" t="e">
        <f>+X328+X329</f>
        <v>#REF!</v>
      </c>
      <c r="AB328" s="638" t="s">
        <v>386</v>
      </c>
      <c r="AC328" s="638"/>
      <c r="AD328" s="476"/>
      <c r="AE328" s="476"/>
      <c r="AF328" s="476"/>
      <c r="AG328" s="489"/>
      <c r="AH328" s="476"/>
      <c r="AI328" s="476"/>
      <c r="AJ328" s="476"/>
      <c r="AK328" s="476"/>
      <c r="AL328" s="476"/>
      <c r="AM328" s="476"/>
      <c r="AN328" s="476"/>
      <c r="AO328" s="476"/>
    </row>
    <row r="329" spans="1:41" ht="19.899999999999999" customHeight="1" thickBot="1">
      <c r="A329" s="709"/>
      <c r="B329" s="476"/>
      <c r="C329" s="476"/>
      <c r="D329" s="476"/>
      <c r="E329" s="476"/>
      <c r="F329" s="476"/>
      <c r="G329" s="476"/>
      <c r="H329" s="476"/>
      <c r="I329" s="476"/>
      <c r="J329" s="476"/>
      <c r="K329" s="476"/>
      <c r="M329" s="603">
        <v>25</v>
      </c>
      <c r="N329" s="662">
        <f t="shared" ref="N329:N337" si="17">+SUMIF($V$316:$V$341,M329,$Y$316:$Y$341)</f>
        <v>0</v>
      </c>
      <c r="O329" s="663">
        <f>+M329^2*3.14/1000000*7850/4</f>
        <v>3.8514062499999997</v>
      </c>
      <c r="P329" s="664">
        <f t="shared" ref="P329:P337" si="18">+ROUND(N329*O329,2)</f>
        <v>0</v>
      </c>
      <c r="Q329" s="665" t="e">
        <f>+SUM(P329:P337)</f>
        <v>#REF!</v>
      </c>
      <c r="R329" s="500" t="e">
        <f>+Q329/S320</f>
        <v>#REF!</v>
      </c>
      <c r="S329" s="21"/>
      <c r="T329" s="609"/>
      <c r="U329" s="613">
        <v>6</v>
      </c>
      <c r="V329" s="643" t="e">
        <f>+W308</f>
        <v>#REF!</v>
      </c>
      <c r="W329" s="644">
        <f>+W312</f>
        <v>9.85</v>
      </c>
      <c r="X329" s="643" t="e">
        <f>+(W311+W310)*2</f>
        <v>#REF!</v>
      </c>
      <c r="Y329" s="645" t="e">
        <f t="shared" si="16"/>
        <v>#REF!</v>
      </c>
      <c r="Z329" s="20"/>
      <c r="AA329" s="21"/>
      <c r="AB329" s="638" t="s">
        <v>387</v>
      </c>
      <c r="AC329" s="638"/>
      <c r="AD329" s="476"/>
      <c r="AE329" s="476"/>
      <c r="AF329" s="476"/>
      <c r="AG329" s="489"/>
      <c r="AH329" s="476"/>
      <c r="AI329" s="476"/>
      <c r="AJ329" s="476"/>
      <c r="AK329" s="476"/>
      <c r="AL329" s="476"/>
      <c r="AM329" s="476"/>
      <c r="AN329" s="476"/>
      <c r="AO329" s="476"/>
    </row>
    <row r="330" spans="1:41" ht="19.899999999999999" customHeight="1">
      <c r="A330" s="709"/>
      <c r="B330" s="476"/>
      <c r="C330" s="476"/>
      <c r="D330" s="476"/>
      <c r="E330" s="476"/>
      <c r="F330" s="476"/>
      <c r="G330" s="476"/>
      <c r="H330" s="476"/>
      <c r="I330" s="476"/>
      <c r="J330" s="476"/>
      <c r="K330" s="476"/>
      <c r="M330" s="550">
        <v>22</v>
      </c>
      <c r="N330" s="666">
        <f t="shared" si="17"/>
        <v>0</v>
      </c>
      <c r="O330" s="667">
        <f>+M330^2*3.14/1000000*7850/4</f>
        <v>2.982529</v>
      </c>
      <c r="P330" s="668">
        <f t="shared" si="18"/>
        <v>0</v>
      </c>
      <c r="Q330" s="519"/>
      <c r="R330" s="21"/>
      <c r="S330" s="21"/>
      <c r="T330" s="609"/>
      <c r="U330" s="613" t="s">
        <v>388</v>
      </c>
      <c r="V330" s="476" t="e">
        <f>+AA308</f>
        <v>#REF!</v>
      </c>
      <c r="W330" s="669">
        <f>+AA312</f>
        <v>0</v>
      </c>
      <c r="X330" s="476" t="e">
        <f>+(AA310+AA311)*2</f>
        <v>#REF!</v>
      </c>
      <c r="Y330" s="615" t="e">
        <f t="shared" si="16"/>
        <v>#REF!</v>
      </c>
      <c r="Z330" s="20" t="e">
        <f>+Y330+Y331</f>
        <v>#REF!</v>
      </c>
      <c r="AA330" s="21" t="e">
        <f>+X330+X331</f>
        <v>#REF!</v>
      </c>
      <c r="AB330" s="648" t="s">
        <v>372</v>
      </c>
      <c r="AC330" s="638"/>
      <c r="AD330" s="476"/>
      <c r="AE330" s="476"/>
      <c r="AF330" s="476"/>
      <c r="AG330" s="489"/>
      <c r="AH330" s="476"/>
      <c r="AI330" s="476"/>
      <c r="AJ330" s="476"/>
      <c r="AK330" s="476"/>
      <c r="AL330" s="476"/>
      <c r="AM330" s="476"/>
      <c r="AN330" s="476"/>
      <c r="AO330" s="476"/>
    </row>
    <row r="331" spans="1:41" ht="19.899999999999999" customHeight="1">
      <c r="A331" s="709"/>
      <c r="B331" s="476"/>
      <c r="C331" s="476"/>
      <c r="D331" s="476"/>
      <c r="E331" s="476"/>
      <c r="F331" s="476"/>
      <c r="G331" s="476"/>
      <c r="H331" s="476"/>
      <c r="I331" s="476"/>
      <c r="J331" s="476"/>
      <c r="K331" s="476"/>
      <c r="M331" s="550">
        <v>20</v>
      </c>
      <c r="N331" s="666">
        <f t="shared" si="17"/>
        <v>0</v>
      </c>
      <c r="O331" s="667">
        <f t="shared" ref="O331:O337" si="19">+M331^2*3.14/1000000*7850/4</f>
        <v>2.4649000000000001</v>
      </c>
      <c r="P331" s="668">
        <f t="shared" si="18"/>
        <v>0</v>
      </c>
      <c r="Q331" s="519"/>
      <c r="R331" s="670"/>
      <c r="S331" s="21"/>
      <c r="T331" s="609"/>
      <c r="U331" s="613" t="s">
        <v>389</v>
      </c>
      <c r="V331" s="518" t="e">
        <f>+AB308</f>
        <v>#REF!</v>
      </c>
      <c r="W331" s="653">
        <f>+AB312</f>
        <v>0</v>
      </c>
      <c r="X331" s="610" t="e">
        <f>+(AB310+AB311)*2</f>
        <v>#REF!</v>
      </c>
      <c r="Y331" s="615" t="e">
        <f t="shared" si="16"/>
        <v>#REF!</v>
      </c>
      <c r="Z331" s="22"/>
      <c r="AA331" s="21"/>
      <c r="AB331" s="648" t="s">
        <v>375</v>
      </c>
      <c r="AC331" s="476"/>
      <c r="AD331" s="476"/>
      <c r="AE331" s="476"/>
      <c r="AF331" s="476"/>
      <c r="AG331" s="489"/>
      <c r="AH331" s="476"/>
      <c r="AI331" s="476"/>
      <c r="AJ331" s="476"/>
      <c r="AK331" s="476"/>
      <c r="AL331" s="476"/>
      <c r="AM331" s="476"/>
      <c r="AN331" s="476"/>
      <c r="AO331" s="476"/>
    </row>
    <row r="332" spans="1:41" ht="19.899999999999999" customHeight="1">
      <c r="A332" s="709"/>
      <c r="B332" s="476"/>
      <c r="C332" s="476"/>
      <c r="D332" s="476"/>
      <c r="E332" s="476"/>
      <c r="F332" s="476"/>
      <c r="G332" s="476"/>
      <c r="H332" s="476"/>
      <c r="I332" s="476"/>
      <c r="J332" s="476"/>
      <c r="K332" s="476"/>
      <c r="M332" s="671">
        <v>18</v>
      </c>
      <c r="N332" s="666">
        <f t="shared" si="17"/>
        <v>0</v>
      </c>
      <c r="O332" s="667">
        <f t="shared" si="19"/>
        <v>1.9965689999999998</v>
      </c>
      <c r="P332" s="668">
        <f t="shared" si="18"/>
        <v>0</v>
      </c>
      <c r="Q332" s="563"/>
      <c r="R332" s="21"/>
      <c r="S332" s="21"/>
      <c r="T332" s="609"/>
      <c r="U332" s="613" t="s">
        <v>390</v>
      </c>
      <c r="V332" s="518" t="e">
        <f>+AE308</f>
        <v>#REF!</v>
      </c>
      <c r="W332" s="653">
        <f>+AE312</f>
        <v>0</v>
      </c>
      <c r="X332" s="610" t="e">
        <f>+(AE310+AE311)*2</f>
        <v>#REF!</v>
      </c>
      <c r="Y332" s="615" t="e">
        <f t="shared" si="16"/>
        <v>#REF!</v>
      </c>
      <c r="Z332" s="476"/>
      <c r="AA332" s="476"/>
      <c r="AB332" s="648" t="s">
        <v>378</v>
      </c>
      <c r="AC332" s="638"/>
      <c r="AD332" s="476"/>
      <c r="AE332" s="476"/>
      <c r="AF332" s="476"/>
      <c r="AG332" s="489"/>
      <c r="AH332" s="476"/>
      <c r="AI332" s="476"/>
      <c r="AJ332" s="476"/>
      <c r="AK332" s="476"/>
      <c r="AL332" s="476"/>
      <c r="AM332" s="476"/>
      <c r="AN332" s="476"/>
      <c r="AO332" s="476"/>
    </row>
    <row r="333" spans="1:41" ht="19.899999999999999" customHeight="1">
      <c r="A333" s="709"/>
      <c r="B333" s="476"/>
      <c r="C333" s="476"/>
      <c r="D333" s="476"/>
      <c r="E333" s="476"/>
      <c r="F333" s="476"/>
      <c r="G333" s="476"/>
      <c r="H333" s="476"/>
      <c r="I333" s="476"/>
      <c r="J333" s="476"/>
      <c r="K333" s="476"/>
      <c r="M333" s="550">
        <v>16</v>
      </c>
      <c r="N333" s="666">
        <f t="shared" si="17"/>
        <v>0</v>
      </c>
      <c r="O333" s="667">
        <f t="shared" si="19"/>
        <v>1.577536</v>
      </c>
      <c r="P333" s="668">
        <f t="shared" si="18"/>
        <v>0</v>
      </c>
      <c r="Q333" s="519"/>
      <c r="R333" s="670"/>
      <c r="S333" s="21"/>
      <c r="T333" s="609"/>
      <c r="U333" s="613" t="s">
        <v>421</v>
      </c>
      <c r="V333" s="518" t="e">
        <f>+AF308</f>
        <v>#REF!</v>
      </c>
      <c r="W333" s="653">
        <f>+AF312</f>
        <v>0</v>
      </c>
      <c r="X333" s="610" t="e">
        <f>+(AF310+AF311)*2</f>
        <v>#REF!</v>
      </c>
      <c r="Y333" s="615" t="e">
        <f t="shared" si="16"/>
        <v>#REF!</v>
      </c>
      <c r="Z333" s="476"/>
      <c r="AA333" s="476"/>
      <c r="AB333" s="648" t="s">
        <v>380</v>
      </c>
      <c r="AC333" s="638"/>
      <c r="AD333" s="476"/>
      <c r="AE333" s="476"/>
      <c r="AF333" s="476"/>
      <c r="AG333" s="489"/>
      <c r="AH333" s="476"/>
      <c r="AI333" s="476"/>
      <c r="AJ333" s="476"/>
      <c r="AK333" s="476"/>
      <c r="AL333" s="476"/>
      <c r="AM333" s="476"/>
      <c r="AN333" s="476"/>
      <c r="AO333" s="476"/>
    </row>
    <row r="334" spans="1:41" ht="19.899999999999999" customHeight="1">
      <c r="A334" s="709"/>
      <c r="B334" s="476"/>
      <c r="C334" s="476"/>
      <c r="D334" s="476"/>
      <c r="E334" s="476"/>
      <c r="F334" s="476"/>
      <c r="G334" s="476"/>
      <c r="H334" s="476"/>
      <c r="I334" s="476"/>
      <c r="J334" s="476"/>
      <c r="K334" s="476"/>
      <c r="M334" s="671">
        <v>14</v>
      </c>
      <c r="N334" s="666">
        <f t="shared" si="17"/>
        <v>0</v>
      </c>
      <c r="O334" s="667">
        <f t="shared" si="19"/>
        <v>1.2078010000000001</v>
      </c>
      <c r="P334" s="668">
        <f t="shared" si="18"/>
        <v>0</v>
      </c>
      <c r="Q334" s="563"/>
      <c r="R334" s="670"/>
      <c r="S334" s="21"/>
      <c r="T334" s="609"/>
      <c r="U334" s="613">
        <v>7</v>
      </c>
      <c r="V334" s="518" t="e">
        <f>+X308</f>
        <v>#REF!</v>
      </c>
      <c r="W334" s="614">
        <f>+X312</f>
        <v>4.3499999999999996</v>
      </c>
      <c r="X334" s="610" t="e">
        <f>+X310*4</f>
        <v>#REF!</v>
      </c>
      <c r="Y334" s="615" t="e">
        <f t="shared" si="16"/>
        <v>#REF!</v>
      </c>
      <c r="Z334" s="21"/>
      <c r="AA334" s="21"/>
      <c r="AB334" s="638" t="s">
        <v>391</v>
      </c>
      <c r="AC334" s="638"/>
      <c r="AD334" s="476"/>
      <c r="AE334" s="476"/>
      <c r="AF334" s="476"/>
      <c r="AG334" s="489"/>
      <c r="AH334" s="476"/>
      <c r="AI334" s="476"/>
      <c r="AJ334" s="476"/>
      <c r="AK334" s="476"/>
      <c r="AL334" s="476"/>
      <c r="AM334" s="476"/>
      <c r="AN334" s="476"/>
      <c r="AO334" s="476"/>
    </row>
    <row r="335" spans="1:41" ht="19.899999999999999" customHeight="1">
      <c r="A335" s="709"/>
      <c r="B335" s="476"/>
      <c r="C335" s="476"/>
      <c r="D335" s="476"/>
      <c r="E335" s="476"/>
      <c r="F335" s="476"/>
      <c r="G335" s="476"/>
      <c r="H335" s="476"/>
      <c r="I335" s="476"/>
      <c r="J335" s="476"/>
      <c r="K335" s="476"/>
      <c r="M335" s="671">
        <v>12</v>
      </c>
      <c r="N335" s="666">
        <f t="shared" si="17"/>
        <v>0</v>
      </c>
      <c r="O335" s="667">
        <f t="shared" si="19"/>
        <v>0.88736400000000004</v>
      </c>
      <c r="P335" s="668">
        <f t="shared" si="18"/>
        <v>0</v>
      </c>
      <c r="Q335" s="563"/>
      <c r="R335" s="476"/>
      <c r="S335" s="21"/>
      <c r="T335" s="609"/>
      <c r="U335" s="613">
        <v>8</v>
      </c>
      <c r="V335" s="518">
        <v>10</v>
      </c>
      <c r="W335" s="614" t="e">
        <f>+O298-2*O304-2*S308/1000+0.1</f>
        <v>#REF!</v>
      </c>
      <c r="X335" s="610" t="e">
        <f>+ROUND(S310/2-0.5,0)*ROUND(V310/2-0.5,0)*4+ROUND(S310/2-0.5,0)*ROUND(W310/2-0.5,0)*4+ROUND(T310/2-0.5,0)*ROUND(V310/2-0.5,0)*4+ROUND(T310/2-0.5,0)*ROUND(W310/2-0.5,0)*4+ROUND(U310/2-0.5,0)*(ROUND(V310/2-0.5,0)+ROUND(W310/2-0.5,0))*2+ROUND(X310/2-0.5,0)*(ROUND(S310/2-0.5,0)+ROUND(T310/2-0.5,0))*2</f>
        <v>#REF!</v>
      </c>
      <c r="Y335" s="615" t="e">
        <f t="shared" si="16"/>
        <v>#REF!</v>
      </c>
      <c r="Z335" s="21" t="e">
        <f>+O298-2*O304-2*S308/1000</f>
        <v>#REF!</v>
      </c>
      <c r="AA335" s="21"/>
      <c r="AB335" s="638" t="s">
        <v>392</v>
      </c>
      <c r="AC335" s="638"/>
      <c r="AD335" s="476"/>
      <c r="AE335" s="476"/>
      <c r="AF335" s="476"/>
      <c r="AG335" s="489"/>
      <c r="AH335" s="476"/>
      <c r="AI335" s="476"/>
      <c r="AJ335" s="476"/>
      <c r="AK335" s="476"/>
      <c r="AL335" s="476"/>
      <c r="AM335" s="476"/>
      <c r="AN335" s="476"/>
      <c r="AO335" s="476"/>
    </row>
    <row r="336" spans="1:41" ht="19.899999999999999" customHeight="1">
      <c r="A336" s="709"/>
      <c r="B336" s="476"/>
      <c r="C336" s="476"/>
      <c r="D336" s="476"/>
      <c r="E336" s="476"/>
      <c r="F336" s="476"/>
      <c r="G336" s="476"/>
      <c r="H336" s="476"/>
      <c r="I336" s="476"/>
      <c r="J336" s="476"/>
      <c r="K336" s="476"/>
      <c r="M336" s="671">
        <v>10</v>
      </c>
      <c r="N336" s="666" t="e">
        <f t="shared" si="17"/>
        <v>#REF!</v>
      </c>
      <c r="O336" s="667">
        <f t="shared" si="19"/>
        <v>0.61622500000000002</v>
      </c>
      <c r="P336" s="668" t="e">
        <f t="shared" si="18"/>
        <v>#REF!</v>
      </c>
      <c r="Q336" s="563"/>
      <c r="R336" s="43"/>
      <c r="S336" s="21"/>
      <c r="T336" s="609"/>
      <c r="U336" s="613">
        <v>9</v>
      </c>
      <c r="V336" s="672">
        <v>8</v>
      </c>
      <c r="W336" s="614">
        <f>+(O302-2*O304+0.02)*2+(O299-2*O304+0.02)*2+0.06*2</f>
        <v>2.6</v>
      </c>
      <c r="X336" s="673">
        <f>+S304+4</f>
        <v>140</v>
      </c>
      <c r="Y336" s="615">
        <f t="shared" si="16"/>
        <v>364</v>
      </c>
      <c r="Z336" s="21">
        <f>+(O302-2*O304+0.02)</f>
        <v>0.37</v>
      </c>
      <c r="AA336" s="21">
        <f>+(O299-2*O304+0.02)</f>
        <v>0.87</v>
      </c>
      <c r="AB336" s="638" t="s">
        <v>393</v>
      </c>
      <c r="AC336" s="638"/>
      <c r="AD336" s="476"/>
      <c r="AE336" s="476"/>
      <c r="AF336" s="476"/>
      <c r="AG336" s="489"/>
      <c r="AH336" s="476"/>
      <c r="AI336" s="476"/>
      <c r="AJ336" s="476"/>
      <c r="AK336" s="476"/>
      <c r="AL336" s="476"/>
      <c r="AM336" s="476"/>
      <c r="AN336" s="476"/>
      <c r="AO336" s="476"/>
    </row>
    <row r="337" spans="1:41" ht="19.899999999999999" customHeight="1" thickBot="1">
      <c r="A337" s="709"/>
      <c r="B337" s="476"/>
      <c r="C337" s="476"/>
      <c r="D337" s="476"/>
      <c r="E337" s="476"/>
      <c r="F337" s="476"/>
      <c r="G337" s="476"/>
      <c r="H337" s="476"/>
      <c r="I337" s="476"/>
      <c r="J337" s="476"/>
      <c r="K337" s="476"/>
      <c r="M337" s="674">
        <v>8</v>
      </c>
      <c r="N337" s="675">
        <f t="shared" si="17"/>
        <v>659.84</v>
      </c>
      <c r="O337" s="676">
        <f t="shared" si="19"/>
        <v>0.39438400000000001</v>
      </c>
      <c r="P337" s="677">
        <f t="shared" si="18"/>
        <v>260.23</v>
      </c>
      <c r="Q337" s="678"/>
      <c r="R337" s="476"/>
      <c r="S337" s="21"/>
      <c r="T337" s="609"/>
      <c r="U337" s="613" t="s">
        <v>394</v>
      </c>
      <c r="V337" s="672">
        <v>8</v>
      </c>
      <c r="W337" s="614">
        <f>+AA337*2+Z337*2+0.12</f>
        <v>1.8599999999999999</v>
      </c>
      <c r="X337" s="673">
        <v>0</v>
      </c>
      <c r="Y337" s="615">
        <f t="shared" si="16"/>
        <v>0</v>
      </c>
      <c r="Z337" s="679">
        <v>0</v>
      </c>
      <c r="AA337" s="21">
        <f>+(O299-2*O304+0.02)</f>
        <v>0.87</v>
      </c>
      <c r="AB337" s="638" t="s">
        <v>395</v>
      </c>
      <c r="AC337" s="638"/>
      <c r="AD337" s="476"/>
      <c r="AE337" s="476"/>
      <c r="AF337" s="476"/>
      <c r="AG337" s="489"/>
      <c r="AH337" s="476"/>
      <c r="AI337" s="476"/>
      <c r="AJ337" s="476"/>
      <c r="AK337" s="476"/>
      <c r="AL337" s="476"/>
      <c r="AM337" s="476"/>
      <c r="AN337" s="476"/>
      <c r="AO337" s="476"/>
    </row>
    <row r="338" spans="1:41" ht="19.899999999999999" customHeight="1" thickBot="1">
      <c r="A338" s="709"/>
      <c r="B338" s="476"/>
      <c r="C338" s="476"/>
      <c r="D338" s="476"/>
      <c r="E338" s="476"/>
      <c r="F338" s="476"/>
      <c r="G338" s="476"/>
      <c r="H338" s="476"/>
      <c r="I338" s="476"/>
      <c r="J338" s="476"/>
      <c r="K338" s="476"/>
      <c r="M338" s="22"/>
      <c r="N338" s="680"/>
      <c r="O338" s="680"/>
      <c r="P338" s="501"/>
      <c r="Q338" s="681"/>
      <c r="R338" s="476"/>
      <c r="S338" s="21"/>
      <c r="T338" s="609"/>
      <c r="U338" s="613" t="s">
        <v>396</v>
      </c>
      <c r="V338" s="672">
        <v>8</v>
      </c>
      <c r="W338" s="614">
        <f>+Z338+0.12</f>
        <v>0.12</v>
      </c>
      <c r="X338" s="673">
        <f>+X337*2</f>
        <v>0</v>
      </c>
      <c r="Y338" s="615">
        <f t="shared" si="16"/>
        <v>0</v>
      </c>
      <c r="Z338" s="679">
        <v>0</v>
      </c>
      <c r="AA338" s="21"/>
      <c r="AB338" s="638" t="s">
        <v>397</v>
      </c>
      <c r="AC338" s="638"/>
      <c r="AD338" s="476"/>
      <c r="AE338" s="476"/>
      <c r="AF338" s="476"/>
      <c r="AG338" s="489"/>
      <c r="AH338" s="476"/>
      <c r="AI338" s="476"/>
      <c r="AJ338" s="476"/>
      <c r="AK338" s="476"/>
      <c r="AL338" s="476"/>
      <c r="AM338" s="476"/>
      <c r="AN338" s="476"/>
      <c r="AO338" s="476"/>
    </row>
    <row r="339" spans="1:41" ht="19.899999999999999" customHeight="1">
      <c r="A339" s="709"/>
      <c r="B339" s="476"/>
      <c r="C339" s="476"/>
      <c r="D339" s="476"/>
      <c r="E339" s="476"/>
      <c r="F339" s="476"/>
      <c r="G339" s="476"/>
      <c r="H339" s="476"/>
      <c r="I339" s="476"/>
      <c r="J339" s="476"/>
      <c r="K339" s="476"/>
      <c r="M339" s="483"/>
      <c r="N339" s="476"/>
      <c r="O339" s="476"/>
      <c r="P339" s="682"/>
      <c r="Q339" s="476"/>
      <c r="R339" s="476"/>
      <c r="S339" s="21"/>
      <c r="T339" s="609"/>
      <c r="U339" s="613">
        <v>10</v>
      </c>
      <c r="V339" s="683">
        <v>8</v>
      </c>
      <c r="W339" s="614">
        <f>+(O301-2*O304+0.02)*4+0.06*2</f>
        <v>2.4</v>
      </c>
      <c r="X339" s="684">
        <f>+(ROUND((O300-0.175)/0.25-0.5,0)+2)*4</f>
        <v>60</v>
      </c>
      <c r="Y339" s="615">
        <f t="shared" si="16"/>
        <v>144</v>
      </c>
      <c r="Z339" s="21">
        <f>+O301-2*O304+0.02</f>
        <v>0.56999999999999995</v>
      </c>
      <c r="AA339" s="21"/>
      <c r="AB339" s="476"/>
      <c r="AC339" s="476"/>
      <c r="AD339" s="476"/>
      <c r="AE339" s="476"/>
      <c r="AF339" s="476"/>
      <c r="AG339" s="489"/>
      <c r="AH339" s="476"/>
      <c r="AI339" s="476"/>
      <c r="AJ339" s="476"/>
      <c r="AK339" s="476"/>
      <c r="AL339" s="476"/>
      <c r="AM339" s="476"/>
      <c r="AN339" s="476"/>
      <c r="AO339" s="476"/>
    </row>
    <row r="340" spans="1:41" ht="19.899999999999999" customHeight="1">
      <c r="A340" s="709"/>
      <c r="B340" s="476"/>
      <c r="C340" s="476"/>
      <c r="D340" s="476"/>
      <c r="E340" s="476"/>
      <c r="F340" s="476"/>
      <c r="G340" s="476"/>
      <c r="H340" s="476"/>
      <c r="I340" s="476"/>
      <c r="J340" s="476"/>
      <c r="K340" s="476"/>
      <c r="M340" s="483"/>
      <c r="N340" s="476"/>
      <c r="O340" s="476"/>
      <c r="P340" s="682"/>
      <c r="Q340" s="476"/>
      <c r="R340" s="476"/>
      <c r="S340" s="476"/>
      <c r="T340" s="609"/>
      <c r="U340" s="613">
        <v>11</v>
      </c>
      <c r="V340" s="683">
        <v>8</v>
      </c>
      <c r="W340" s="614">
        <f>Z340*4+AA340*4+0.06*2</f>
        <v>2.92</v>
      </c>
      <c r="X340" s="610">
        <f>+X339-4*2</f>
        <v>52</v>
      </c>
      <c r="Y340" s="615">
        <f t="shared" si="16"/>
        <v>151.84</v>
      </c>
      <c r="Z340" s="685">
        <v>0.7</v>
      </c>
      <c r="AA340" s="685">
        <v>0</v>
      </c>
      <c r="AB340" s="476"/>
      <c r="AC340" s="476"/>
      <c r="AD340" s="476"/>
      <c r="AE340" s="476"/>
      <c r="AF340" s="476"/>
      <c r="AG340" s="489"/>
      <c r="AH340" s="476"/>
      <c r="AI340" s="476"/>
      <c r="AJ340" s="476"/>
      <c r="AK340" s="476"/>
      <c r="AL340" s="476"/>
      <c r="AM340" s="476"/>
      <c r="AN340" s="476"/>
      <c r="AO340" s="476"/>
    </row>
    <row r="341" spans="1:41" ht="19.899999999999999" customHeight="1" thickBot="1">
      <c r="A341" s="709"/>
      <c r="B341" s="476"/>
      <c r="C341" s="476"/>
      <c r="D341" s="476"/>
      <c r="E341" s="476"/>
      <c r="F341" s="476"/>
      <c r="G341" s="476"/>
      <c r="H341" s="476"/>
      <c r="I341" s="476"/>
      <c r="J341" s="476"/>
      <c r="K341" s="476"/>
      <c r="M341" s="483"/>
      <c r="N341" s="476"/>
      <c r="O341" s="476"/>
      <c r="P341" s="476"/>
      <c r="Q341" s="476"/>
      <c r="R341" s="476"/>
      <c r="S341" s="476"/>
      <c r="T341" s="686"/>
      <c r="U341" s="687">
        <v>12</v>
      </c>
      <c r="V341" s="688">
        <v>10</v>
      </c>
      <c r="W341" s="689">
        <f>+O301+0.04</f>
        <v>0.74</v>
      </c>
      <c r="X341" s="690" t="e">
        <f>+R305*4</f>
        <v>#VALUE!</v>
      </c>
      <c r="Y341" s="691" t="e">
        <f t="shared" si="16"/>
        <v>#VALUE!</v>
      </c>
      <c r="Z341" s="608"/>
      <c r="AA341" s="608"/>
      <c r="AB341" s="21"/>
      <c r="AC341" s="21"/>
      <c r="AD341" s="476"/>
      <c r="AE341" s="476"/>
      <c r="AF341" s="476"/>
      <c r="AG341" s="489"/>
      <c r="AH341" s="476"/>
      <c r="AI341" s="476"/>
      <c r="AJ341" s="476"/>
      <c r="AK341" s="476"/>
      <c r="AL341" s="476"/>
      <c r="AM341" s="476"/>
      <c r="AN341" s="476"/>
      <c r="AO341" s="476"/>
    </row>
    <row r="342" spans="1:41" ht="19.899999999999999" customHeight="1">
      <c r="A342" s="709"/>
      <c r="B342" s="476"/>
      <c r="C342" s="476"/>
      <c r="D342" s="476"/>
      <c r="E342" s="476"/>
      <c r="F342" s="476"/>
      <c r="G342" s="476"/>
      <c r="H342" s="476"/>
      <c r="I342" s="476"/>
      <c r="J342" s="476"/>
      <c r="K342" s="476"/>
      <c r="M342" s="483"/>
      <c r="N342" s="476"/>
      <c r="O342" s="476"/>
      <c r="P342" s="476"/>
      <c r="Q342" s="476"/>
      <c r="R342" s="476"/>
      <c r="S342" s="476"/>
      <c r="T342" s="599"/>
      <c r="U342" s="476"/>
      <c r="V342" s="476"/>
      <c r="W342" s="476"/>
      <c r="X342" s="476"/>
      <c r="Y342" s="476"/>
      <c r="Z342" s="476"/>
      <c r="AA342" s="476"/>
      <c r="AB342" s="476"/>
      <c r="AC342" s="476"/>
      <c r="AD342" s="476"/>
      <c r="AE342" s="476"/>
      <c r="AF342" s="476"/>
      <c r="AG342" s="489"/>
      <c r="AH342" s="476"/>
      <c r="AI342" s="476"/>
      <c r="AJ342" s="476"/>
      <c r="AK342" s="476"/>
      <c r="AL342" s="476"/>
      <c r="AM342" s="476"/>
      <c r="AN342" s="476"/>
      <c r="AO342" s="476"/>
    </row>
    <row r="343" spans="1:41" ht="19.899999999999999" customHeight="1">
      <c r="A343" s="709"/>
      <c r="B343" s="476"/>
      <c r="C343" s="476"/>
      <c r="D343" s="476"/>
      <c r="E343" s="476"/>
      <c r="F343" s="476"/>
      <c r="G343" s="476"/>
      <c r="H343" s="476"/>
      <c r="I343" s="476"/>
      <c r="J343" s="476"/>
      <c r="K343" s="476"/>
      <c r="M343" s="22"/>
      <c r="N343" s="608"/>
      <c r="O343" s="680"/>
      <c r="P343" s="501"/>
      <c r="Q343" s="21"/>
      <c r="R343" s="476"/>
      <c r="S343" s="21"/>
      <c r="T343" s="599"/>
      <c r="U343" s="476"/>
      <c r="V343" s="476"/>
      <c r="W343" s="476"/>
      <c r="X343" s="476"/>
      <c r="Y343" s="476"/>
      <c r="Z343" s="476"/>
      <c r="AA343" s="476"/>
      <c r="AB343" s="476"/>
      <c r="AC343" s="476"/>
      <c r="AD343" s="21"/>
      <c r="AE343" s="21"/>
      <c r="AF343" s="476"/>
      <c r="AG343" s="489"/>
      <c r="AH343" s="476"/>
      <c r="AI343" s="476"/>
      <c r="AJ343" s="476"/>
      <c r="AK343" s="476"/>
      <c r="AL343" s="476"/>
      <c r="AM343" s="476"/>
      <c r="AN343" s="476"/>
      <c r="AO343" s="476"/>
    </row>
    <row r="344" spans="1:41" ht="19.899999999999999" customHeight="1">
      <c r="A344" s="709"/>
      <c r="B344" s="476"/>
      <c r="C344" s="476"/>
      <c r="D344" s="476"/>
      <c r="E344" s="476"/>
      <c r="F344" s="476"/>
      <c r="G344" s="476"/>
      <c r="H344" s="476"/>
      <c r="I344" s="476"/>
      <c r="J344" s="476"/>
      <c r="K344" s="476"/>
      <c r="M344" s="483"/>
      <c r="N344" s="476"/>
      <c r="O344" s="476"/>
      <c r="P344" s="476"/>
      <c r="Q344" s="476"/>
      <c r="R344" s="476"/>
      <c r="S344" s="21"/>
      <c r="T344" s="599"/>
      <c r="U344" s="476"/>
      <c r="V344" s="476"/>
      <c r="W344" s="476"/>
      <c r="X344" s="476"/>
      <c r="Y344" s="476"/>
      <c r="Z344" s="476"/>
      <c r="AA344" s="476"/>
      <c r="AB344" s="476"/>
      <c r="AC344" s="476"/>
      <c r="AD344" s="21"/>
      <c r="AE344" s="21"/>
      <c r="AF344" s="476"/>
      <c r="AG344" s="489"/>
      <c r="AH344" s="476"/>
      <c r="AI344" s="476"/>
      <c r="AJ344" s="476"/>
      <c r="AK344" s="476"/>
      <c r="AL344" s="476"/>
      <c r="AM344" s="476"/>
      <c r="AN344" s="476"/>
      <c r="AO344" s="476"/>
    </row>
    <row r="345" spans="1:41" ht="19.899999999999999" customHeight="1">
      <c r="A345" s="709"/>
      <c r="B345" s="476"/>
      <c r="C345" s="476"/>
      <c r="D345" s="476"/>
      <c r="E345" s="476"/>
      <c r="F345" s="476"/>
      <c r="G345" s="476"/>
      <c r="H345" s="476"/>
      <c r="I345" s="476"/>
      <c r="J345" s="476"/>
      <c r="K345" s="476"/>
      <c r="M345" s="483"/>
      <c r="N345" s="476"/>
      <c r="O345" s="476"/>
      <c r="P345" s="476"/>
      <c r="Q345" s="476"/>
      <c r="R345" s="476"/>
      <c r="S345" s="21"/>
      <c r="T345" s="476"/>
      <c r="U345" s="476"/>
      <c r="V345" s="476"/>
      <c r="W345" s="476"/>
      <c r="X345" s="476"/>
      <c r="Y345" s="476"/>
      <c r="Z345" s="476"/>
      <c r="AA345" s="476"/>
      <c r="AB345" s="21"/>
      <c r="AC345" s="21"/>
      <c r="AD345" s="21"/>
      <c r="AE345" s="21"/>
      <c r="AF345" s="476"/>
      <c r="AG345" s="489"/>
      <c r="AH345" s="476"/>
      <c r="AI345" s="476"/>
      <c r="AJ345" s="476"/>
      <c r="AK345" s="476"/>
      <c r="AL345" s="476"/>
      <c r="AM345" s="476"/>
      <c r="AN345" s="476"/>
      <c r="AO345" s="476"/>
    </row>
    <row r="346" spans="1:41" ht="19.899999999999999" customHeight="1">
      <c r="A346" s="709"/>
      <c r="B346" s="476"/>
      <c r="C346" s="476"/>
      <c r="D346" s="476"/>
      <c r="E346" s="476"/>
      <c r="F346" s="476"/>
      <c r="G346" s="476"/>
      <c r="H346" s="476"/>
      <c r="I346" s="476"/>
      <c r="J346" s="476"/>
      <c r="K346" s="476"/>
      <c r="M346" s="692" t="s">
        <v>398</v>
      </c>
      <c r="N346" s="693">
        <v>1</v>
      </c>
      <c r="O346" s="693">
        <v>2.5</v>
      </c>
      <c r="P346" s="694">
        <f>+O300-O298</f>
        <v>3.15</v>
      </c>
      <c r="Q346" s="561"/>
      <c r="R346" s="561"/>
      <c r="S346" s="561">
        <f>+(N346*N346+O346*O346+(N346+O346)*(N346+O346))*P346/6*4</f>
        <v>40.949999999999996</v>
      </c>
      <c r="T346" s="599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476"/>
      <c r="AG346" s="489"/>
      <c r="AH346" s="476"/>
      <c r="AI346" s="476"/>
      <c r="AJ346" s="476"/>
      <c r="AK346" s="476"/>
      <c r="AL346" s="476"/>
      <c r="AM346" s="476"/>
      <c r="AN346" s="476"/>
      <c r="AO346" s="476"/>
    </row>
    <row r="347" spans="1:41" ht="19.899999999999999" customHeight="1">
      <c r="A347" s="709"/>
      <c r="B347" s="476"/>
      <c r="C347" s="476"/>
      <c r="D347" s="476"/>
      <c r="E347" s="476"/>
      <c r="F347" s="476"/>
      <c r="G347" s="476"/>
      <c r="H347" s="476"/>
      <c r="I347" s="476"/>
      <c r="J347" s="476"/>
      <c r="K347" s="476"/>
      <c r="M347" s="609" t="s">
        <v>399</v>
      </c>
      <c r="N347" s="611"/>
      <c r="O347" s="611"/>
      <c r="P347" s="611"/>
      <c r="Q347" s="611"/>
      <c r="R347" s="611"/>
      <c r="S347" s="695">
        <f>+S316</f>
        <v>41.65</v>
      </c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476"/>
      <c r="AG347" s="489"/>
      <c r="AH347" s="476"/>
      <c r="AI347" s="476"/>
      <c r="AJ347" s="476"/>
      <c r="AK347" s="476"/>
      <c r="AL347" s="476"/>
      <c r="AM347" s="476"/>
      <c r="AN347" s="476"/>
      <c r="AO347" s="476"/>
    </row>
    <row r="348" spans="1:41" ht="19.899999999999999" customHeight="1">
      <c r="A348" s="709"/>
      <c r="B348" s="476"/>
      <c r="C348" s="476"/>
      <c r="D348" s="476"/>
      <c r="E348" s="476"/>
      <c r="F348" s="476"/>
      <c r="G348" s="476"/>
      <c r="H348" s="476"/>
      <c r="I348" s="476"/>
      <c r="J348" s="476"/>
      <c r="K348" s="476"/>
      <c r="M348" s="671" t="s">
        <v>400</v>
      </c>
      <c r="N348" s="487">
        <f>+N317</f>
        <v>0.5</v>
      </c>
      <c r="O348" s="696">
        <f>+O317</f>
        <v>0.65</v>
      </c>
      <c r="P348" s="696">
        <f>+P317</f>
        <v>10</v>
      </c>
      <c r="Q348" s="696">
        <f>+Q317</f>
        <v>12</v>
      </c>
      <c r="R348" s="697">
        <v>0.35699999999999998</v>
      </c>
      <c r="S348" s="698">
        <f>+(N348*O348*(P348-2*O346)+N348*O348*(Q348-2*O346))*2</f>
        <v>7.8</v>
      </c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476"/>
      <c r="AG348" s="489"/>
      <c r="AH348" s="476"/>
      <c r="AI348" s="476"/>
      <c r="AJ348" s="476"/>
      <c r="AK348" s="476"/>
      <c r="AL348" s="476"/>
      <c r="AM348" s="476"/>
      <c r="AN348" s="476"/>
      <c r="AO348" s="476"/>
    </row>
    <row r="349" spans="1:41" ht="19.899999999999999" customHeight="1">
      <c r="A349" s="709"/>
      <c r="B349" s="476"/>
      <c r="C349" s="476"/>
      <c r="D349" s="476"/>
      <c r="E349" s="476"/>
      <c r="F349" s="476"/>
      <c r="G349" s="476"/>
      <c r="H349" s="476"/>
      <c r="I349" s="476"/>
      <c r="J349" s="476"/>
      <c r="K349" s="476"/>
      <c r="M349" s="571"/>
      <c r="N349" s="567"/>
      <c r="O349" s="567"/>
      <c r="P349" s="567"/>
      <c r="Q349" s="567"/>
      <c r="R349" s="567"/>
      <c r="S349" s="567">
        <f>+R348*O348/2*0.6*8</f>
        <v>0.55691999999999997</v>
      </c>
      <c r="T349" s="476"/>
      <c r="U349" s="476"/>
      <c r="V349" s="476"/>
      <c r="W349" s="476"/>
      <c r="X349" s="476"/>
      <c r="Y349" s="476"/>
      <c r="Z349" s="476"/>
      <c r="AA349" s="476"/>
      <c r="AB349" s="476"/>
      <c r="AC349" s="476"/>
      <c r="AD349" s="476"/>
      <c r="AE349" s="476"/>
      <c r="AF349" s="476"/>
      <c r="AG349" s="489"/>
      <c r="AH349" s="476"/>
      <c r="AI349" s="476"/>
      <c r="AJ349" s="476"/>
      <c r="AK349" s="476"/>
      <c r="AL349" s="476"/>
      <c r="AM349" s="476"/>
      <c r="AN349" s="476"/>
      <c r="AO349" s="476"/>
    </row>
    <row r="350" spans="1:41" ht="19.899999999999999" customHeight="1">
      <c r="A350" s="709"/>
      <c r="B350" s="476"/>
      <c r="C350" s="476"/>
      <c r="D350" s="476"/>
      <c r="E350" s="476"/>
      <c r="F350" s="476"/>
      <c r="G350" s="476"/>
      <c r="H350" s="476"/>
      <c r="I350" s="476"/>
      <c r="J350" s="476"/>
      <c r="K350" s="476"/>
      <c r="M350" s="483"/>
      <c r="N350" s="476"/>
      <c r="O350" s="476"/>
      <c r="P350" s="476"/>
      <c r="Q350" s="476"/>
      <c r="R350" s="476" t="s">
        <v>401</v>
      </c>
      <c r="S350" s="638">
        <f>+SUM(S346:S349)</f>
        <v>90.956919999999997</v>
      </c>
      <c r="T350" s="476"/>
      <c r="U350" s="476">
        <f>72*S350</f>
        <v>6548.8982399999995</v>
      </c>
      <c r="V350" s="476"/>
      <c r="W350" s="476"/>
      <c r="X350" s="476"/>
      <c r="Y350" s="476"/>
      <c r="Z350" s="476"/>
      <c r="AA350" s="476"/>
      <c r="AB350" s="476"/>
      <c r="AC350" s="476"/>
      <c r="AD350" s="476"/>
      <c r="AE350" s="476"/>
      <c r="AF350" s="476"/>
      <c r="AG350" s="489"/>
      <c r="AH350" s="476"/>
      <c r="AI350" s="476"/>
      <c r="AJ350" s="476"/>
      <c r="AK350" s="476"/>
      <c r="AL350" s="476"/>
      <c r="AM350" s="476"/>
      <c r="AN350" s="476"/>
      <c r="AO350" s="476"/>
    </row>
    <row r="351" spans="1:41" ht="19.899999999999999" customHeight="1">
      <c r="A351" s="709"/>
      <c r="B351" s="476"/>
      <c r="C351" s="476"/>
      <c r="D351" s="476"/>
      <c r="E351" s="476"/>
      <c r="F351" s="476"/>
      <c r="G351" s="476"/>
      <c r="H351" s="476"/>
      <c r="I351" s="476"/>
      <c r="J351" s="476"/>
      <c r="K351" s="476"/>
      <c r="M351" s="483"/>
      <c r="N351" s="476"/>
      <c r="O351" s="476"/>
      <c r="P351" s="476"/>
      <c r="Q351" s="476"/>
      <c r="R351" s="476"/>
      <c r="S351" s="476"/>
      <c r="T351" s="476"/>
      <c r="U351" s="476"/>
      <c r="V351" s="476"/>
      <c r="W351" s="476"/>
      <c r="X351" s="476"/>
      <c r="Y351" s="476"/>
      <c r="Z351" s="476"/>
      <c r="AA351" s="476"/>
      <c r="AB351" s="476"/>
      <c r="AC351" s="476"/>
      <c r="AD351" s="476"/>
      <c r="AE351" s="476"/>
      <c r="AF351" s="476"/>
      <c r="AG351" s="489"/>
      <c r="AH351" s="476"/>
      <c r="AI351" s="476"/>
      <c r="AJ351" s="476"/>
      <c r="AK351" s="476"/>
      <c r="AL351" s="476"/>
      <c r="AM351" s="476"/>
      <c r="AN351" s="476"/>
      <c r="AO351" s="476"/>
    </row>
    <row r="352" spans="1:41" ht="19.899999999999999" customHeight="1">
      <c r="A352" s="709"/>
      <c r="B352" s="476"/>
      <c r="C352" s="476"/>
      <c r="D352" s="476"/>
      <c r="E352" s="476"/>
      <c r="F352" s="476"/>
      <c r="G352" s="476"/>
      <c r="H352" s="476"/>
      <c r="I352" s="476"/>
      <c r="J352" s="476"/>
      <c r="K352" s="476"/>
      <c r="M352" s="699" t="s">
        <v>402</v>
      </c>
      <c r="N352" s="21"/>
      <c r="O352" s="21"/>
      <c r="P352" s="21"/>
      <c r="Q352" s="21"/>
      <c r="R352" s="21"/>
      <c r="S352" s="21"/>
      <c r="T352" s="21"/>
      <c r="U352" s="21"/>
      <c r="V352" s="21"/>
      <c r="W352" s="476"/>
      <c r="X352" s="476"/>
      <c r="Y352" s="476"/>
      <c r="Z352" s="476"/>
      <c r="AA352" s="476"/>
      <c r="AB352" s="476"/>
      <c r="AC352" s="476"/>
      <c r="AD352" s="476"/>
      <c r="AE352" s="476"/>
      <c r="AF352" s="476"/>
      <c r="AG352" s="489"/>
      <c r="AH352" s="476"/>
      <c r="AI352" s="476"/>
      <c r="AJ352" s="476"/>
      <c r="AK352" s="476"/>
      <c r="AL352" s="476"/>
      <c r="AM352" s="476"/>
      <c r="AN352" s="476"/>
      <c r="AO352" s="476"/>
    </row>
    <row r="353" spans="1:41" ht="19.899999999999999" customHeight="1">
      <c r="A353" s="709"/>
      <c r="B353" s="476"/>
      <c r="C353" s="476"/>
      <c r="D353" s="476"/>
      <c r="E353" s="476"/>
      <c r="F353" s="476"/>
      <c r="G353" s="476"/>
      <c r="H353" s="476"/>
      <c r="I353" s="476"/>
      <c r="J353" s="476"/>
      <c r="K353" s="476"/>
      <c r="M353" s="700"/>
      <c r="N353" s="701" t="s">
        <v>346</v>
      </c>
      <c r="O353" s="701" t="s">
        <v>40</v>
      </c>
      <c r="P353" s="701" t="s">
        <v>345</v>
      </c>
      <c r="Q353" s="701" t="s">
        <v>346</v>
      </c>
      <c r="R353" s="701" t="s">
        <v>347</v>
      </c>
      <c r="S353" s="701" t="s">
        <v>348</v>
      </c>
      <c r="T353" s="701" t="s">
        <v>349</v>
      </c>
      <c r="U353" s="701" t="s">
        <v>403</v>
      </c>
      <c r="V353" s="701" t="s">
        <v>404</v>
      </c>
      <c r="W353" s="476"/>
      <c r="X353" s="476"/>
      <c r="Y353" s="476"/>
      <c r="Z353" s="476"/>
      <c r="AA353" s="476"/>
      <c r="AB353" s="476"/>
      <c r="AC353" s="476"/>
      <c r="AD353" s="476"/>
      <c r="AE353" s="476"/>
      <c r="AF353" s="476"/>
      <c r="AG353" s="489"/>
      <c r="AH353" s="476"/>
      <c r="AI353" s="476"/>
      <c r="AJ353" s="476"/>
      <c r="AK353" s="476"/>
      <c r="AL353" s="476"/>
      <c r="AM353" s="476"/>
      <c r="AN353" s="476"/>
      <c r="AO353" s="476"/>
    </row>
    <row r="354" spans="1:41" ht="19.899999999999999" customHeight="1">
      <c r="A354" s="709"/>
      <c r="B354" s="476"/>
      <c r="C354" s="476"/>
      <c r="D354" s="476"/>
      <c r="E354" s="476"/>
      <c r="F354" s="476"/>
      <c r="G354" s="476"/>
      <c r="H354" s="476"/>
      <c r="I354" s="476"/>
      <c r="J354" s="476"/>
      <c r="K354" s="476"/>
      <c r="M354" s="700" t="s">
        <v>405</v>
      </c>
      <c r="N354" s="702">
        <v>6.4</v>
      </c>
      <c r="O354" s="702">
        <v>6.8</v>
      </c>
      <c r="P354" s="703">
        <f>+N354+U354*2</f>
        <v>7</v>
      </c>
      <c r="Q354" s="703">
        <f>+O354+U354*2</f>
        <v>7.3999999999999995</v>
      </c>
      <c r="R354" s="703">
        <f>+P354+T354*2</f>
        <v>9.1999999999999993</v>
      </c>
      <c r="S354" s="703">
        <f>+Q354+T354*2</f>
        <v>9.6</v>
      </c>
      <c r="T354" s="702">
        <v>1.1000000000000001</v>
      </c>
      <c r="U354" s="702">
        <v>0.3</v>
      </c>
      <c r="V354" s="704">
        <f>+(P354*Q354+(P354+N354)*(Q354+O354)+N354*O354)*T354/6</f>
        <v>52.359999999999992</v>
      </c>
      <c r="W354" s="476"/>
      <c r="X354" s="476"/>
      <c r="Y354" s="476"/>
      <c r="Z354" s="476"/>
      <c r="AA354" s="476"/>
      <c r="AB354" s="476"/>
      <c r="AC354" s="476"/>
      <c r="AD354" s="476"/>
      <c r="AE354" s="476"/>
      <c r="AF354" s="476"/>
      <c r="AG354" s="489"/>
      <c r="AH354" s="476"/>
      <c r="AI354" s="476"/>
      <c r="AJ354" s="476"/>
      <c r="AK354" s="476"/>
      <c r="AL354" s="476"/>
      <c r="AM354" s="476"/>
      <c r="AN354" s="476"/>
      <c r="AO354" s="476"/>
    </row>
    <row r="355" spans="1:41" ht="19.899999999999999" customHeight="1">
      <c r="A355" s="709"/>
      <c r="B355" s="476"/>
      <c r="C355" s="476"/>
      <c r="D355" s="476"/>
      <c r="E355" s="476"/>
      <c r="F355" s="476"/>
      <c r="G355" s="476"/>
      <c r="H355" s="476"/>
      <c r="I355" s="476"/>
      <c r="J355" s="476"/>
      <c r="K355" s="476"/>
      <c r="M355" s="700" t="s">
        <v>406</v>
      </c>
      <c r="N355" s="702">
        <v>6.4</v>
      </c>
      <c r="O355" s="702">
        <v>7</v>
      </c>
      <c r="P355" s="703">
        <f>+N355+U355*2</f>
        <v>7.4</v>
      </c>
      <c r="Q355" s="703">
        <f>+O355+U355*2</f>
        <v>8</v>
      </c>
      <c r="R355" s="703">
        <f>+P355+T355*2</f>
        <v>10.600000000000001</v>
      </c>
      <c r="S355" s="703">
        <f>+Q355+T355*2</f>
        <v>11.2</v>
      </c>
      <c r="T355" s="702">
        <f>1.1+U355</f>
        <v>1.6</v>
      </c>
      <c r="U355" s="702">
        <v>0.5</v>
      </c>
      <c r="V355" s="704">
        <f>+(P355*Q355+(P355+N355)*(Q355+O355)+N355*O355)*T355/6</f>
        <v>82.933333333333337</v>
      </c>
      <c r="W355" s="476"/>
      <c r="X355" s="476"/>
      <c r="Y355" s="476"/>
      <c r="Z355" s="476"/>
      <c r="AA355" s="476"/>
      <c r="AB355" s="476"/>
      <c r="AC355" s="476"/>
      <c r="AD355" s="476"/>
      <c r="AE355" s="476"/>
      <c r="AF355" s="476"/>
      <c r="AG355" s="489"/>
      <c r="AH355" s="476"/>
      <c r="AI355" s="476"/>
      <c r="AJ355" s="476"/>
      <c r="AK355" s="476"/>
      <c r="AL355" s="476"/>
      <c r="AM355" s="476"/>
      <c r="AN355" s="476"/>
      <c r="AO355" s="476"/>
    </row>
    <row r="356" spans="1:41" ht="19.899999999999999" customHeight="1">
      <c r="A356" s="709"/>
      <c r="B356" s="476"/>
      <c r="C356" s="476"/>
      <c r="D356" s="476"/>
      <c r="E356" s="476"/>
      <c r="F356" s="476"/>
      <c r="G356" s="476"/>
      <c r="H356" s="476"/>
      <c r="I356" s="476"/>
      <c r="J356" s="476"/>
      <c r="K356" s="476"/>
      <c r="M356" s="699" t="s">
        <v>407</v>
      </c>
      <c r="N356" s="21"/>
      <c r="O356" s="21"/>
      <c r="P356" s="21"/>
      <c r="Q356" s="21"/>
      <c r="R356" s="21"/>
      <c r="S356" s="21"/>
      <c r="T356" s="21"/>
      <c r="U356" s="21"/>
      <c r="V356" s="21"/>
      <c r="W356" s="476"/>
      <c r="X356" s="476"/>
      <c r="Y356" s="476"/>
      <c r="Z356" s="476"/>
      <c r="AA356" s="476"/>
      <c r="AB356" s="476"/>
      <c r="AC356" s="476"/>
      <c r="AD356" s="476"/>
      <c r="AE356" s="476"/>
      <c r="AF356" s="476"/>
      <c r="AG356" s="489"/>
      <c r="AH356" s="476"/>
      <c r="AI356" s="476"/>
      <c r="AJ356" s="476"/>
      <c r="AK356" s="476"/>
      <c r="AL356" s="476"/>
      <c r="AM356" s="476"/>
      <c r="AN356" s="476"/>
      <c r="AO356" s="476"/>
    </row>
    <row r="357" spans="1:41" ht="19.899999999999999" customHeight="1">
      <c r="A357" s="709"/>
      <c r="B357" s="476"/>
      <c r="C357" s="476"/>
      <c r="D357" s="476"/>
      <c r="E357" s="476"/>
      <c r="F357" s="476"/>
      <c r="G357" s="476"/>
      <c r="H357" s="476"/>
      <c r="I357" s="476"/>
      <c r="J357" s="476"/>
      <c r="K357" s="476"/>
      <c r="M357" s="700"/>
      <c r="N357" s="701" t="s">
        <v>408</v>
      </c>
      <c r="O357" s="701" t="s">
        <v>346</v>
      </c>
      <c r="P357" s="701" t="s">
        <v>40</v>
      </c>
      <c r="Q357" s="701" t="s">
        <v>403</v>
      </c>
      <c r="R357" s="548" t="s">
        <v>409</v>
      </c>
      <c r="S357" s="701" t="s">
        <v>410</v>
      </c>
      <c r="T357" s="701"/>
      <c r="U357" s="701"/>
      <c r="V357" s="701" t="s">
        <v>411</v>
      </c>
      <c r="W357" s="476"/>
      <c r="X357" s="476"/>
      <c r="Y357" s="476"/>
      <c r="Z357" s="476"/>
      <c r="AA357" s="476"/>
      <c r="AB357" s="476"/>
      <c r="AC357" s="476"/>
      <c r="AD357" s="476"/>
      <c r="AE357" s="476"/>
      <c r="AF357" s="476"/>
      <c r="AG357" s="489"/>
      <c r="AH357" s="476"/>
      <c r="AI357" s="476"/>
      <c r="AJ357" s="476"/>
      <c r="AK357" s="476"/>
      <c r="AL357" s="476"/>
      <c r="AM357" s="476"/>
      <c r="AN357" s="476"/>
      <c r="AO357" s="476"/>
    </row>
    <row r="358" spans="1:41" ht="19.899999999999999" customHeight="1">
      <c r="A358" s="709"/>
      <c r="B358" s="476"/>
      <c r="C358" s="476"/>
      <c r="D358" s="476"/>
      <c r="E358" s="476"/>
      <c r="F358" s="476"/>
      <c r="G358" s="476"/>
      <c r="H358" s="476"/>
      <c r="I358" s="476"/>
      <c r="J358" s="476"/>
      <c r="K358" s="476"/>
      <c r="M358" s="700"/>
      <c r="N358" s="702">
        <v>0.9</v>
      </c>
      <c r="O358" s="702">
        <v>6.4</v>
      </c>
      <c r="P358" s="702">
        <v>6.8</v>
      </c>
      <c r="Q358" s="702">
        <f>1+0.5/2</f>
        <v>1.25</v>
      </c>
      <c r="R358" s="703">
        <f>+O358+Q358*2</f>
        <v>8.9</v>
      </c>
      <c r="S358" s="703">
        <f>+Q358*2+P358</f>
        <v>9.3000000000000007</v>
      </c>
      <c r="T358" s="703"/>
      <c r="U358" s="703"/>
      <c r="V358" s="704">
        <f>+(S358*2+R358*2)*N358</f>
        <v>32.760000000000005</v>
      </c>
      <c r="W358" s="476"/>
      <c r="X358" s="476"/>
      <c r="Y358" s="476"/>
      <c r="Z358" s="476"/>
      <c r="AA358" s="476"/>
      <c r="AB358" s="476"/>
      <c r="AC358" s="476"/>
      <c r="AD358" s="476"/>
      <c r="AE358" s="476"/>
      <c r="AF358" s="476"/>
      <c r="AG358" s="489"/>
      <c r="AH358" s="476"/>
      <c r="AI358" s="476"/>
      <c r="AJ358" s="476"/>
      <c r="AK358" s="476"/>
      <c r="AL358" s="476"/>
      <c r="AM358" s="476"/>
      <c r="AN358" s="476"/>
      <c r="AO358" s="476"/>
    </row>
    <row r="359" spans="1:41" ht="19.899999999999999" customHeight="1">
      <c r="A359" s="709"/>
      <c r="B359" s="476"/>
      <c r="C359" s="476"/>
      <c r="D359" s="476"/>
      <c r="E359" s="476"/>
      <c r="F359" s="476"/>
      <c r="G359" s="476"/>
      <c r="H359" s="476"/>
      <c r="I359" s="476"/>
      <c r="J359" s="476"/>
      <c r="K359" s="476"/>
      <c r="M359" s="699" t="s">
        <v>412</v>
      </c>
      <c r="N359" s="21"/>
      <c r="O359" s="21"/>
      <c r="P359" s="21"/>
      <c r="Q359" s="21"/>
      <c r="R359" s="21"/>
      <c r="S359" s="21"/>
      <c r="T359" s="21"/>
      <c r="U359" s="21"/>
      <c r="V359" s="21"/>
      <c r="W359" s="476"/>
      <c r="X359" s="476"/>
      <c r="Y359" s="476"/>
      <c r="Z359" s="476"/>
      <c r="AA359" s="476"/>
      <c r="AB359" s="476"/>
      <c r="AC359" s="476"/>
      <c r="AD359" s="476"/>
      <c r="AE359" s="476"/>
      <c r="AF359" s="476"/>
      <c r="AG359" s="489"/>
      <c r="AH359" s="476"/>
      <c r="AI359" s="476"/>
      <c r="AJ359" s="476"/>
      <c r="AK359" s="476"/>
      <c r="AL359" s="476"/>
      <c r="AM359" s="476"/>
      <c r="AN359" s="476"/>
      <c r="AO359" s="476"/>
    </row>
    <row r="360" spans="1:41" ht="19.899999999999999" customHeight="1">
      <c r="A360" s="709"/>
      <c r="B360" s="476"/>
      <c r="C360" s="476"/>
      <c r="D360" s="476"/>
      <c r="E360" s="476"/>
      <c r="F360" s="476"/>
      <c r="G360" s="476"/>
      <c r="H360" s="476"/>
      <c r="I360" s="476"/>
      <c r="J360" s="476"/>
      <c r="K360" s="476"/>
      <c r="M360" s="700"/>
      <c r="N360" s="701" t="s">
        <v>404</v>
      </c>
      <c r="O360" s="701" t="s">
        <v>413</v>
      </c>
      <c r="P360" s="701" t="s">
        <v>346</v>
      </c>
      <c r="Q360" s="701" t="s">
        <v>40</v>
      </c>
      <c r="R360" s="701" t="s">
        <v>409</v>
      </c>
      <c r="S360" s="701" t="s">
        <v>410</v>
      </c>
      <c r="T360" s="701" t="s">
        <v>349</v>
      </c>
      <c r="U360" s="701"/>
      <c r="V360" s="701" t="s">
        <v>414</v>
      </c>
      <c r="W360" s="476"/>
      <c r="X360" s="476"/>
      <c r="Y360" s="476"/>
      <c r="Z360" s="476"/>
      <c r="AA360" s="476"/>
      <c r="AB360" s="476"/>
      <c r="AC360" s="476"/>
      <c r="AD360" s="476"/>
      <c r="AE360" s="476"/>
      <c r="AF360" s="476"/>
      <c r="AG360" s="489"/>
      <c r="AH360" s="476"/>
      <c r="AI360" s="476"/>
      <c r="AJ360" s="476"/>
      <c r="AK360" s="476"/>
      <c r="AL360" s="476"/>
      <c r="AM360" s="476"/>
      <c r="AN360" s="476"/>
      <c r="AO360" s="476"/>
    </row>
    <row r="361" spans="1:41" ht="19.899999999999999" customHeight="1">
      <c r="A361" s="709"/>
      <c r="B361" s="476"/>
      <c r="C361" s="476"/>
      <c r="D361" s="476"/>
      <c r="E361" s="476"/>
      <c r="F361" s="476"/>
      <c r="G361" s="476"/>
      <c r="H361" s="476"/>
      <c r="I361" s="476"/>
      <c r="J361" s="476"/>
      <c r="K361" s="476"/>
      <c r="M361" s="700"/>
      <c r="N361" s="702">
        <f>+V354</f>
        <v>52.359999999999992</v>
      </c>
      <c r="O361" s="702">
        <v>18.25</v>
      </c>
      <c r="P361" s="702">
        <v>6.4</v>
      </c>
      <c r="Q361" s="702">
        <v>7</v>
      </c>
      <c r="R361" s="703">
        <f>+P361+T361*2</f>
        <v>8.4</v>
      </c>
      <c r="S361" s="703">
        <f>+Q361+T361*2</f>
        <v>9</v>
      </c>
      <c r="T361" s="702">
        <v>1</v>
      </c>
      <c r="U361" s="701"/>
      <c r="V361" s="704">
        <f>+(P361*Q361+R361*S361+(P361+R361)*(Q361+S361))*T361/6+N361-O361+S319</f>
        <v>98.543333333333337</v>
      </c>
      <c r="W361" s="476"/>
      <c r="X361" s="476"/>
      <c r="Y361" s="476"/>
      <c r="Z361" s="476"/>
      <c r="AA361" s="476"/>
      <c r="AB361" s="476"/>
      <c r="AC361" s="476"/>
      <c r="AD361" s="476"/>
      <c r="AE361" s="476"/>
      <c r="AF361" s="476"/>
      <c r="AG361" s="489"/>
      <c r="AH361" s="476"/>
      <c r="AI361" s="476"/>
      <c r="AJ361" s="476"/>
      <c r="AK361" s="476"/>
      <c r="AL361" s="476"/>
      <c r="AM361" s="476"/>
      <c r="AN361" s="476"/>
      <c r="AO361" s="476"/>
    </row>
    <row r="362" spans="1:41" ht="19.899999999999999" customHeight="1">
      <c r="A362" s="709"/>
      <c r="B362" s="476"/>
      <c r="C362" s="476"/>
      <c r="D362" s="476"/>
      <c r="E362" s="476"/>
      <c r="F362" s="476"/>
      <c r="G362" s="476"/>
      <c r="H362" s="476"/>
      <c r="I362" s="476"/>
      <c r="J362" s="476"/>
      <c r="K362" s="476"/>
      <c r="M362" s="483"/>
      <c r="N362" s="476" t="s">
        <v>346</v>
      </c>
      <c r="O362" s="476" t="s">
        <v>40</v>
      </c>
      <c r="P362" s="476"/>
      <c r="Q362" s="476" t="s">
        <v>415</v>
      </c>
      <c r="R362" s="476" t="s">
        <v>416</v>
      </c>
      <c r="S362" s="476" t="s">
        <v>346</v>
      </c>
      <c r="T362" s="476" t="s">
        <v>40</v>
      </c>
      <c r="U362" s="476" t="s">
        <v>348</v>
      </c>
      <c r="V362" s="476" t="s">
        <v>417</v>
      </c>
      <c r="W362" s="476" t="s">
        <v>418</v>
      </c>
      <c r="X362" s="476"/>
      <c r="Y362" s="476"/>
      <c r="Z362" s="476"/>
      <c r="AA362" s="476"/>
      <c r="AB362" s="476"/>
      <c r="AC362" s="476"/>
      <c r="AD362" s="476"/>
      <c r="AE362" s="476"/>
      <c r="AF362" s="476"/>
      <c r="AG362" s="489"/>
      <c r="AH362" s="476"/>
      <c r="AI362" s="476"/>
      <c r="AJ362" s="476"/>
      <c r="AK362" s="476"/>
      <c r="AL362" s="476"/>
      <c r="AM362" s="476"/>
      <c r="AN362" s="476"/>
      <c r="AO362" s="476"/>
    </row>
    <row r="363" spans="1:41" ht="19.899999999999999" customHeight="1">
      <c r="A363" s="709"/>
      <c r="B363" s="476"/>
      <c r="C363" s="476"/>
      <c r="D363" s="476"/>
      <c r="E363" s="476"/>
      <c r="F363" s="476"/>
      <c r="G363" s="476"/>
      <c r="H363" s="476"/>
      <c r="I363" s="476"/>
      <c r="J363" s="476"/>
      <c r="K363" s="476"/>
      <c r="M363" s="483"/>
      <c r="N363" s="705">
        <v>5.3</v>
      </c>
      <c r="O363" s="705">
        <v>5</v>
      </c>
      <c r="P363" s="705">
        <v>0.3</v>
      </c>
      <c r="Q363" s="705">
        <v>0.25</v>
      </c>
      <c r="R363" s="705">
        <v>3.6</v>
      </c>
      <c r="S363" s="476">
        <f>+N363+P363*2</f>
        <v>5.8999999999999995</v>
      </c>
      <c r="T363" s="476">
        <f>+O363+P363*2</f>
        <v>5.6</v>
      </c>
      <c r="U363" s="476">
        <f>+Q363*R363*2+S363</f>
        <v>7.6999999999999993</v>
      </c>
      <c r="V363" s="476">
        <f>+Q363*R363*2+T363</f>
        <v>7.3999999999999995</v>
      </c>
      <c r="W363" s="476">
        <f>+(U363*V363+S363*T363+(S363+U363)*(T363+V363))*R363/6</f>
        <v>160.09199999999996</v>
      </c>
      <c r="X363" s="476"/>
      <c r="Y363" s="476"/>
      <c r="Z363" s="476"/>
      <c r="AA363" s="476"/>
      <c r="AB363" s="476"/>
      <c r="AC363" s="476"/>
      <c r="AD363" s="476"/>
      <c r="AE363" s="476"/>
      <c r="AF363" s="476"/>
      <c r="AG363" s="489"/>
      <c r="AH363" s="476"/>
      <c r="AI363" s="476"/>
      <c r="AJ363" s="476"/>
      <c r="AK363" s="476"/>
      <c r="AL363" s="476"/>
      <c r="AM363" s="476"/>
      <c r="AN363" s="476"/>
      <c r="AO363" s="476"/>
    </row>
    <row r="364" spans="1:41" ht="19.899999999999999" customHeight="1">
      <c r="A364" s="709"/>
      <c r="B364" s="476"/>
      <c r="C364" s="476"/>
      <c r="D364" s="476"/>
      <c r="E364" s="476"/>
      <c r="F364" s="476"/>
      <c r="G364" s="476"/>
      <c r="H364" s="476"/>
      <c r="I364" s="476"/>
      <c r="J364" s="476"/>
      <c r="K364" s="476"/>
      <c r="M364" s="483"/>
      <c r="N364" s="476"/>
      <c r="O364" s="476"/>
      <c r="P364" s="476"/>
      <c r="Q364" s="476"/>
      <c r="R364" s="476"/>
      <c r="S364" s="476"/>
      <c r="T364" s="476"/>
      <c r="U364" s="476"/>
      <c r="V364" s="476"/>
      <c r="W364" s="476">
        <f>+W363*4</f>
        <v>640.36799999999982</v>
      </c>
      <c r="X364" s="476" t="s">
        <v>419</v>
      </c>
      <c r="Y364" s="476"/>
      <c r="Z364" s="476"/>
      <c r="AA364" s="476"/>
      <c r="AB364" s="476"/>
      <c r="AC364" s="476"/>
      <c r="AD364" s="476"/>
      <c r="AE364" s="476"/>
      <c r="AF364" s="476"/>
      <c r="AG364" s="489"/>
      <c r="AH364" s="476"/>
      <c r="AI364" s="476"/>
      <c r="AJ364" s="476"/>
      <c r="AK364" s="476"/>
      <c r="AL364" s="476"/>
      <c r="AM364" s="476"/>
      <c r="AN364" s="476"/>
      <c r="AO364" s="476"/>
    </row>
    <row r="365" spans="1:41" ht="19.899999999999999" customHeight="1" thickBot="1">
      <c r="A365" s="709"/>
      <c r="B365" s="476"/>
      <c r="C365" s="476"/>
      <c r="D365" s="476"/>
      <c r="E365" s="476"/>
      <c r="F365" s="476"/>
      <c r="G365" s="476"/>
      <c r="H365" s="476"/>
      <c r="I365" s="476"/>
      <c r="J365" s="476"/>
      <c r="K365" s="476"/>
      <c r="M365" s="539"/>
      <c r="N365" s="706"/>
      <c r="O365" s="706"/>
      <c r="P365" s="706"/>
      <c r="Q365" s="706"/>
      <c r="R365" s="706"/>
      <c r="S365" s="706"/>
      <c r="T365" s="706"/>
      <c r="U365" s="706"/>
      <c r="V365" s="706"/>
      <c r="W365" s="706"/>
      <c r="X365" s="706"/>
      <c r="Y365" s="706"/>
      <c r="Z365" s="706"/>
      <c r="AA365" s="706"/>
      <c r="AB365" s="706"/>
      <c r="AC365" s="706"/>
      <c r="AD365" s="706"/>
      <c r="AE365" s="706"/>
      <c r="AF365" s="706"/>
      <c r="AG365" s="707"/>
      <c r="AH365" s="476"/>
      <c r="AI365" s="476"/>
      <c r="AJ365" s="476"/>
      <c r="AK365" s="476"/>
      <c r="AL365" s="476"/>
      <c r="AM365" s="476"/>
      <c r="AN365" s="476"/>
      <c r="AO365" s="476"/>
    </row>
    <row r="366" spans="1:41" ht="19.899999999999999" customHeight="1">
      <c r="A366" s="709"/>
      <c r="B366" s="476"/>
      <c r="C366" s="476"/>
      <c r="D366" s="476"/>
      <c r="E366" s="476"/>
      <c r="F366" s="476"/>
      <c r="G366" s="476"/>
      <c r="H366" s="476"/>
      <c r="I366" s="476"/>
      <c r="J366" s="476"/>
      <c r="K366" s="476"/>
      <c r="M366" s="476"/>
      <c r="N366" s="476"/>
      <c r="O366" s="476"/>
      <c r="P366" s="476"/>
      <c r="Q366" s="476"/>
      <c r="R366" s="476"/>
      <c r="S366" s="476"/>
      <c r="T366" s="476"/>
      <c r="U366" s="476"/>
      <c r="V366" s="476"/>
      <c r="W366" s="476"/>
      <c r="X366" s="476"/>
      <c r="Y366" s="476"/>
      <c r="Z366" s="476"/>
      <c r="AA366" s="476"/>
      <c r="AB366" s="476"/>
      <c r="AC366" s="476"/>
      <c r="AD366" s="476"/>
      <c r="AE366" s="476"/>
      <c r="AF366" s="476"/>
      <c r="AG366" s="476"/>
      <c r="AH366" s="476"/>
      <c r="AI366" s="476"/>
      <c r="AJ366" s="476"/>
      <c r="AK366" s="476"/>
      <c r="AL366" s="476"/>
      <c r="AM366" s="476"/>
      <c r="AN366" s="476"/>
      <c r="AO366" s="476"/>
    </row>
    <row r="367" spans="1:41" ht="19.899999999999999" customHeight="1">
      <c r="A367" s="709"/>
      <c r="B367" s="476"/>
      <c r="C367" s="476"/>
      <c r="D367" s="476"/>
      <c r="E367" s="476"/>
      <c r="F367" s="476"/>
      <c r="G367" s="476"/>
      <c r="H367" s="476"/>
      <c r="I367" s="476"/>
      <c r="J367" s="476"/>
      <c r="K367" s="476"/>
      <c r="M367" s="476"/>
      <c r="N367" s="476"/>
      <c r="O367" s="476"/>
      <c r="P367" s="476"/>
      <c r="Q367" s="476"/>
      <c r="R367" s="476"/>
      <c r="S367" s="476"/>
      <c r="T367" s="476"/>
      <c r="U367" s="476"/>
      <c r="V367" s="476"/>
      <c r="W367" s="476"/>
      <c r="X367" s="476"/>
      <c r="Y367" s="476"/>
      <c r="Z367" s="476"/>
      <c r="AA367" s="476"/>
      <c r="AB367" s="476"/>
      <c r="AC367" s="476"/>
      <c r="AD367" s="476"/>
      <c r="AE367" s="476"/>
      <c r="AF367" s="476"/>
      <c r="AG367" s="476"/>
      <c r="AH367" s="476"/>
      <c r="AI367" s="476"/>
      <c r="AJ367" s="476"/>
      <c r="AK367" s="476"/>
      <c r="AL367" s="476"/>
      <c r="AM367" s="476"/>
      <c r="AN367" s="476"/>
      <c r="AO367" s="476"/>
    </row>
    <row r="368" spans="1:41" ht="19.899999999999999" customHeight="1">
      <c r="A368" s="709"/>
      <c r="B368" s="476"/>
      <c r="C368" s="476"/>
      <c r="D368" s="476"/>
      <c r="E368" s="476"/>
      <c r="F368" s="476"/>
      <c r="G368" s="476"/>
      <c r="H368" s="476"/>
      <c r="I368" s="476"/>
      <c r="J368" s="476"/>
      <c r="K368" s="476"/>
      <c r="L368" s="476"/>
      <c r="M368" s="476"/>
      <c r="N368" s="476"/>
      <c r="O368" s="476"/>
      <c r="P368" s="476"/>
      <c r="Q368" s="476"/>
      <c r="R368" s="476"/>
      <c r="S368" s="476"/>
      <c r="T368" s="476"/>
      <c r="U368" s="476"/>
      <c r="V368" s="476"/>
      <c r="W368" s="476"/>
      <c r="X368" s="476"/>
      <c r="Y368" s="476"/>
      <c r="Z368" s="476"/>
      <c r="AA368" s="476"/>
      <c r="AB368" s="476"/>
      <c r="AC368" s="476"/>
      <c r="AD368" s="476"/>
      <c r="AE368" s="476"/>
      <c r="AF368" s="476"/>
      <c r="AG368" s="476"/>
      <c r="AH368" s="476"/>
      <c r="AI368" s="476"/>
      <c r="AJ368" s="476"/>
      <c r="AK368" s="476"/>
      <c r="AL368" s="476"/>
      <c r="AM368" s="476"/>
      <c r="AN368" s="476"/>
      <c r="AO368" s="476"/>
    </row>
    <row r="369" spans="1:41" ht="19.899999999999999" customHeight="1">
      <c r="A369" s="709"/>
      <c r="B369" s="476"/>
      <c r="C369" s="476"/>
      <c r="D369" s="476"/>
      <c r="E369" s="476"/>
      <c r="F369" s="476"/>
      <c r="G369" s="476"/>
      <c r="H369" s="476"/>
      <c r="I369" s="476"/>
      <c r="J369" s="476"/>
      <c r="K369" s="476"/>
      <c r="L369" s="476"/>
      <c r="M369" s="476"/>
      <c r="N369" s="476"/>
      <c r="O369" s="476"/>
      <c r="P369" s="476"/>
      <c r="Q369" s="476"/>
      <c r="R369" s="476"/>
      <c r="S369" s="476"/>
      <c r="T369" s="476"/>
      <c r="U369" s="476"/>
      <c r="V369" s="476"/>
      <c r="W369" s="476"/>
      <c r="X369" s="476"/>
      <c r="Y369" s="476"/>
      <c r="Z369" s="476"/>
      <c r="AA369" s="476"/>
      <c r="AB369" s="476"/>
      <c r="AC369" s="476"/>
      <c r="AD369" s="476"/>
      <c r="AE369" s="476"/>
      <c r="AF369" s="476"/>
      <c r="AG369" s="476"/>
      <c r="AH369" s="476"/>
      <c r="AI369" s="476"/>
      <c r="AJ369" s="476"/>
      <c r="AK369" s="476"/>
      <c r="AL369" s="476"/>
      <c r="AM369" s="476"/>
      <c r="AN369" s="476"/>
      <c r="AO369" s="476"/>
    </row>
    <row r="370" spans="1:41" ht="19.899999999999999" customHeight="1">
      <c r="A370" s="709"/>
      <c r="B370" s="476"/>
      <c r="C370" s="476"/>
      <c r="D370" s="476"/>
      <c r="E370" s="476"/>
      <c r="F370" s="476"/>
      <c r="G370" s="476"/>
      <c r="H370" s="476"/>
      <c r="I370" s="476"/>
      <c r="J370" s="476"/>
      <c r="K370" s="476"/>
      <c r="L370" s="476"/>
      <c r="M370" s="476"/>
      <c r="N370" s="476"/>
      <c r="O370" s="476"/>
      <c r="P370" s="476"/>
      <c r="Q370" s="476"/>
      <c r="R370" s="476"/>
      <c r="S370" s="476"/>
      <c r="T370" s="476"/>
      <c r="U370" s="476"/>
      <c r="V370" s="476"/>
    </row>
    <row r="371" spans="1:41" ht="19.899999999999999" customHeight="1">
      <c r="A371" s="709"/>
      <c r="B371" s="476"/>
      <c r="C371" s="476"/>
      <c r="D371" s="476"/>
      <c r="E371" s="476"/>
      <c r="F371" s="476"/>
      <c r="G371" s="476"/>
      <c r="H371" s="476"/>
      <c r="I371" s="476"/>
      <c r="J371" s="476"/>
      <c r="K371" s="476"/>
      <c r="L371" s="476"/>
      <c r="M371" s="476"/>
      <c r="N371" s="476"/>
      <c r="O371" s="476"/>
      <c r="P371" s="476"/>
      <c r="Q371" s="476"/>
      <c r="R371" s="476"/>
      <c r="S371" s="476"/>
      <c r="T371" s="476"/>
      <c r="U371" s="476"/>
      <c r="V371" s="476"/>
    </row>
    <row r="372" spans="1:41" ht="19.899999999999999" customHeight="1">
      <c r="A372" s="709"/>
      <c r="B372" s="476"/>
      <c r="C372" s="476"/>
      <c r="D372" s="476"/>
      <c r="E372" s="476"/>
      <c r="F372" s="476"/>
      <c r="G372" s="476"/>
      <c r="H372" s="476"/>
      <c r="I372" s="476"/>
      <c r="J372" s="476"/>
      <c r="K372" s="476"/>
      <c r="L372" s="476"/>
      <c r="M372" s="476"/>
      <c r="N372" s="476"/>
      <c r="O372" s="476"/>
      <c r="P372" s="476"/>
      <c r="Q372" s="476"/>
      <c r="R372" s="476"/>
      <c r="S372" s="476"/>
      <c r="T372" s="476"/>
      <c r="U372" s="476"/>
      <c r="V372" s="476"/>
    </row>
    <row r="373" spans="1:41" ht="19.899999999999999" customHeight="1">
      <c r="A373" s="709"/>
      <c r="B373" s="476"/>
      <c r="C373" s="476"/>
      <c r="D373" s="476"/>
      <c r="E373" s="476"/>
      <c r="F373" s="476"/>
      <c r="G373" s="476"/>
      <c r="H373" s="476"/>
      <c r="I373" s="476"/>
      <c r="J373" s="476"/>
      <c r="K373" s="476"/>
      <c r="L373" s="476"/>
      <c r="M373" s="476"/>
      <c r="N373" s="476"/>
      <c r="O373" s="476"/>
      <c r="P373" s="476"/>
      <c r="Q373" s="476"/>
      <c r="R373" s="476"/>
      <c r="S373" s="476"/>
      <c r="T373" s="476"/>
      <c r="U373" s="476"/>
      <c r="V373" s="476"/>
    </row>
    <row r="374" spans="1:41" ht="19.899999999999999" customHeight="1">
      <c r="A374" s="709"/>
      <c r="B374" s="476"/>
      <c r="C374" s="476"/>
      <c r="D374" s="476"/>
      <c r="E374" s="476"/>
      <c r="F374" s="476"/>
      <c r="G374" s="476"/>
      <c r="H374" s="476"/>
      <c r="I374" s="476"/>
      <c r="J374" s="476"/>
      <c r="K374" s="476"/>
      <c r="L374" s="476"/>
      <c r="M374" s="476"/>
      <c r="N374" s="476"/>
      <c r="O374" s="476"/>
      <c r="P374" s="476"/>
      <c r="Q374" s="476"/>
      <c r="R374" s="476"/>
      <c r="S374" s="476"/>
      <c r="T374" s="476"/>
      <c r="U374" s="476"/>
      <c r="V374" s="476"/>
    </row>
    <row r="375" spans="1:41" ht="19.899999999999999" customHeight="1">
      <c r="A375" s="709"/>
      <c r="B375" s="476"/>
      <c r="C375" s="476"/>
      <c r="D375" s="476"/>
      <c r="E375" s="476"/>
      <c r="F375" s="476"/>
      <c r="G375" s="476"/>
      <c r="H375" s="476"/>
      <c r="I375" s="476"/>
      <c r="J375" s="476"/>
      <c r="K375" s="476"/>
      <c r="L375" s="476"/>
      <c r="M375" s="476"/>
      <c r="N375" s="476"/>
      <c r="O375" s="476"/>
      <c r="P375" s="476"/>
      <c r="Q375" s="476"/>
      <c r="R375" s="476"/>
      <c r="S375" s="476"/>
      <c r="T375" s="476"/>
      <c r="U375" s="476"/>
      <c r="V375" s="476"/>
    </row>
    <row r="376" spans="1:41" ht="19.899999999999999" customHeight="1">
      <c r="A376" s="709"/>
      <c r="B376" s="476"/>
      <c r="C376" s="476"/>
      <c r="D376" s="476"/>
      <c r="E376" s="476"/>
      <c r="F376" s="476"/>
      <c r="G376" s="476"/>
      <c r="H376" s="476"/>
      <c r="I376" s="476"/>
      <c r="J376" s="476"/>
      <c r="K376" s="476"/>
      <c r="L376" s="476"/>
      <c r="M376" s="476"/>
      <c r="N376" s="476"/>
      <c r="O376" s="476"/>
      <c r="P376" s="476"/>
      <c r="Q376" s="476"/>
      <c r="R376" s="476"/>
      <c r="S376" s="476"/>
      <c r="T376" s="476"/>
      <c r="U376" s="476"/>
      <c r="V376" s="476"/>
    </row>
    <row r="377" spans="1:41" ht="19.899999999999999" customHeight="1">
      <c r="A377" s="709"/>
      <c r="B377" s="476"/>
      <c r="C377" s="476"/>
      <c r="D377" s="476"/>
      <c r="E377" s="476"/>
      <c r="F377" s="476"/>
      <c r="G377" s="476"/>
      <c r="H377" s="476"/>
      <c r="I377" s="476"/>
      <c r="J377" s="476"/>
      <c r="K377" s="476"/>
      <c r="L377" s="476"/>
      <c r="M377" s="476"/>
      <c r="N377" s="476"/>
      <c r="O377" s="476"/>
      <c r="P377" s="476"/>
      <c r="Q377" s="476"/>
      <c r="R377" s="476"/>
      <c r="S377" s="476"/>
      <c r="T377" s="476"/>
      <c r="U377" s="476"/>
      <c r="V377" s="476"/>
    </row>
    <row r="378" spans="1:41" ht="19.899999999999999" customHeight="1">
      <c r="A378" s="709"/>
      <c r="B378" s="476"/>
      <c r="C378" s="476"/>
      <c r="D378" s="476"/>
      <c r="E378" s="476"/>
      <c r="F378" s="476"/>
      <c r="G378" s="476"/>
      <c r="H378" s="476"/>
      <c r="I378" s="476"/>
      <c r="J378" s="476"/>
      <c r="K378" s="476"/>
      <c r="L378" s="476"/>
      <c r="M378" s="476"/>
      <c r="N378" s="476"/>
      <c r="O378" s="476"/>
      <c r="P378" s="476"/>
      <c r="Q378" s="476"/>
      <c r="R378" s="476"/>
      <c r="S378" s="476"/>
      <c r="T378" s="476"/>
      <c r="U378" s="476"/>
      <c r="V378" s="476"/>
    </row>
    <row r="379" spans="1:41" ht="19.899999999999999" customHeight="1">
      <c r="A379" s="709"/>
      <c r="B379" s="476"/>
      <c r="C379" s="476"/>
      <c r="D379" s="476"/>
      <c r="E379" s="476"/>
      <c r="F379" s="476"/>
      <c r="G379" s="476"/>
      <c r="H379" s="476"/>
      <c r="I379" s="476"/>
      <c r="J379" s="476"/>
      <c r="K379" s="476"/>
      <c r="L379" s="476"/>
      <c r="M379" s="476"/>
      <c r="N379" s="476"/>
      <c r="O379" s="476"/>
      <c r="P379" s="476"/>
      <c r="Q379" s="476"/>
      <c r="R379" s="476"/>
      <c r="S379" s="476"/>
      <c r="T379" s="476"/>
      <c r="U379" s="476"/>
      <c r="V379" s="476"/>
    </row>
    <row r="380" spans="1:41" ht="19.899999999999999" customHeight="1">
      <c r="A380" s="709"/>
      <c r="B380" s="476"/>
      <c r="C380" s="476"/>
      <c r="D380" s="476"/>
      <c r="E380" s="476"/>
      <c r="F380" s="476"/>
      <c r="G380" s="476"/>
      <c r="H380" s="476"/>
      <c r="I380" s="476"/>
      <c r="J380" s="476"/>
      <c r="K380" s="476"/>
      <c r="L380" s="476"/>
      <c r="M380" s="476"/>
      <c r="N380" s="476"/>
      <c r="O380" s="476"/>
      <c r="P380" s="476"/>
      <c r="Q380" s="476"/>
      <c r="R380" s="476"/>
      <c r="S380" s="476"/>
      <c r="T380" s="476"/>
      <c r="U380" s="476"/>
      <c r="V380" s="476"/>
    </row>
    <row r="381" spans="1:41" ht="19.899999999999999" customHeight="1">
      <c r="A381" s="709"/>
      <c r="B381" s="476"/>
      <c r="C381" s="476"/>
      <c r="D381" s="476"/>
      <c r="E381" s="476"/>
      <c r="F381" s="476"/>
      <c r="G381" s="476"/>
      <c r="H381" s="476"/>
      <c r="I381" s="476"/>
      <c r="J381" s="476"/>
      <c r="K381" s="476"/>
      <c r="L381" s="476"/>
      <c r="M381" s="476"/>
      <c r="N381" s="476"/>
      <c r="O381" s="476"/>
      <c r="P381" s="476"/>
      <c r="Q381" s="476"/>
      <c r="R381" s="476"/>
      <c r="S381" s="476"/>
      <c r="T381" s="476"/>
      <c r="U381" s="476"/>
      <c r="V381" s="476"/>
    </row>
    <row r="382" spans="1:41" ht="19.899999999999999" customHeight="1">
      <c r="A382" s="709"/>
      <c r="B382" s="476"/>
      <c r="C382" s="476"/>
      <c r="D382" s="476"/>
      <c r="E382" s="476"/>
      <c r="F382" s="476"/>
      <c r="G382" s="476"/>
      <c r="H382" s="476"/>
      <c r="I382" s="476"/>
      <c r="J382" s="476"/>
      <c r="K382" s="476"/>
      <c r="L382" s="476"/>
      <c r="M382" s="476"/>
      <c r="N382" s="476"/>
      <c r="O382" s="476"/>
      <c r="P382" s="476"/>
      <c r="Q382" s="476"/>
      <c r="R382" s="476"/>
      <c r="S382" s="476"/>
      <c r="T382" s="476"/>
      <c r="U382" s="476"/>
      <c r="V382" s="476"/>
    </row>
    <row r="383" spans="1:41" ht="19.899999999999999" customHeight="1">
      <c r="A383" s="709"/>
      <c r="B383" s="476"/>
      <c r="C383" s="476"/>
      <c r="D383" s="476"/>
      <c r="E383" s="476"/>
      <c r="F383" s="476"/>
      <c r="G383" s="476"/>
      <c r="H383" s="476"/>
      <c r="I383" s="476"/>
      <c r="J383" s="476"/>
      <c r="K383" s="476"/>
      <c r="L383" s="476"/>
      <c r="M383" s="476"/>
      <c r="N383" s="476"/>
      <c r="O383" s="476"/>
      <c r="P383" s="476"/>
      <c r="Q383" s="476"/>
      <c r="R383" s="476"/>
      <c r="S383" s="476"/>
      <c r="T383" s="476"/>
      <c r="U383" s="476"/>
      <c r="V383" s="476"/>
    </row>
    <row r="384" spans="1:41" ht="19.899999999999999" customHeight="1">
      <c r="A384" s="709"/>
      <c r="B384" s="476"/>
      <c r="C384" s="476"/>
      <c r="D384" s="476"/>
      <c r="E384" s="476"/>
      <c r="F384" s="476"/>
      <c r="G384" s="476"/>
      <c r="H384" s="476"/>
      <c r="I384" s="476"/>
      <c r="J384" s="476"/>
      <c r="K384" s="476"/>
      <c r="L384" s="476"/>
      <c r="M384" s="476"/>
      <c r="N384" s="476"/>
      <c r="O384" s="476"/>
      <c r="P384" s="476"/>
      <c r="Q384" s="476"/>
      <c r="R384" s="476"/>
      <c r="S384" s="476"/>
      <c r="T384" s="476"/>
      <c r="U384" s="476"/>
      <c r="V384" s="476"/>
    </row>
    <row r="385" spans="1:22" ht="19.899999999999999" customHeight="1">
      <c r="A385" s="709"/>
      <c r="B385" s="476"/>
      <c r="C385" s="476"/>
      <c r="D385" s="476"/>
      <c r="E385" s="476"/>
      <c r="F385" s="476"/>
      <c r="G385" s="476"/>
      <c r="H385" s="476"/>
      <c r="I385" s="476"/>
      <c r="J385" s="476"/>
      <c r="K385" s="476"/>
      <c r="L385" s="476"/>
      <c r="M385" s="476"/>
      <c r="N385" s="476"/>
      <c r="O385" s="476"/>
      <c r="P385" s="476"/>
      <c r="Q385" s="476"/>
      <c r="R385" s="476"/>
      <c r="S385" s="476"/>
      <c r="T385" s="476"/>
      <c r="U385" s="476"/>
      <c r="V385" s="476"/>
    </row>
    <row r="386" spans="1:22" ht="19.899999999999999" customHeight="1">
      <c r="A386" s="709"/>
      <c r="B386" s="476"/>
      <c r="C386" s="476"/>
      <c r="D386" s="476"/>
      <c r="E386" s="476"/>
      <c r="F386" s="476"/>
      <c r="G386" s="476"/>
      <c r="H386" s="476"/>
      <c r="I386" s="476"/>
      <c r="J386" s="476"/>
      <c r="K386" s="476"/>
      <c r="L386" s="476"/>
      <c r="M386" s="476"/>
      <c r="N386" s="476"/>
      <c r="O386" s="476"/>
      <c r="P386" s="476"/>
      <c r="Q386" s="476"/>
      <c r="R386" s="476"/>
      <c r="S386" s="476"/>
      <c r="T386" s="476"/>
      <c r="U386" s="476"/>
      <c r="V386" s="476"/>
    </row>
    <row r="387" spans="1:22" ht="19.899999999999999" customHeight="1">
      <c r="A387" s="709"/>
      <c r="B387" s="476"/>
      <c r="C387" s="476"/>
      <c r="D387" s="476"/>
      <c r="E387" s="476"/>
      <c r="F387" s="476"/>
      <c r="G387" s="476"/>
      <c r="H387" s="476"/>
      <c r="I387" s="476"/>
      <c r="J387" s="476"/>
      <c r="K387" s="476"/>
      <c r="L387" s="476"/>
      <c r="M387" s="476"/>
      <c r="N387" s="476"/>
      <c r="O387" s="476"/>
      <c r="P387" s="476"/>
      <c r="Q387" s="476"/>
      <c r="R387" s="476"/>
      <c r="S387" s="476"/>
      <c r="T387" s="476"/>
      <c r="U387" s="476"/>
      <c r="V387" s="476"/>
    </row>
    <row r="388" spans="1:22" ht="19.899999999999999" customHeight="1">
      <c r="A388" s="709"/>
      <c r="B388" s="476"/>
      <c r="C388" s="476"/>
      <c r="D388" s="476"/>
      <c r="E388" s="476"/>
      <c r="F388" s="476"/>
      <c r="G388" s="476"/>
      <c r="H388" s="476"/>
      <c r="I388" s="476"/>
      <c r="J388" s="476"/>
      <c r="K388" s="476"/>
      <c r="L388" s="476"/>
      <c r="M388" s="476"/>
      <c r="N388" s="476"/>
      <c r="O388" s="476"/>
      <c r="P388" s="476"/>
      <c r="Q388" s="476"/>
      <c r="R388" s="476"/>
      <c r="S388" s="476"/>
      <c r="T388" s="476"/>
      <c r="U388" s="476"/>
      <c r="V388" s="476"/>
    </row>
    <row r="389" spans="1:22" ht="19.899999999999999" customHeight="1">
      <c r="A389" s="709"/>
      <c r="B389" s="476"/>
      <c r="C389" s="476"/>
      <c r="D389" s="476"/>
      <c r="E389" s="476"/>
      <c r="F389" s="476"/>
      <c r="G389" s="476"/>
      <c r="H389" s="476"/>
      <c r="I389" s="476"/>
      <c r="J389" s="476"/>
      <c r="K389" s="476"/>
      <c r="L389" s="476"/>
      <c r="M389" s="476"/>
      <c r="N389" s="476"/>
      <c r="O389" s="476"/>
      <c r="P389" s="476"/>
      <c r="Q389" s="476"/>
      <c r="R389" s="476"/>
      <c r="S389" s="476"/>
      <c r="T389" s="476"/>
      <c r="U389" s="476"/>
      <c r="V389" s="476"/>
    </row>
  </sheetData>
  <mergeCells count="99">
    <mergeCell ref="I51:J51"/>
    <mergeCell ref="I52:J52"/>
    <mergeCell ref="I53:J53"/>
    <mergeCell ref="D37:E37"/>
    <mergeCell ref="I12:I13"/>
    <mergeCell ref="D6:E6"/>
    <mergeCell ref="I25:I26"/>
    <mergeCell ref="H25:H26"/>
    <mergeCell ref="H33:H34"/>
    <mergeCell ref="H17:H19"/>
    <mergeCell ref="H12:H13"/>
    <mergeCell ref="E239:E240"/>
    <mergeCell ref="J237:J238"/>
    <mergeCell ref="F239:F240"/>
    <mergeCell ref="I237:I238"/>
    <mergeCell ref="H141:I141"/>
    <mergeCell ref="H150:I150"/>
    <mergeCell ref="H160:I160"/>
    <mergeCell ref="D237:D238"/>
    <mergeCell ref="M217:N217"/>
    <mergeCell ref="M53:P53"/>
    <mergeCell ref="M216:N216"/>
    <mergeCell ref="F192:G192"/>
    <mergeCell ref="J232:K232"/>
    <mergeCell ref="J235:K235"/>
    <mergeCell ref="J236:K236"/>
    <mergeCell ref="K109:L110"/>
    <mergeCell ref="D217:E217"/>
    <mergeCell ref="E237:E238"/>
    <mergeCell ref="L184:L185"/>
    <mergeCell ref="K237:K238"/>
    <mergeCell ref="A241:B241"/>
    <mergeCell ref="F237:F238"/>
    <mergeCell ref="L216:L217"/>
    <mergeCell ref="N20:N23"/>
    <mergeCell ref="A242:B242"/>
    <mergeCell ref="G237:G238"/>
    <mergeCell ref="A173:B173"/>
    <mergeCell ref="A161:C161"/>
    <mergeCell ref="A162:C162"/>
    <mergeCell ref="A163:C163"/>
    <mergeCell ref="D239:D240"/>
    <mergeCell ref="B237:B238"/>
    <mergeCell ref="B239:B240"/>
    <mergeCell ref="A137:B137"/>
    <mergeCell ref="A174:B174"/>
    <mergeCell ref="K227:K231"/>
    <mergeCell ref="AE306:AF306"/>
    <mergeCell ref="M310:M311"/>
    <mergeCell ref="AA291:AC291"/>
    <mergeCell ref="N295:N297"/>
    <mergeCell ref="S305:X305"/>
    <mergeCell ref="Y305:AB305"/>
    <mergeCell ref="AC305:AF305"/>
    <mergeCell ref="S306:U306"/>
    <mergeCell ref="V306:X306"/>
    <mergeCell ref="Y306:Z306"/>
    <mergeCell ref="AA306:AB306"/>
    <mergeCell ref="AC306:AD306"/>
    <mergeCell ref="C216:C217"/>
    <mergeCell ref="D216:E216"/>
    <mergeCell ref="B71:C71"/>
    <mergeCell ref="J70:K70"/>
    <mergeCell ref="B165:C165"/>
    <mergeCell ref="H109:I109"/>
    <mergeCell ref="A136:B136"/>
    <mergeCell ref="F70:G70"/>
    <mergeCell ref="H70:I70"/>
    <mergeCell ref="A118:B118"/>
    <mergeCell ref="A122:B122"/>
    <mergeCell ref="A107:B107"/>
    <mergeCell ref="A140:C140"/>
    <mergeCell ref="A132:B132"/>
    <mergeCell ref="A49:A51"/>
    <mergeCell ref="A39:G39"/>
    <mergeCell ref="A43:B43"/>
    <mergeCell ref="A44:B44"/>
    <mergeCell ref="A45:B45"/>
    <mergeCell ref="A54:A56"/>
    <mergeCell ref="A57:A59"/>
    <mergeCell ref="Q141:R141"/>
    <mergeCell ref="C3:G3"/>
    <mergeCell ref="C4:G4"/>
    <mergeCell ref="D29:E29"/>
    <mergeCell ref="D36:E36"/>
    <mergeCell ref="P16:U16"/>
    <mergeCell ref="N18:N19"/>
    <mergeCell ref="A46:B46"/>
    <mergeCell ref="D22:E22"/>
    <mergeCell ref="D14:E14"/>
    <mergeCell ref="A10:A11"/>
    <mergeCell ref="A47:B47"/>
    <mergeCell ref="A41:B41"/>
    <mergeCell ref="A42:B42"/>
    <mergeCell ref="A1:B1"/>
    <mergeCell ref="A2:B2"/>
    <mergeCell ref="A3:B3"/>
    <mergeCell ref="A4:B4"/>
    <mergeCell ref="C2:G2"/>
  </mergeCells>
  <conditionalFormatting sqref="B178:F178">
    <cfRule type="expression" dxfId="47" priority="76">
      <formula>$M$177="NO"</formula>
    </cfRule>
  </conditionalFormatting>
  <conditionalFormatting sqref="B246:F246">
    <cfRule type="expression" dxfId="46" priority="71">
      <formula>$M$245="NO"</formula>
    </cfRule>
  </conditionalFormatting>
  <conditionalFormatting sqref="A137:F137">
    <cfRule type="expression" dxfId="45" priority="61">
      <formula>$M$137="NO"</formula>
    </cfRule>
  </conditionalFormatting>
  <conditionalFormatting sqref="A242:F242">
    <cfRule type="expression" dxfId="44" priority="53">
      <formula>$M$242="NO"</formula>
    </cfRule>
  </conditionalFormatting>
  <conditionalFormatting sqref="A174:F174">
    <cfRule type="expression" dxfId="43" priority="52">
      <formula>$M$174="NO"</formula>
    </cfRule>
  </conditionalFormatting>
  <conditionalFormatting sqref="C173 F173 H173 F241 H241">
    <cfRule type="expression" dxfId="42" priority="48">
      <formula>$M$173="NO"</formula>
    </cfRule>
  </conditionalFormatting>
  <conditionalFormatting sqref="A65:L65">
    <cfRule type="expression" dxfId="41" priority="47">
      <formula>$M$65="Chưa OK"</formula>
    </cfRule>
  </conditionalFormatting>
  <conditionalFormatting sqref="A173">
    <cfRule type="expression" dxfId="40" priority="31">
      <formula>#REF!="NO"</formula>
    </cfRule>
  </conditionalFormatting>
  <conditionalFormatting sqref="G173">
    <cfRule type="expression" dxfId="39" priority="30">
      <formula>#REF!="NO"</formula>
    </cfRule>
  </conditionalFormatting>
  <conditionalFormatting sqref="E173">
    <cfRule type="expression" dxfId="38" priority="29">
      <formula>#REF!="NO"</formula>
    </cfRule>
  </conditionalFormatting>
  <conditionalFormatting sqref="C241">
    <cfRule type="expression" dxfId="37" priority="28">
      <formula>$M$173="NO"</formula>
    </cfRule>
  </conditionalFormatting>
  <conditionalFormatting sqref="A241">
    <cfRule type="expression" dxfId="36" priority="27">
      <formula>#REF!="NO"</formula>
    </cfRule>
  </conditionalFormatting>
  <conditionalFormatting sqref="G241">
    <cfRule type="expression" dxfId="35" priority="26">
      <formula>#REF!="NO"</formula>
    </cfRule>
  </conditionalFormatting>
  <conditionalFormatting sqref="E241">
    <cfRule type="expression" dxfId="34" priority="25">
      <formula>#REF!="NO"</formula>
    </cfRule>
  </conditionalFormatting>
  <conditionalFormatting sqref="A241:L241">
    <cfRule type="expression" dxfId="33" priority="20">
      <formula>$N$241="Thép quá lớn"</formula>
    </cfRule>
    <cfRule type="expression" dxfId="32" priority="24">
      <formula>$M$241="NO"</formula>
    </cfRule>
  </conditionalFormatting>
  <conditionalFormatting sqref="A173:L173">
    <cfRule type="expression" dxfId="31" priority="21">
      <formula>$N$173="Thép lớn quá"</formula>
    </cfRule>
  </conditionalFormatting>
  <conditionalFormatting sqref="M107">
    <cfRule type="expression" dxfId="30" priority="11">
      <formula>$M$118="NO"</formula>
    </cfRule>
  </conditionalFormatting>
  <conditionalFormatting sqref="A107:L107">
    <cfRule type="expression" dxfId="29" priority="6">
      <formula>$M$107="NO"</formula>
    </cfRule>
  </conditionalFormatting>
  <conditionalFormatting sqref="M122">
    <cfRule type="expression" dxfId="28" priority="9">
      <formula>$M$118="NO"</formula>
    </cfRule>
  </conditionalFormatting>
  <conditionalFormatting sqref="A118:L118">
    <cfRule type="expression" dxfId="27" priority="5">
      <formula>$M$118="NO"</formula>
    </cfRule>
  </conditionalFormatting>
  <conditionalFormatting sqref="A122:L122">
    <cfRule type="expression" dxfId="26" priority="4">
      <formula>$M$122="NO"</formula>
    </cfRule>
  </conditionalFormatting>
  <conditionalFormatting sqref="A136:L136">
    <cfRule type="expression" dxfId="25" priority="3">
      <formula>$M$136="NO"</formula>
    </cfRule>
  </conditionalFormatting>
  <conditionalFormatting sqref="A132:L132">
    <cfRule type="expression" dxfId="24" priority="1">
      <formula>$M$132="NO"</formula>
    </cfRule>
  </conditionalFormatting>
  <dataValidations count="4">
    <dataValidation type="list" allowBlank="1" showInputMessage="1" showErrorMessage="1" sqref="C136 C118 C122 C107 C132" xr:uid="{00000000-0002-0000-0C00-000000000000}">
      <formula1>"10,12,14,16"</formula1>
    </dataValidation>
    <dataValidation type="list" allowBlank="1" showInputMessage="1" showErrorMessage="1" sqref="C173 C241" xr:uid="{00000000-0002-0000-0C00-000001000000}">
      <formula1>"12,14,16,18,20,22,25,28,30"</formula1>
    </dataValidation>
    <dataValidation type="list" allowBlank="1" showInputMessage="1" showErrorMessage="1" sqref="E67" xr:uid="{00000000-0002-0000-0C00-000002000000}">
      <formula1>"M200,M250,M300,M350,M400"</formula1>
    </dataValidation>
    <dataValidation type="list" allowBlank="1" showInputMessage="1" showErrorMessage="1" sqref="N3" xr:uid="{00000000-0002-0000-0C00-000003000000}">
      <formula1>"TKCS,TKKT,TKBVTC"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fitToHeight="6" orientation="portrait" blackAndWhite="1" r:id="rId1"/>
  <headerFooter alignWithMargins="0">
    <oddFooter xml:space="preserve">&amp;C
&amp;R&amp;12&amp;Y </oddFooter>
  </headerFooter>
  <rowBreaks count="4" manualBreakCount="4">
    <brk id="47" max="11" man="1"/>
    <brk id="92" max="11" man="1"/>
    <brk id="137" max="11" man="1"/>
    <brk id="178" max="11" man="1"/>
  </rowBreaks>
  <drawing r:id="rId2"/>
  <legacyDrawing r:id="rId3"/>
  <oleObjects>
    <mc:AlternateContent xmlns:mc="http://schemas.openxmlformats.org/markup-compatibility/2006">
      <mc:Choice Requires="x14">
        <oleObject progId="Visio.Drawing.11" shapeId="381967" r:id="rId4">
          <objectPr defaultSize="0" autoPict="0" r:id="rId5">
            <anchor moveWithCells="1">
              <from>
                <xdr:col>9</xdr:col>
                <xdr:colOff>704850</xdr:colOff>
                <xdr:row>178</xdr:row>
                <xdr:rowOff>184150</xdr:rowOff>
              </from>
              <to>
                <xdr:col>11</xdr:col>
                <xdr:colOff>323850</xdr:colOff>
                <xdr:row>186</xdr:row>
                <xdr:rowOff>38100</xdr:rowOff>
              </to>
            </anchor>
          </objectPr>
        </oleObject>
      </mc:Choice>
      <mc:Fallback>
        <oleObject progId="Visio.Drawing.11" shapeId="381967" r:id="rId4"/>
      </mc:Fallback>
    </mc:AlternateContent>
    <mc:AlternateContent xmlns:mc="http://schemas.openxmlformats.org/markup-compatibility/2006">
      <mc:Choice Requires="x14">
        <oleObject progId="Visio.Drawing.11" shapeId="381968" r:id="rId6">
          <objectPr defaultSize="0" autoPict="0" r:id="rId7">
            <anchor moveWithCells="1">
              <from>
                <xdr:col>9</xdr:col>
                <xdr:colOff>431800</xdr:colOff>
                <xdr:row>224</xdr:row>
                <xdr:rowOff>209550</xdr:rowOff>
              </from>
              <to>
                <xdr:col>11</xdr:col>
                <xdr:colOff>152400</xdr:colOff>
                <xdr:row>231</xdr:row>
                <xdr:rowOff>12700</xdr:rowOff>
              </to>
            </anchor>
          </objectPr>
        </oleObject>
      </mc:Choice>
      <mc:Fallback>
        <oleObject progId="Visio.Drawing.11" shapeId="381968" r:id="rId6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M33"/>
  <sheetViews>
    <sheetView topLeftCell="A19" workbookViewId="0">
      <selection activeCell="J27" sqref="J27"/>
    </sheetView>
  </sheetViews>
  <sheetFormatPr defaultColWidth="8.8984375" defaultRowHeight="13"/>
  <cols>
    <col min="1" max="6" width="12.69921875" style="2" customWidth="1"/>
    <col min="7" max="7" width="8.8984375" style="2"/>
    <col min="8" max="13" width="12.69921875" style="2" customWidth="1"/>
    <col min="14" max="16384" width="8.8984375" style="2"/>
  </cols>
  <sheetData>
    <row r="1" spans="1:13" ht="25.15" customHeight="1">
      <c r="A1" s="1443" t="s">
        <v>816</v>
      </c>
      <c r="B1" s="1443"/>
      <c r="C1" s="1443"/>
      <c r="D1" s="1443"/>
      <c r="E1" s="1443"/>
      <c r="F1" s="1443"/>
      <c r="H1" s="1443" t="s">
        <v>825</v>
      </c>
      <c r="I1" s="1443"/>
      <c r="J1" s="1443"/>
      <c r="K1" s="1443"/>
      <c r="L1" s="1443"/>
      <c r="M1" s="1443"/>
    </row>
    <row r="2" spans="1:13" ht="19.899999999999999" customHeight="1">
      <c r="A2" s="717" t="s">
        <v>140</v>
      </c>
      <c r="B2" s="717" t="s">
        <v>797</v>
      </c>
      <c r="C2" s="717" t="s">
        <v>796</v>
      </c>
      <c r="D2" s="717" t="s">
        <v>800</v>
      </c>
      <c r="E2" s="717" t="s">
        <v>799</v>
      </c>
      <c r="F2" s="717" t="s">
        <v>798</v>
      </c>
      <c r="H2" s="254" t="s">
        <v>140</v>
      </c>
      <c r="I2" s="254" t="s">
        <v>796</v>
      </c>
      <c r="J2" s="254" t="s">
        <v>817</v>
      </c>
      <c r="K2" s="254" t="s">
        <v>818</v>
      </c>
      <c r="L2" s="254" t="s">
        <v>819</v>
      </c>
      <c r="M2" s="254" t="s">
        <v>820</v>
      </c>
    </row>
    <row r="3" spans="1:13" ht="19.899999999999999" customHeight="1">
      <c r="A3" s="718">
        <v>1</v>
      </c>
      <c r="B3" s="718" t="s">
        <v>5</v>
      </c>
      <c r="C3" s="718" t="s">
        <v>771</v>
      </c>
      <c r="D3" s="718">
        <v>8.5</v>
      </c>
      <c r="E3" s="718">
        <v>0.75</v>
      </c>
      <c r="F3" s="718">
        <v>24000</v>
      </c>
      <c r="H3" s="254">
        <v>1</v>
      </c>
      <c r="I3" s="254" t="s">
        <v>821</v>
      </c>
      <c r="J3" s="254">
        <v>210</v>
      </c>
      <c r="K3" s="254">
        <v>210</v>
      </c>
      <c r="L3" s="254">
        <v>170</v>
      </c>
      <c r="M3" s="254">
        <v>200000</v>
      </c>
    </row>
    <row r="4" spans="1:13" ht="19.899999999999999" customHeight="1">
      <c r="A4" s="718">
        <v>2</v>
      </c>
      <c r="B4" s="718" t="s">
        <v>524</v>
      </c>
      <c r="C4" s="718" t="s">
        <v>741</v>
      </c>
      <c r="D4" s="718">
        <v>11.5</v>
      </c>
      <c r="E4" s="718">
        <v>0.9</v>
      </c>
      <c r="F4" s="718">
        <v>27500</v>
      </c>
      <c r="H4" s="254">
        <v>2</v>
      </c>
      <c r="I4" s="254" t="s">
        <v>822</v>
      </c>
      <c r="J4" s="254">
        <v>260</v>
      </c>
      <c r="K4" s="254">
        <v>260</v>
      </c>
      <c r="L4" s="254">
        <v>210</v>
      </c>
      <c r="M4" s="254">
        <v>200000</v>
      </c>
    </row>
    <row r="5" spans="1:13" ht="19.899999999999999" customHeight="1">
      <c r="A5" s="718">
        <v>3</v>
      </c>
      <c r="B5" s="718" t="s">
        <v>802</v>
      </c>
      <c r="C5" s="718" t="s">
        <v>801</v>
      </c>
      <c r="D5" s="718">
        <v>13</v>
      </c>
      <c r="E5" s="718">
        <v>1</v>
      </c>
      <c r="F5" s="718">
        <v>28750</v>
      </c>
      <c r="H5" s="254">
        <v>3</v>
      </c>
      <c r="I5" s="254" t="s">
        <v>823</v>
      </c>
      <c r="J5" s="254">
        <v>350</v>
      </c>
      <c r="K5" s="254">
        <v>350</v>
      </c>
      <c r="L5" s="254">
        <v>280</v>
      </c>
      <c r="M5" s="254">
        <v>200000</v>
      </c>
    </row>
    <row r="6" spans="1:13" ht="19.899999999999999" customHeight="1">
      <c r="A6" s="718">
        <v>4</v>
      </c>
      <c r="B6" s="718" t="s">
        <v>803</v>
      </c>
      <c r="C6" s="718" t="s">
        <v>772</v>
      </c>
      <c r="D6" s="718">
        <v>14.5</v>
      </c>
      <c r="E6" s="718">
        <v>1.05</v>
      </c>
      <c r="F6" s="718">
        <v>30000</v>
      </c>
      <c r="H6" s="254">
        <v>4</v>
      </c>
      <c r="I6" s="254" t="s">
        <v>824</v>
      </c>
      <c r="J6" s="254">
        <v>435</v>
      </c>
      <c r="K6" s="254">
        <v>400</v>
      </c>
      <c r="L6" s="254">
        <v>300</v>
      </c>
      <c r="M6" s="254">
        <v>200000</v>
      </c>
    </row>
    <row r="7" spans="1:13" ht="19.899999999999999" customHeight="1">
      <c r="A7" s="718">
        <v>5</v>
      </c>
      <c r="B7" s="718" t="s">
        <v>804</v>
      </c>
      <c r="C7" s="718" t="s">
        <v>773</v>
      </c>
      <c r="D7" s="718">
        <v>17</v>
      </c>
      <c r="E7" s="718">
        <v>1.1499999999999999</v>
      </c>
      <c r="F7" s="718">
        <v>32500</v>
      </c>
    </row>
    <row r="8" spans="1:13" ht="19.899999999999999" customHeight="1">
      <c r="A8" s="718">
        <v>6</v>
      </c>
      <c r="B8" s="718" t="s">
        <v>805</v>
      </c>
      <c r="C8" s="718" t="s">
        <v>774</v>
      </c>
      <c r="D8" s="718">
        <v>19.5</v>
      </c>
      <c r="E8" s="718">
        <v>1.3</v>
      </c>
      <c r="F8" s="718">
        <v>34500</v>
      </c>
    </row>
    <row r="9" spans="1:13" ht="19.899999999999999" customHeight="1">
      <c r="A9" s="718">
        <v>7</v>
      </c>
      <c r="B9" s="718" t="s">
        <v>806</v>
      </c>
      <c r="C9" s="718" t="s">
        <v>775</v>
      </c>
      <c r="D9" s="718">
        <v>22</v>
      </c>
      <c r="E9" s="718">
        <v>1.4</v>
      </c>
      <c r="F9" s="718">
        <v>36000</v>
      </c>
    </row>
    <row r="10" spans="1:13" ht="19.899999999999999" customHeight="1">
      <c r="A10" s="718">
        <v>8</v>
      </c>
      <c r="B10" s="718" t="s">
        <v>808</v>
      </c>
      <c r="C10" s="718" t="s">
        <v>807</v>
      </c>
      <c r="D10" s="718">
        <v>25</v>
      </c>
      <c r="E10" s="718">
        <v>1.5</v>
      </c>
      <c r="F10" s="718">
        <v>37000</v>
      </c>
      <c r="H10" s="718" t="s">
        <v>524</v>
      </c>
      <c r="I10" s="2" t="str">
        <f>VLOOKUP(H10,B3:C13,2,0)</f>
        <v>B20</v>
      </c>
    </row>
    <row r="11" spans="1:13" ht="19.899999999999999" customHeight="1">
      <c r="A11" s="718">
        <v>9</v>
      </c>
      <c r="B11" s="718" t="s">
        <v>810</v>
      </c>
      <c r="C11" s="718" t="s">
        <v>809</v>
      </c>
      <c r="D11" s="718">
        <v>27.5</v>
      </c>
      <c r="E11" s="718">
        <v>1.6</v>
      </c>
      <c r="F11" s="718">
        <v>38000</v>
      </c>
    </row>
    <row r="12" spans="1:13" ht="19.899999999999999" customHeight="1">
      <c r="A12" s="718">
        <v>10</v>
      </c>
      <c r="B12" s="718" t="s">
        <v>810</v>
      </c>
      <c r="C12" s="718" t="s">
        <v>811</v>
      </c>
      <c r="D12" s="718">
        <v>30</v>
      </c>
      <c r="E12" s="718">
        <v>1.7</v>
      </c>
      <c r="F12" s="718">
        <v>39000</v>
      </c>
    </row>
    <row r="13" spans="1:13" ht="19.899999999999999" customHeight="1">
      <c r="A13" s="718">
        <v>11</v>
      </c>
      <c r="B13" s="718" t="s">
        <v>813</v>
      </c>
      <c r="C13" s="718" t="s">
        <v>812</v>
      </c>
      <c r="D13" s="718">
        <v>33</v>
      </c>
      <c r="E13" s="718">
        <v>1.8</v>
      </c>
      <c r="F13" s="718">
        <v>39500</v>
      </c>
    </row>
    <row r="14" spans="1:13">
      <c r="A14" s="719"/>
      <c r="B14" s="720" t="s">
        <v>814</v>
      </c>
    </row>
    <row r="17" spans="1:2" ht="15.5">
      <c r="A17" s="424" t="s">
        <v>1027</v>
      </c>
      <c r="B17"/>
    </row>
    <row r="18" spans="1:2">
      <c r="A18" s="2" t="s">
        <v>1028</v>
      </c>
      <c r="B18" s="2" t="s">
        <v>1029</v>
      </c>
    </row>
    <row r="19" spans="1:2">
      <c r="A19" s="2">
        <v>6</v>
      </c>
      <c r="B19" s="2">
        <v>0.222</v>
      </c>
    </row>
    <row r="20" spans="1:2">
      <c r="A20" s="2">
        <v>8</v>
      </c>
      <c r="B20" s="2">
        <v>0.39500000000000002</v>
      </c>
    </row>
    <row r="21" spans="1:2">
      <c r="A21" s="2">
        <v>10</v>
      </c>
      <c r="B21" s="2">
        <v>0.61699999999999999</v>
      </c>
    </row>
    <row r="22" spans="1:2">
      <c r="A22" s="2">
        <v>12</v>
      </c>
      <c r="B22" s="2">
        <v>0.88800000000000001</v>
      </c>
    </row>
    <row r="23" spans="1:2">
      <c r="A23" s="2">
        <v>14</v>
      </c>
      <c r="B23" s="2">
        <v>1.21</v>
      </c>
    </row>
    <row r="24" spans="1:2">
      <c r="A24" s="2">
        <v>16</v>
      </c>
      <c r="B24" s="2">
        <v>1.58</v>
      </c>
    </row>
    <row r="25" spans="1:2">
      <c r="A25" s="2">
        <v>18</v>
      </c>
      <c r="B25" s="2">
        <v>2</v>
      </c>
    </row>
    <row r="26" spans="1:2">
      <c r="A26" s="2">
        <v>20</v>
      </c>
      <c r="B26" s="2">
        <v>2.4700000000000002</v>
      </c>
    </row>
    <row r="27" spans="1:2">
      <c r="A27" s="2">
        <v>22</v>
      </c>
      <c r="B27" s="2">
        <v>2.98</v>
      </c>
    </row>
    <row r="28" spans="1:2">
      <c r="A28" s="2">
        <v>25</v>
      </c>
      <c r="B28" s="2">
        <v>3.85</v>
      </c>
    </row>
    <row r="29" spans="1:2">
      <c r="A29" s="2">
        <v>28</v>
      </c>
      <c r="B29" s="2">
        <v>4.83</v>
      </c>
    </row>
    <row r="30" spans="1:2">
      <c r="A30" s="2">
        <v>32</v>
      </c>
      <c r="B30" s="2">
        <v>6.31</v>
      </c>
    </row>
    <row r="31" spans="1:2">
      <c r="A31" s="2">
        <v>36</v>
      </c>
      <c r="B31" s="2">
        <v>7.99</v>
      </c>
    </row>
    <row r="32" spans="1:2">
      <c r="A32" s="2">
        <v>40</v>
      </c>
      <c r="B32" s="2">
        <v>9.86</v>
      </c>
    </row>
    <row r="33" spans="1:2">
      <c r="A33" s="2">
        <v>50</v>
      </c>
      <c r="B33" s="2">
        <v>15.42</v>
      </c>
    </row>
  </sheetData>
  <mergeCells count="2">
    <mergeCell ref="A1:F1"/>
    <mergeCell ref="H1:M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06BFF-2754-4F08-AA92-3AEF1C47898D}">
  <sheetPr codeName="Sheet28"/>
  <dimension ref="A1:AO392"/>
  <sheetViews>
    <sheetView tabSelected="1" view="pageBreakPreview" topLeftCell="A40" zoomScaleNormal="100" zoomScaleSheetLayoutView="100" workbookViewId="0">
      <selection activeCell="K21" sqref="K21"/>
    </sheetView>
  </sheetViews>
  <sheetFormatPr defaultColWidth="10.69921875" defaultRowHeight="19.899999999999999" customHeight="1" outlineLevelRow="1"/>
  <cols>
    <col min="1" max="1" width="11.8984375" style="448" customWidth="1"/>
    <col min="2" max="3" width="11.8984375" style="267" customWidth="1"/>
    <col min="4" max="4" width="10.69921875" style="267"/>
    <col min="5" max="5" width="12.3984375" style="267" bestFit="1" customWidth="1"/>
    <col min="6" max="6" width="12.296875" style="267" bestFit="1" customWidth="1"/>
    <col min="7" max="7" width="12" style="267" customWidth="1"/>
    <col min="8" max="8" width="12.296875" style="267" customWidth="1"/>
    <col min="9" max="9" width="10.8984375" style="267" customWidth="1"/>
    <col min="10" max="10" width="9.296875" style="267" customWidth="1"/>
    <col min="11" max="11" width="10.69921875" style="267"/>
    <col min="12" max="12" width="11.09765625" style="267" customWidth="1"/>
    <col min="13" max="13" width="20.09765625" style="267" customWidth="1"/>
    <col min="14" max="15" width="12.69921875" style="267" customWidth="1"/>
    <col min="16" max="16" width="10.69921875" style="267"/>
    <col min="17" max="17" width="11" style="267" bestFit="1" customWidth="1"/>
    <col min="18" max="18" width="10.69921875" style="267"/>
    <col min="19" max="19" width="12.3984375" style="267" customWidth="1"/>
    <col min="20" max="20" width="13.59765625" style="267" bestFit="1" customWidth="1"/>
    <col min="21" max="16384" width="10.69921875" style="267"/>
  </cols>
  <sheetData>
    <row r="1" spans="1:21" ht="19.899999999999999" customHeight="1">
      <c r="A1" s="1600" t="s">
        <v>602</v>
      </c>
      <c r="B1" s="1600"/>
      <c r="C1" s="1237" t="str">
        <f>'D122-42'!$C$1</f>
        <v>NHÀ MÁY ĐIỆN GIÓ KHU DU LỊCH KHAI LONG - CÀ MAU GIAI ĐOẠN 1</v>
      </c>
      <c r="D1" s="1237"/>
      <c r="E1" s="1237"/>
      <c r="F1" s="1237"/>
      <c r="G1" s="1237"/>
      <c r="H1" s="1237"/>
      <c r="I1" s="451"/>
      <c r="J1" s="754"/>
      <c r="K1" s="754"/>
      <c r="L1" s="754"/>
      <c r="M1" s="721"/>
      <c r="N1" s="747"/>
    </row>
    <row r="2" spans="1:21" ht="19.899999999999999" customHeight="1">
      <c r="A2" s="1600" t="s">
        <v>603</v>
      </c>
      <c r="B2" s="1600"/>
      <c r="C2" s="1237" t="str">
        <f>'D122-42'!$C$2</f>
        <v>ĐƯỜNG DÂY ĐẤU NỐI</v>
      </c>
      <c r="D2" s="1237"/>
      <c r="E2" s="1237"/>
      <c r="F2" s="1237"/>
      <c r="G2" s="1237"/>
      <c r="H2" s="1237"/>
      <c r="I2" s="1237"/>
      <c r="J2" s="1237"/>
      <c r="K2" s="754"/>
      <c r="L2" s="754"/>
      <c r="M2" s="826"/>
      <c r="N2" s="827"/>
      <c r="P2" s="828"/>
    </row>
    <row r="3" spans="1:21" ht="19.899999999999999" customHeight="1">
      <c r="A3" s="1828" t="s">
        <v>604</v>
      </c>
      <c r="B3" s="1828" t="str">
        <f>IF(LEFT(C3,1)="D", "ĐỠ", IF(OR(LEFT(C3,2)="ND",LEFT(C3,2)="NC"), "NÉO DỪNG", "NÉO"))</f>
        <v>ĐỠ</v>
      </c>
      <c r="C3" s="1237" t="str">
        <f>'D122-42'!$C$3</f>
        <v>D122-42</v>
      </c>
      <c r="D3" s="1237"/>
      <c r="E3" s="1237"/>
      <c r="F3" s="1237"/>
      <c r="G3" s="1237"/>
      <c r="H3" s="764"/>
      <c r="I3" s="451"/>
      <c r="J3" s="1822" t="s">
        <v>1146</v>
      </c>
      <c r="K3" s="754" t="str">
        <f>LEFT('D122-42'!$D$67,3)</f>
        <v>B20</v>
      </c>
      <c r="L3" s="754"/>
      <c r="M3" s="832"/>
      <c r="N3" s="834"/>
      <c r="O3" s="833"/>
    </row>
    <row r="4" spans="1:21" ht="19.899999999999999" customHeight="1">
      <c r="A4" s="1600" t="s">
        <v>605</v>
      </c>
      <c r="B4" s="1600"/>
      <c r="C4" s="1237" t="str">
        <f>'D122-42'!$C$4</f>
        <v>MB4-10x12-2.5</v>
      </c>
      <c r="D4" s="1237"/>
      <c r="E4" s="1237"/>
      <c r="F4" s="1237"/>
      <c r="G4" s="1237"/>
      <c r="H4" s="754"/>
      <c r="I4" s="453"/>
      <c r="J4" s="1822" t="s">
        <v>1147</v>
      </c>
      <c r="K4" s="754" t="s">
        <v>730</v>
      </c>
      <c r="L4" s="754"/>
      <c r="M4" s="721"/>
      <c r="N4" s="712"/>
      <c r="O4" s="452"/>
    </row>
    <row r="5" spans="1:21" ht="19" customHeight="1">
      <c r="A5" s="1829" t="s">
        <v>738</v>
      </c>
      <c r="B5" s="1237"/>
      <c r="C5" s="1237" t="s">
        <v>1008</v>
      </c>
      <c r="D5" s="1421"/>
      <c r="E5" s="1420"/>
      <c r="F5" s="1420"/>
      <c r="G5" s="1422"/>
      <c r="H5" s="1423"/>
      <c r="I5" s="453"/>
      <c r="J5" s="759" t="s">
        <v>1148</v>
      </c>
      <c r="K5" s="1823" t="s">
        <v>1149</v>
      </c>
      <c r="M5" s="721"/>
    </row>
    <row r="6" spans="1:21" ht="19.5" customHeight="1">
      <c r="B6" s="1428">
        <f>(K11-K7)/2</f>
        <v>4</v>
      </c>
      <c r="C6" s="1430"/>
      <c r="D6" s="1652">
        <f>K7</f>
        <v>4</v>
      </c>
      <c r="E6" s="1653"/>
      <c r="F6" s="764"/>
      <c r="G6" s="757">
        <f xml:space="preserve"> B6</f>
        <v>4</v>
      </c>
      <c r="H6" s="1423"/>
      <c r="I6" s="453"/>
      <c r="J6" s="763" t="s">
        <v>211</v>
      </c>
      <c r="K6" s="754"/>
      <c r="L6" s="754"/>
      <c r="M6" s="721"/>
    </row>
    <row r="7" spans="1:21" ht="19.899999999999999" customHeight="1">
      <c r="B7" s="1420"/>
      <c r="C7" s="1421"/>
      <c r="D7" s="1421"/>
      <c r="E7" s="1420"/>
      <c r="F7" s="1420"/>
      <c r="G7" s="1422"/>
      <c r="H7" s="1423"/>
      <c r="I7" s="453"/>
      <c r="J7" s="759" t="s">
        <v>888</v>
      </c>
      <c r="K7" s="757">
        <f>'D122-42'!$K$7</f>
        <v>4</v>
      </c>
      <c r="L7" s="763" t="s">
        <v>0</v>
      </c>
      <c r="M7" s="721"/>
    </row>
    <row r="8" spans="1:21" ht="19.899999999999999" customHeight="1">
      <c r="B8" s="1420"/>
      <c r="C8" s="1421"/>
      <c r="D8" s="1421"/>
      <c r="E8" s="1420"/>
      <c r="F8" s="1420"/>
      <c r="G8" s="1422"/>
      <c r="H8" s="1423"/>
      <c r="I8" s="453"/>
      <c r="J8" s="759" t="s">
        <v>889</v>
      </c>
      <c r="K8" s="757">
        <f>'D122-42'!$K$8</f>
        <v>4</v>
      </c>
      <c r="L8" s="763" t="s">
        <v>0</v>
      </c>
      <c r="M8" s="721"/>
    </row>
    <row r="9" spans="1:21" ht="22.5" customHeight="1">
      <c r="A9" s="1429">
        <f>K30</f>
        <v>2.5</v>
      </c>
      <c r="B9" s="1420"/>
      <c r="C9" s="1421"/>
      <c r="D9" s="1421"/>
      <c r="E9" s="1420"/>
      <c r="F9" s="1420"/>
      <c r="G9" s="1422"/>
      <c r="H9" s="1423"/>
      <c r="I9" s="453"/>
      <c r="J9" s="763" t="s">
        <v>606</v>
      </c>
      <c r="K9" s="757"/>
      <c r="L9" s="763"/>
      <c r="M9" s="721"/>
    </row>
    <row r="10" spans="1:21" ht="19.899999999999999" customHeight="1">
      <c r="A10" s="1612">
        <f>K32</f>
        <v>3.5</v>
      </c>
      <c r="B10" s="1420"/>
      <c r="C10" s="1421"/>
      <c r="D10" s="1421"/>
      <c r="E10" s="1420"/>
      <c r="F10" s="1420"/>
      <c r="G10" s="1422"/>
      <c r="H10" s="1423"/>
      <c r="I10" s="453"/>
      <c r="J10" s="759" t="s">
        <v>112</v>
      </c>
      <c r="K10" s="1824">
        <f>'D122-42'!$K$10</f>
        <v>10</v>
      </c>
      <c r="L10" s="763" t="s">
        <v>0</v>
      </c>
      <c r="M10" s="721"/>
    </row>
    <row r="11" spans="1:21" ht="19.899999999999999" customHeight="1">
      <c r="A11" s="1613"/>
      <c r="B11" s="1420"/>
      <c r="C11" s="1421"/>
      <c r="D11" s="1421"/>
      <c r="E11" s="1420"/>
      <c r="F11" s="1420"/>
      <c r="G11" s="1422"/>
      <c r="H11" s="1423"/>
      <c r="I11" s="453"/>
      <c r="J11" s="759" t="s">
        <v>113</v>
      </c>
      <c r="K11" s="1824">
        <f>'D122-42'!$K$11</f>
        <v>12</v>
      </c>
      <c r="L11" s="763" t="s">
        <v>0</v>
      </c>
      <c r="M11" s="721"/>
    </row>
    <row r="12" spans="1:21" ht="22.5" customHeight="1">
      <c r="A12" s="1429">
        <f>K28</f>
        <v>1</v>
      </c>
      <c r="B12" s="1420"/>
      <c r="C12" s="1421"/>
      <c r="D12" s="1421"/>
      <c r="E12" s="1420"/>
      <c r="F12" s="1420"/>
      <c r="G12" s="1422"/>
      <c r="H12" s="1655">
        <f>K16</f>
        <v>0.35</v>
      </c>
      <c r="I12" s="1654">
        <f>K14</f>
        <v>1</v>
      </c>
      <c r="J12" s="763" t="s">
        <v>608</v>
      </c>
      <c r="K12" s="757"/>
      <c r="L12" s="763"/>
      <c r="M12" s="721"/>
    </row>
    <row r="13" spans="1:21" ht="19.899999999999999" customHeight="1">
      <c r="B13" s="1420"/>
      <c r="C13" s="1421"/>
      <c r="D13" s="1421"/>
      <c r="E13" s="1420"/>
      <c r="F13" s="1420"/>
      <c r="G13" s="1422"/>
      <c r="H13" s="1655"/>
      <c r="I13" s="1654"/>
      <c r="J13" s="759" t="s">
        <v>68</v>
      </c>
      <c r="K13" s="1824">
        <f>'D122-42'!$K$16</f>
        <v>0.5</v>
      </c>
      <c r="L13" s="763" t="s">
        <v>0</v>
      </c>
      <c r="M13" s="721"/>
    </row>
    <row r="14" spans="1:21" ht="19.899999999999999" customHeight="1">
      <c r="B14" s="1420"/>
      <c r="C14" s="1421"/>
      <c r="D14" s="1611">
        <f>D37</f>
        <v>12</v>
      </c>
      <c r="E14" s="1611"/>
      <c r="F14" s="1420"/>
      <c r="G14" s="1422"/>
      <c r="H14" s="1423"/>
      <c r="I14" s="453"/>
      <c r="J14" s="759" t="s">
        <v>69</v>
      </c>
      <c r="K14" s="1824">
        <f>'D122-42'!$K$17</f>
        <v>1</v>
      </c>
      <c r="L14" s="763" t="s">
        <v>0</v>
      </c>
      <c r="M14" s="721"/>
    </row>
    <row r="15" spans="1:21" ht="19.899999999999999" customHeight="1">
      <c r="B15" s="1420"/>
      <c r="C15" s="1421"/>
      <c r="D15" s="1421"/>
      <c r="E15" s="1420"/>
      <c r="F15" s="1420"/>
      <c r="G15" s="1422"/>
      <c r="H15" s="1423"/>
      <c r="I15" s="453"/>
      <c r="J15" s="763" t="s">
        <v>609</v>
      </c>
      <c r="K15" s="1824"/>
      <c r="L15" s="763"/>
      <c r="M15" s="721"/>
    </row>
    <row r="16" spans="1:21" ht="19.899999999999999" customHeight="1">
      <c r="A16" s="763"/>
      <c r="B16" s="754"/>
      <c r="C16" s="754"/>
      <c r="D16" s="754"/>
      <c r="E16" s="754"/>
      <c r="F16" s="754"/>
      <c r="G16" s="754"/>
      <c r="H16" s="754"/>
      <c r="I16" s="754"/>
      <c r="J16" s="759" t="s">
        <v>114</v>
      </c>
      <c r="K16" s="1824">
        <f>'D122-42'!$K$19</f>
        <v>0.35</v>
      </c>
      <c r="L16" s="763" t="s">
        <v>0</v>
      </c>
      <c r="M16" s="1915"/>
      <c r="N16" s="1839"/>
      <c r="O16" s="1939"/>
      <c r="P16" s="1940"/>
      <c r="Q16" s="1940"/>
      <c r="R16" s="1940"/>
      <c r="S16" s="1940"/>
      <c r="T16" s="1940"/>
      <c r="U16" s="1940"/>
    </row>
    <row r="17" spans="1:21" ht="19.899999999999999" customHeight="1">
      <c r="A17" s="763"/>
      <c r="B17" s="754"/>
      <c r="C17" s="754"/>
      <c r="D17" s="754"/>
      <c r="E17" s="754"/>
      <c r="F17" s="754"/>
      <c r="H17" s="1654">
        <f>K24</f>
        <v>2.75</v>
      </c>
      <c r="I17" s="754"/>
      <c r="J17" s="759" t="s">
        <v>115</v>
      </c>
      <c r="K17" s="1824">
        <f>'D122-42'!$K$20</f>
        <v>1</v>
      </c>
      <c r="L17" s="763" t="s">
        <v>0</v>
      </c>
      <c r="M17" s="1915"/>
      <c r="N17" s="1941"/>
      <c r="O17" s="1941"/>
      <c r="P17" s="1911"/>
      <c r="Q17" s="1911"/>
      <c r="R17" s="1911"/>
      <c r="S17" s="1911"/>
      <c r="T17" s="1911"/>
      <c r="U17" s="1911"/>
    </row>
    <row r="18" spans="1:21" ht="19.899999999999999" customHeight="1">
      <c r="A18" s="267"/>
      <c r="B18" s="763" t="s">
        <v>632</v>
      </c>
      <c r="C18" s="1433">
        <f>K20</f>
        <v>0.7</v>
      </c>
      <c r="D18" s="754"/>
      <c r="E18" s="754"/>
      <c r="G18" s="775" t="s">
        <v>214</v>
      </c>
      <c r="H18" s="1654"/>
      <c r="I18" s="754"/>
      <c r="J18" s="759" t="s">
        <v>76</v>
      </c>
      <c r="K18" s="1824">
        <f>'D122-42'!$K$21</f>
        <v>0.35</v>
      </c>
      <c r="L18" s="763" t="s">
        <v>0</v>
      </c>
      <c r="M18" s="1915"/>
      <c r="N18" s="1942"/>
      <c r="O18" s="1943"/>
      <c r="P18" s="1944"/>
      <c r="Q18" s="1944"/>
      <c r="R18" s="1944"/>
      <c r="S18" s="1944"/>
      <c r="T18" s="1944"/>
      <c r="U18" s="1944"/>
    </row>
    <row r="19" spans="1:21" ht="19.899999999999999" customHeight="1">
      <c r="A19" s="763"/>
      <c r="B19" s="754"/>
      <c r="C19" s="754"/>
      <c r="D19" s="754"/>
      <c r="E19" s="762"/>
      <c r="F19" s="754"/>
      <c r="G19" s="1426"/>
      <c r="H19" s="1654"/>
      <c r="I19" s="754"/>
      <c r="J19" s="763" t="s">
        <v>610</v>
      </c>
      <c r="K19" s="1824"/>
      <c r="L19" s="763"/>
      <c r="M19" s="1915"/>
      <c r="N19" s="1942"/>
      <c r="O19" s="1943"/>
      <c r="P19" s="1944"/>
      <c r="Q19" s="1944"/>
      <c r="R19" s="1944"/>
      <c r="S19" s="1944"/>
      <c r="T19" s="1944"/>
      <c r="U19" s="1944"/>
    </row>
    <row r="20" spans="1:21" ht="19.899999999999999" customHeight="1">
      <c r="A20" s="763"/>
      <c r="B20" s="1432">
        <f>K20</f>
        <v>0.7</v>
      </c>
      <c r="C20" s="754"/>
      <c r="D20" s="754"/>
      <c r="E20" s="762"/>
      <c r="F20" s="754"/>
      <c r="H20" s="1419">
        <f>K13</f>
        <v>0.5</v>
      </c>
      <c r="I20" s="754"/>
      <c r="J20" s="759" t="s">
        <v>74</v>
      </c>
      <c r="K20" s="1824">
        <f>'D122-42'!$K$23</f>
        <v>0.7</v>
      </c>
      <c r="L20" s="763" t="s">
        <v>0</v>
      </c>
      <c r="M20" s="1945"/>
      <c r="N20" s="1942"/>
      <c r="O20" s="1943"/>
      <c r="P20" s="1944"/>
      <c r="Q20" s="1944"/>
      <c r="R20" s="1944"/>
      <c r="S20" s="1944"/>
      <c r="T20" s="1944"/>
      <c r="U20" s="1944"/>
    </row>
    <row r="21" spans="1:21" ht="19.899999999999999" customHeight="1">
      <c r="A21" s="763"/>
      <c r="B21" s="754"/>
      <c r="C21" s="754"/>
      <c r="D21" s="754"/>
      <c r="E21" s="754"/>
      <c r="F21" s="754"/>
      <c r="G21" s="1425"/>
      <c r="H21" s="1419"/>
      <c r="I21" s="754"/>
      <c r="M21" s="1915"/>
      <c r="N21" s="1942"/>
      <c r="O21" s="1943"/>
      <c r="P21" s="1944"/>
      <c r="Q21" s="1944"/>
      <c r="R21" s="1944"/>
      <c r="S21" s="1944"/>
      <c r="T21" s="1944"/>
      <c r="U21" s="1944"/>
    </row>
    <row r="22" spans="1:21" ht="19.899999999999999" customHeight="1">
      <c r="A22" s="763"/>
      <c r="B22" s="754"/>
      <c r="C22" s="754"/>
      <c r="D22" s="1610">
        <f>K17</f>
        <v>1</v>
      </c>
      <c r="E22" s="1610"/>
      <c r="F22" s="754"/>
      <c r="G22" s="754"/>
      <c r="H22" s="754"/>
      <c r="I22" s="754"/>
      <c r="J22" s="763" t="s">
        <v>611</v>
      </c>
      <c r="K22" s="1825"/>
      <c r="L22" s="763"/>
      <c r="M22" s="1915"/>
      <c r="N22" s="1942"/>
      <c r="O22" s="1943"/>
      <c r="P22" s="1944"/>
      <c r="Q22" s="1944"/>
      <c r="R22" s="1944"/>
      <c r="S22" s="1944"/>
      <c r="T22" s="1944"/>
      <c r="U22" s="1944"/>
    </row>
    <row r="23" spans="1:21" ht="19.899999999999999" customHeight="1">
      <c r="A23" s="763"/>
      <c r="B23" s="754"/>
      <c r="C23" s="754"/>
      <c r="D23" s="754"/>
      <c r="E23" s="754"/>
      <c r="F23" s="754"/>
      <c r="G23" s="754"/>
      <c r="H23" s="754"/>
      <c r="I23" s="754"/>
      <c r="J23" s="759" t="s">
        <v>936</v>
      </c>
      <c r="K23" s="1826">
        <f>K7-K13</f>
        <v>3.5</v>
      </c>
      <c r="L23" s="763" t="s">
        <v>0</v>
      </c>
      <c r="M23" s="1915"/>
      <c r="N23" s="1942"/>
      <c r="O23" s="1943"/>
      <c r="P23" s="1944"/>
      <c r="Q23" s="1944"/>
      <c r="R23" s="1944"/>
      <c r="S23" s="1944"/>
      <c r="T23" s="1944"/>
      <c r="U23" s="1944"/>
    </row>
    <row r="24" spans="1:21" ht="19.899999999999999" customHeight="1">
      <c r="A24" s="763"/>
      <c r="B24" s="754"/>
      <c r="D24" s="754"/>
      <c r="E24" s="768"/>
      <c r="F24" s="754"/>
      <c r="J24" s="759" t="s">
        <v>935</v>
      </c>
      <c r="K24" s="1826">
        <f>(K10-K7-K13)/2</f>
        <v>2.75</v>
      </c>
      <c r="L24" s="763" t="s">
        <v>0</v>
      </c>
      <c r="M24" s="1915"/>
      <c r="N24" s="1914"/>
      <c r="O24" s="1914"/>
      <c r="P24" s="1914"/>
      <c r="Q24" s="1914"/>
      <c r="R24" s="1914"/>
      <c r="S24" s="1914"/>
      <c r="T24" s="1914"/>
      <c r="U24" s="1914"/>
    </row>
    <row r="25" spans="1:21" ht="19.899999999999999" customHeight="1">
      <c r="A25" s="763"/>
      <c r="B25" s="754"/>
      <c r="C25" s="1425">
        <f>K17</f>
        <v>1</v>
      </c>
      <c r="D25" s="754"/>
      <c r="E25" s="754"/>
      <c r="F25" s="754"/>
      <c r="G25" s="775" t="s">
        <v>215</v>
      </c>
      <c r="H25" s="1654">
        <f>K23</f>
        <v>3.5</v>
      </c>
      <c r="I25" s="1593">
        <f>H17+H20+H25+H31+H33</f>
        <v>10</v>
      </c>
      <c r="J25" s="759" t="s">
        <v>934</v>
      </c>
      <c r="K25" s="1826">
        <f>K8-K13</f>
        <v>3.5</v>
      </c>
      <c r="L25" s="763" t="s">
        <v>0</v>
      </c>
      <c r="M25" s="1915"/>
      <c r="N25" s="1946"/>
      <c r="O25" s="1914"/>
      <c r="P25" s="1914"/>
      <c r="Q25" s="1914"/>
      <c r="R25" s="1914"/>
      <c r="S25" s="1914"/>
      <c r="T25" s="1914"/>
      <c r="U25" s="1914"/>
    </row>
    <row r="26" spans="1:21" ht="19.899999999999999" customHeight="1">
      <c r="A26" s="763"/>
      <c r="B26" s="758" t="s">
        <v>1119</v>
      </c>
      <c r="C26" s="754"/>
      <c r="D26" s="754"/>
      <c r="E26" s="754"/>
      <c r="F26" s="754"/>
      <c r="H26" s="1654"/>
      <c r="I26" s="1593"/>
      <c r="J26" s="759" t="s">
        <v>933</v>
      </c>
      <c r="K26" s="1826">
        <f>(K11-K8-K13)/2</f>
        <v>3.75</v>
      </c>
      <c r="L26" s="763" t="s">
        <v>0</v>
      </c>
      <c r="M26" s="1915"/>
      <c r="N26" s="1841"/>
      <c r="O26" s="1841"/>
      <c r="P26" s="1841"/>
      <c r="Q26" s="1841"/>
      <c r="R26" s="1841"/>
      <c r="S26" s="1841"/>
      <c r="T26" s="1841"/>
      <c r="U26" s="1914"/>
    </row>
    <row r="27" spans="1:21" ht="19.899999999999999" customHeight="1">
      <c r="A27" s="267"/>
      <c r="E27" s="758"/>
      <c r="G27" s="754"/>
      <c r="H27" s="1425"/>
      <c r="I27" s="754"/>
      <c r="J27" s="763" t="s">
        <v>212</v>
      </c>
      <c r="K27" s="1827"/>
      <c r="M27" s="1915"/>
      <c r="N27" s="1841"/>
      <c r="O27" s="1841"/>
      <c r="P27" s="1841"/>
      <c r="Q27" s="1841"/>
      <c r="R27" s="1841"/>
      <c r="S27" s="1841"/>
      <c r="T27" s="1841"/>
      <c r="U27" s="1914"/>
    </row>
    <row r="28" spans="1:21" ht="19.899999999999999" customHeight="1">
      <c r="A28" s="763"/>
      <c r="B28" s="792">
        <f>K18</f>
        <v>0.35</v>
      </c>
      <c r="C28" s="754"/>
      <c r="D28" s="754"/>
      <c r="E28" s="754"/>
      <c r="F28" s="754"/>
      <c r="G28" s="754"/>
      <c r="H28" s="754"/>
      <c r="I28" s="754"/>
      <c r="J28" s="759" t="s">
        <v>940</v>
      </c>
      <c r="K28" s="1824">
        <f>'D122-42'!$K$39</f>
        <v>1</v>
      </c>
      <c r="L28" s="763" t="s">
        <v>0</v>
      </c>
      <c r="M28" s="1915"/>
      <c r="N28" s="1841"/>
      <c r="O28" s="1841"/>
      <c r="P28" s="1841"/>
      <c r="Q28" s="1841"/>
      <c r="R28" s="1841"/>
      <c r="S28" s="1841"/>
      <c r="T28" s="1841"/>
      <c r="U28" s="1914"/>
    </row>
    <row r="29" spans="1:21" ht="19.899999999999999" customHeight="1">
      <c r="A29" s="763"/>
      <c r="B29" s="754"/>
      <c r="C29" s="754"/>
      <c r="D29" s="1570" t="s">
        <v>633</v>
      </c>
      <c r="E29" s="1570"/>
      <c r="F29" s="754"/>
      <c r="H29" s="754"/>
      <c r="I29" s="754"/>
      <c r="J29" s="758" t="s">
        <v>617</v>
      </c>
      <c r="K29" s="1825"/>
      <c r="L29" s="754"/>
      <c r="M29" s="721"/>
      <c r="N29"/>
      <c r="O29"/>
      <c r="P29"/>
      <c r="Q29"/>
      <c r="R29"/>
      <c r="S29"/>
      <c r="T29"/>
      <c r="U29"/>
    </row>
    <row r="30" spans="1:21" ht="19.899999999999999" customHeight="1">
      <c r="A30" s="763"/>
      <c r="C30" s="754"/>
      <c r="D30" s="754"/>
      <c r="E30" s="754"/>
      <c r="F30" s="754"/>
      <c r="G30" s="1425"/>
      <c r="H30" s="766"/>
      <c r="I30" s="754"/>
      <c r="J30" s="759" t="s">
        <v>939</v>
      </c>
      <c r="K30" s="1824">
        <f>'D122-42'!$K$41</f>
        <v>2.5</v>
      </c>
      <c r="L30" s="763" t="s">
        <v>0</v>
      </c>
      <c r="M30" s="721"/>
      <c r="N30"/>
      <c r="O30"/>
      <c r="P30"/>
      <c r="Q30"/>
      <c r="R30"/>
      <c r="S30"/>
      <c r="T30"/>
      <c r="U30"/>
    </row>
    <row r="31" spans="1:21" ht="19.899999999999999" customHeight="1">
      <c r="A31" s="763"/>
      <c r="B31" s="1431">
        <f>K18</f>
        <v>0.35</v>
      </c>
      <c r="C31" s="754"/>
      <c r="D31" s="754"/>
      <c r="E31" s="1427"/>
      <c r="F31" s="754"/>
      <c r="H31" s="1418">
        <f>K13</f>
        <v>0.5</v>
      </c>
      <c r="I31" s="754"/>
      <c r="J31" s="763" t="s">
        <v>607</v>
      </c>
      <c r="K31" s="757"/>
      <c r="L31" s="763"/>
      <c r="M31" s="721"/>
      <c r="N31"/>
      <c r="O31"/>
      <c r="P31"/>
      <c r="Q31"/>
      <c r="R31"/>
      <c r="S31"/>
      <c r="T31"/>
      <c r="U31"/>
    </row>
    <row r="32" spans="1:21" ht="19.899999999999999" customHeight="1">
      <c r="A32" s="763"/>
      <c r="B32" s="754"/>
      <c r="C32" s="754"/>
      <c r="D32" s="754"/>
      <c r="E32" s="762"/>
      <c r="F32" s="754"/>
      <c r="G32" s="1426"/>
      <c r="H32" s="760"/>
      <c r="I32" s="754"/>
      <c r="J32" s="759" t="s">
        <v>1150</v>
      </c>
      <c r="K32" s="757">
        <f>K28+K30</f>
        <v>3.5</v>
      </c>
      <c r="L32" s="763" t="s">
        <v>0</v>
      </c>
      <c r="M32" s="763"/>
      <c r="P32" s="1947"/>
      <c r="Q32" s="1948"/>
      <c r="R32" s="1949"/>
      <c r="S32" s="1949"/>
    </row>
    <row r="33" spans="1:19" ht="19.899999999999999" customHeight="1">
      <c r="A33" s="267"/>
      <c r="B33" s="758" t="s">
        <v>632</v>
      </c>
      <c r="C33" s="754"/>
      <c r="D33" s="754"/>
      <c r="E33" s="762"/>
      <c r="G33" s="775" t="s">
        <v>214</v>
      </c>
      <c r="H33" s="1654">
        <f>K24</f>
        <v>2.75</v>
      </c>
      <c r="I33" s="757"/>
      <c r="J33" s="754"/>
      <c r="K33" s="759" t="s">
        <v>1167</v>
      </c>
      <c r="L33" s="760"/>
      <c r="P33" s="1947"/>
      <c r="Q33" s="1948"/>
      <c r="R33" s="1949"/>
      <c r="S33" s="1949"/>
    </row>
    <row r="34" spans="1:19" ht="19.899999999999999" customHeight="1">
      <c r="A34" s="763"/>
      <c r="B34" s="754"/>
      <c r="C34" s="754"/>
      <c r="D34" s="754"/>
      <c r="E34" s="762"/>
      <c r="F34" s="754"/>
      <c r="G34" s="1426"/>
      <c r="H34" s="1654"/>
      <c r="I34" s="757"/>
      <c r="J34" s="759" t="s">
        <v>998</v>
      </c>
      <c r="K34" s="758">
        <f>'D122-42'!$F$103*1000</f>
        <v>75</v>
      </c>
      <c r="L34" s="757" t="s">
        <v>30</v>
      </c>
      <c r="P34" s="1947"/>
      <c r="Q34" s="1948"/>
      <c r="R34" s="1949"/>
      <c r="S34" s="1949"/>
    </row>
    <row r="35" spans="1:19" ht="19.899999999999999" customHeight="1">
      <c r="A35" s="267"/>
      <c r="B35" s="754"/>
      <c r="E35" s="754"/>
      <c r="G35" s="754"/>
      <c r="H35" s="754"/>
      <c r="I35" s="754"/>
      <c r="J35" s="759" t="s">
        <v>1168</v>
      </c>
      <c r="K35" s="772">
        <f>K34</f>
        <v>75</v>
      </c>
      <c r="L35" s="757" t="s">
        <v>30</v>
      </c>
      <c r="M35" s="721"/>
      <c r="O35" s="267" t="s">
        <v>566</v>
      </c>
      <c r="P35" s="1947"/>
      <c r="Q35" s="1948"/>
      <c r="R35" s="1949"/>
      <c r="S35" s="1949"/>
    </row>
    <row r="36" spans="1:19" ht="19.899999999999999" customHeight="1">
      <c r="A36" s="763"/>
      <c r="B36" s="760">
        <f>K26</f>
        <v>3.75</v>
      </c>
      <c r="C36" s="754"/>
      <c r="D36" s="1603">
        <f>K25</f>
        <v>3.5</v>
      </c>
      <c r="E36" s="1603"/>
      <c r="F36" s="754"/>
      <c r="G36" s="1424">
        <f>K26</f>
        <v>3.75</v>
      </c>
      <c r="H36" s="754"/>
      <c r="I36" s="758" t="s">
        <v>619</v>
      </c>
      <c r="J36" s="759" t="s">
        <v>862</v>
      </c>
      <c r="K36" s="766">
        <v>0</v>
      </c>
      <c r="L36" s="763" t="s">
        <v>0</v>
      </c>
      <c r="M36" s="721"/>
      <c r="P36" s="1947"/>
      <c r="Q36" s="1948"/>
      <c r="R36" s="1949"/>
      <c r="S36" s="1949"/>
    </row>
    <row r="37" spans="1:19" ht="19.899999999999999" customHeight="1">
      <c r="A37" s="763"/>
      <c r="B37" s="754"/>
      <c r="C37" s="767">
        <f>K13</f>
        <v>0.5</v>
      </c>
      <c r="D37" s="1585">
        <f>B36+C37+D36+G36+F37</f>
        <v>12</v>
      </c>
      <c r="E37" s="1585"/>
      <c r="F37" s="769">
        <f xml:space="preserve">  K13</f>
        <v>0.5</v>
      </c>
      <c r="G37" s="754"/>
      <c r="H37" s="754"/>
      <c r="I37" s="759" t="s">
        <v>733</v>
      </c>
      <c r="J37" s="759" t="s">
        <v>1151</v>
      </c>
      <c r="K37" s="766">
        <v>0</v>
      </c>
      <c r="L37" s="763" t="s">
        <v>0</v>
      </c>
      <c r="M37" s="721"/>
      <c r="P37" s="1947"/>
      <c r="Q37" s="1948"/>
      <c r="R37" s="1949"/>
      <c r="S37" s="1949"/>
    </row>
    <row r="38" spans="1:19" ht="10" customHeight="1">
      <c r="A38" s="763"/>
      <c r="B38" s="754"/>
      <c r="C38" s="754"/>
      <c r="D38" s="754"/>
      <c r="E38" s="754"/>
      <c r="F38" s="754"/>
      <c r="G38" s="754"/>
      <c r="H38" s="754"/>
      <c r="I38" s="754"/>
      <c r="M38" s="721"/>
      <c r="P38" s="1947"/>
      <c r="Q38" s="1948"/>
      <c r="R38" s="1949"/>
      <c r="S38" s="1949"/>
    </row>
    <row r="39" spans="1:19" ht="21" customHeight="1">
      <c r="A39" s="1830"/>
      <c r="B39" s="1831"/>
      <c r="C39" s="1831"/>
      <c r="D39" s="1831"/>
      <c r="E39" s="1831"/>
      <c r="F39" s="1831"/>
      <c r="G39" s="1831"/>
      <c r="H39" s="1825"/>
      <c r="I39" s="754" t="s">
        <v>536</v>
      </c>
      <c r="J39" s="759" t="s">
        <v>1169</v>
      </c>
      <c r="K39" s="757">
        <f>'HK1'!D55</f>
        <v>1</v>
      </c>
      <c r="L39" s="763" t="s">
        <v>0</v>
      </c>
      <c r="M39" s="721"/>
      <c r="P39" s="1947"/>
      <c r="Q39" s="1948"/>
      <c r="R39" s="1949"/>
      <c r="S39" s="1949"/>
    </row>
    <row r="40" spans="1:19" ht="21" customHeight="1">
      <c r="A40" s="1830"/>
      <c r="B40" s="1831"/>
      <c r="C40" s="1831"/>
      <c r="D40" s="1831"/>
      <c r="E40" s="1831"/>
      <c r="F40" s="1831"/>
      <c r="G40" s="1831"/>
      <c r="H40" s="1825"/>
      <c r="I40" s="754"/>
      <c r="J40" s="759" t="s">
        <v>722</v>
      </c>
      <c r="K40" s="757">
        <f>IF(K39=0,0.5,IF(K28+K39+0.1&gt;3.1,1.25,1))</f>
        <v>1</v>
      </c>
      <c r="L40" s="763" t="s">
        <v>0</v>
      </c>
      <c r="M40" s="721"/>
      <c r="P40" s="1947"/>
      <c r="Q40" s="1948"/>
      <c r="R40" s="1949"/>
      <c r="S40" s="1949"/>
    </row>
    <row r="41" spans="1:19" ht="21" customHeight="1">
      <c r="A41" s="1830"/>
      <c r="B41" s="1831"/>
      <c r="C41" s="1831"/>
      <c r="D41" s="1831"/>
      <c r="E41" s="1831"/>
      <c r="F41" s="1831"/>
      <c r="G41" s="1831"/>
      <c r="H41" s="1825"/>
      <c r="I41" s="754"/>
      <c r="J41" s="759" t="s">
        <v>1170</v>
      </c>
      <c r="K41" s="757">
        <f>IF(K39&gt;0.5,0.6,0.3)</f>
        <v>0.6</v>
      </c>
      <c r="L41" s="763" t="s">
        <v>0</v>
      </c>
      <c r="M41" s="721"/>
      <c r="P41" s="1947"/>
      <c r="Q41" s="1948"/>
      <c r="R41" s="1949"/>
      <c r="S41" s="1949"/>
    </row>
    <row r="42" spans="1:19" ht="21" customHeight="1">
      <c r="A42" s="1830"/>
      <c r="B42" s="1831"/>
      <c r="C42" s="1831"/>
      <c r="D42" s="1831"/>
      <c r="E42" s="1831"/>
      <c r="F42" s="1831"/>
      <c r="G42" s="1831"/>
      <c r="H42" s="1825"/>
      <c r="I42" s="758"/>
      <c r="J42" s="759" t="s">
        <v>551</v>
      </c>
      <c r="K42" s="759" t="s">
        <v>1171</v>
      </c>
      <c r="L42" s="1951" t="s">
        <v>1144</v>
      </c>
      <c r="M42" s="721"/>
      <c r="P42" s="1947"/>
      <c r="Q42" s="1948"/>
      <c r="R42" s="1949"/>
      <c r="S42" s="1949"/>
    </row>
    <row r="43" spans="1:19" ht="21" customHeight="1">
      <c r="A43" s="881" t="s">
        <v>1152</v>
      </c>
      <c r="B43" s="761"/>
      <c r="C43" s="1834" t="s">
        <v>1153</v>
      </c>
      <c r="D43" s="753" t="s">
        <v>1154</v>
      </c>
      <c r="E43" s="753"/>
      <c r="F43" s="753"/>
      <c r="G43" s="1832"/>
      <c r="H43" s="1825"/>
      <c r="I43" s="1834" t="s">
        <v>1153</v>
      </c>
      <c r="J43" s="753" t="s">
        <v>1154</v>
      </c>
      <c r="M43" s="721"/>
      <c r="P43" s="1947"/>
      <c r="Q43" s="1948"/>
      <c r="R43" s="1949"/>
      <c r="S43" s="1949"/>
    </row>
    <row r="44" spans="1:19" ht="21" customHeight="1">
      <c r="A44" s="1835" t="s">
        <v>1155</v>
      </c>
      <c r="B44" s="1950" t="s">
        <v>1165</v>
      </c>
      <c r="C44" s="1836">
        <f>'D122-42'!$C$136</f>
        <v>14</v>
      </c>
      <c r="D44" s="1836">
        <f>'D122-42'!$E$136</f>
        <v>12</v>
      </c>
      <c r="E44" s="757" t="s">
        <v>30</v>
      </c>
      <c r="F44" s="784" t="s">
        <v>1163</v>
      </c>
      <c r="G44" s="1833"/>
      <c r="H44" s="758" t="s">
        <v>1142</v>
      </c>
      <c r="I44" s="754">
        <v>10</v>
      </c>
      <c r="J44" s="1836">
        <f>D44*3</f>
        <v>36</v>
      </c>
      <c r="M44" s="721"/>
      <c r="P44" s="1947"/>
      <c r="Q44" s="1948"/>
      <c r="R44" s="1949"/>
      <c r="S44" s="1949"/>
    </row>
    <row r="45" spans="1:19" ht="21" customHeight="1">
      <c r="C45" s="1836">
        <f>C44</f>
        <v>14</v>
      </c>
      <c r="D45" s="1836">
        <f>'D122-42'!$E$132</f>
        <v>20</v>
      </c>
      <c r="E45" s="757" t="s">
        <v>30</v>
      </c>
      <c r="F45" s="784" t="s">
        <v>1164</v>
      </c>
      <c r="G45" s="1833"/>
      <c r="I45" s="1836">
        <v>10</v>
      </c>
      <c r="J45" s="1836">
        <f>D45*3</f>
        <v>60</v>
      </c>
      <c r="K45" s="757" t="s">
        <v>30</v>
      </c>
      <c r="L45" s="758"/>
      <c r="M45" s="721"/>
      <c r="P45" s="1947"/>
      <c r="Q45" s="1948"/>
      <c r="R45" s="1949"/>
      <c r="S45" s="1949"/>
    </row>
    <row r="46" spans="1:19" ht="21" customHeight="1">
      <c r="A46" s="762"/>
      <c r="F46" s="757"/>
      <c r="G46" s="1833"/>
      <c r="H46" s="1833"/>
      <c r="I46" s="754"/>
      <c r="J46" s="759"/>
      <c r="K46" s="760"/>
      <c r="L46" s="763"/>
      <c r="M46" s="721"/>
      <c r="P46"/>
      <c r="Q46"/>
      <c r="R46"/>
      <c r="S46"/>
    </row>
    <row r="47" spans="1:19" ht="21" customHeight="1">
      <c r="A47" s="881" t="s">
        <v>1156</v>
      </c>
      <c r="B47" s="762"/>
      <c r="C47" s="1834" t="s">
        <v>1153</v>
      </c>
      <c r="D47" s="753" t="s">
        <v>1157</v>
      </c>
      <c r="E47" s="757"/>
      <c r="F47" s="757"/>
      <c r="G47" s="881" t="s">
        <v>1166</v>
      </c>
      <c r="H47" s="762"/>
      <c r="I47" s="1834" t="s">
        <v>1153</v>
      </c>
      <c r="J47" s="753" t="s">
        <v>1157</v>
      </c>
      <c r="K47" s="757"/>
      <c r="L47" s="757"/>
      <c r="M47" s="721"/>
      <c r="P47"/>
      <c r="Q47"/>
      <c r="R47"/>
      <c r="S47"/>
    </row>
    <row r="48" spans="1:19" ht="21" customHeight="1">
      <c r="A48" s="762"/>
      <c r="B48" s="762" t="s">
        <v>1158</v>
      </c>
      <c r="C48" s="1836">
        <f>'D122-42'!$C$241</f>
        <v>25</v>
      </c>
      <c r="D48" s="1836">
        <f>'D122-42'!E241*2+('D122-42'!E241-2)*2</f>
        <v>12</v>
      </c>
      <c r="E48" s="757"/>
      <c r="F48" s="757"/>
      <c r="G48" s="762"/>
      <c r="H48" s="762" t="s">
        <v>1158</v>
      </c>
      <c r="I48" s="1836">
        <f>'D122-42'!$C$173</f>
        <v>25</v>
      </c>
      <c r="J48" s="1836">
        <f>'D122-42'!$E$173</f>
        <v>8</v>
      </c>
      <c r="K48" s="757"/>
      <c r="L48" s="757"/>
      <c r="M48" s="721"/>
      <c r="P48"/>
      <c r="Q48"/>
      <c r="R48"/>
      <c r="S48"/>
    </row>
    <row r="49" spans="1:26" ht="21" customHeight="1">
      <c r="A49" s="762"/>
      <c r="B49" s="762" t="s">
        <v>1159</v>
      </c>
      <c r="C49" s="1836">
        <v>8</v>
      </c>
      <c r="D49" s="1836">
        <v>200</v>
      </c>
      <c r="E49" s="757" t="s">
        <v>30</v>
      </c>
      <c r="F49" s="757"/>
      <c r="G49" s="762"/>
      <c r="H49" s="762" t="s">
        <v>1159</v>
      </c>
      <c r="I49" s="1836">
        <v>8</v>
      </c>
      <c r="J49" s="1836">
        <v>200</v>
      </c>
      <c r="K49" s="757" t="s">
        <v>30</v>
      </c>
      <c r="L49" s="757"/>
      <c r="M49" s="721"/>
      <c r="P49"/>
      <c r="Q49"/>
      <c r="R49"/>
      <c r="S49"/>
    </row>
    <row r="50" spans="1:26" ht="21" customHeight="1">
      <c r="A50" s="762"/>
      <c r="B50" s="1837" t="s">
        <v>1160</v>
      </c>
      <c r="C50" s="1836">
        <f>C49</f>
        <v>8</v>
      </c>
      <c r="D50" s="1836">
        <f>D49*2</f>
        <v>400</v>
      </c>
      <c r="E50" s="757" t="s">
        <v>30</v>
      </c>
      <c r="F50" s="757"/>
      <c r="G50" s="762"/>
      <c r="H50" s="1837" t="s">
        <v>1160</v>
      </c>
      <c r="I50" s="1836">
        <f>I49</f>
        <v>8</v>
      </c>
      <c r="J50" s="1836">
        <f>J49*2</f>
        <v>400</v>
      </c>
      <c r="K50" s="757" t="s">
        <v>30</v>
      </c>
      <c r="L50" s="757"/>
      <c r="M50" s="721"/>
      <c r="P50"/>
      <c r="Q50"/>
      <c r="R50"/>
      <c r="S50"/>
    </row>
    <row r="51" spans="1:26" ht="19.899999999999999" customHeight="1">
      <c r="A51" s="763"/>
      <c r="B51" s="754" t="s">
        <v>1161</v>
      </c>
      <c r="C51" s="1836">
        <f>C49</f>
        <v>8</v>
      </c>
      <c r="D51" s="754">
        <f>D49/2</f>
        <v>100</v>
      </c>
      <c r="E51" s="757" t="s">
        <v>30</v>
      </c>
      <c r="F51" s="754" t="s">
        <v>1162</v>
      </c>
      <c r="G51" s="770" t="s">
        <v>1172</v>
      </c>
      <c r="H51" s="754"/>
      <c r="I51" s="1836">
        <f>C48</f>
        <v>25</v>
      </c>
      <c r="J51" s="754">
        <v>300</v>
      </c>
      <c r="K51" s="757" t="s">
        <v>30</v>
      </c>
      <c r="L51" s="754"/>
      <c r="M51" s="721"/>
      <c r="P51"/>
      <c r="Q51"/>
      <c r="R51"/>
      <c r="S51"/>
    </row>
    <row r="52" spans="1:26" ht="21" customHeight="1">
      <c r="A52" s="1573"/>
      <c r="B52" s="759"/>
      <c r="C52" s="760"/>
      <c r="D52" s="763"/>
      <c r="E52" s="754"/>
      <c r="F52" s="754"/>
      <c r="G52" s="754"/>
      <c r="H52" s="754"/>
      <c r="I52" s="754"/>
      <c r="J52" s="759"/>
      <c r="K52" s="760"/>
      <c r="L52" s="763"/>
      <c r="M52" s="721"/>
      <c r="P52"/>
      <c r="Q52"/>
      <c r="R52"/>
      <c r="S52"/>
    </row>
    <row r="53" spans="1:26" ht="21" customHeight="1">
      <c r="A53" s="1573"/>
      <c r="B53" s="759"/>
      <c r="C53" s="760"/>
      <c r="D53" s="763"/>
      <c r="E53" s="759"/>
      <c r="F53" s="757"/>
      <c r="G53" s="763"/>
      <c r="H53" s="754"/>
      <c r="I53" s="754"/>
      <c r="J53" s="759"/>
      <c r="K53" s="760"/>
      <c r="L53" s="763"/>
      <c r="M53" s="721"/>
      <c r="P53"/>
      <c r="Q53"/>
      <c r="R53"/>
      <c r="S53"/>
    </row>
    <row r="54" spans="1:26" ht="21" customHeight="1">
      <c r="A54" s="1573"/>
      <c r="B54" s="759"/>
      <c r="C54" s="760"/>
      <c r="D54" s="763"/>
      <c r="E54" s="759"/>
      <c r="F54" s="757"/>
      <c r="G54" s="763"/>
      <c r="H54" s="754"/>
      <c r="M54" s="721"/>
      <c r="P54"/>
      <c r="Q54"/>
      <c r="R54"/>
      <c r="S54"/>
    </row>
    <row r="55" spans="1:26" ht="21" customHeight="1">
      <c r="A55" s="763"/>
      <c r="B55" s="759"/>
      <c r="C55" s="760"/>
      <c r="D55" s="763"/>
      <c r="E55" s="759"/>
      <c r="F55" s="757"/>
      <c r="G55" s="763"/>
      <c r="H55" s="754"/>
      <c r="I55" s="1573"/>
      <c r="J55" s="1573"/>
      <c r="K55" s="760"/>
      <c r="L55" s="763"/>
      <c r="M55" s="723"/>
      <c r="P55"/>
      <c r="Q55"/>
      <c r="R55"/>
      <c r="S55"/>
    </row>
    <row r="56" spans="1:26" ht="21" customHeight="1">
      <c r="A56" s="763"/>
      <c r="B56" s="759"/>
      <c r="C56" s="760"/>
      <c r="D56" s="763"/>
      <c r="E56" s="759"/>
      <c r="F56" s="757"/>
      <c r="G56" s="763"/>
      <c r="H56" s="754"/>
      <c r="I56" s="1573"/>
      <c r="J56" s="1573"/>
      <c r="K56" s="760"/>
      <c r="L56" s="763"/>
      <c r="M56" s="1913"/>
      <c r="N56" s="1913"/>
      <c r="O56" s="1913"/>
      <c r="P56" s="1913"/>
      <c r="Q56" s="1914"/>
      <c r="R56" s="1914"/>
      <c r="S56" s="1914"/>
      <c r="T56" s="1839"/>
      <c r="U56" s="1839"/>
      <c r="V56" s="1839"/>
      <c r="W56" s="1839"/>
      <c r="X56" s="1839"/>
      <c r="Y56" s="1839"/>
      <c r="Z56" s="1839"/>
    </row>
    <row r="57" spans="1:26" ht="21" customHeight="1">
      <c r="A57" s="1573"/>
      <c r="B57" s="759"/>
      <c r="C57" s="760"/>
      <c r="D57" s="763"/>
      <c r="E57" s="754"/>
      <c r="F57" s="754"/>
      <c r="G57" s="763"/>
      <c r="H57" s="754"/>
      <c r="M57" s="1915"/>
      <c r="N57" s="1911"/>
      <c r="O57" s="1839"/>
      <c r="P57" s="1839"/>
      <c r="Q57" s="1914"/>
      <c r="R57" s="1914"/>
      <c r="S57" s="1914"/>
      <c r="T57" s="1839"/>
      <c r="U57" s="1839"/>
      <c r="V57" s="1839"/>
      <c r="W57" s="1839"/>
      <c r="X57" s="1839"/>
      <c r="Y57" s="1839"/>
      <c r="Z57" s="1839"/>
    </row>
    <row r="58" spans="1:26" ht="21" customHeight="1">
      <c r="A58" s="1573"/>
      <c r="B58" s="759"/>
      <c r="C58" s="760"/>
      <c r="D58" s="763"/>
      <c r="E58" s="759"/>
      <c r="F58" s="760"/>
      <c r="G58" s="763"/>
      <c r="H58" s="760"/>
      <c r="M58" s="1915"/>
      <c r="N58" s="1911"/>
      <c r="O58" s="1911"/>
      <c r="P58" s="1911"/>
      <c r="Q58" s="1914"/>
      <c r="R58" s="1914"/>
      <c r="S58" s="1914"/>
      <c r="T58" s="1839"/>
      <c r="U58" s="1839"/>
      <c r="V58" s="1839"/>
      <c r="W58" s="1839"/>
      <c r="X58" s="1839"/>
      <c r="Y58" s="1839"/>
      <c r="Z58" s="1839"/>
    </row>
    <row r="59" spans="1:26" ht="21" customHeight="1">
      <c r="A59" s="1573"/>
      <c r="B59" s="759"/>
      <c r="C59" s="760"/>
      <c r="D59" s="763"/>
      <c r="E59" s="759"/>
      <c r="F59" s="760"/>
      <c r="G59" s="763"/>
      <c r="H59" s="760"/>
      <c r="M59" s="1915"/>
      <c r="N59" s="1911"/>
      <c r="O59" s="1911"/>
      <c r="P59" s="1911"/>
      <c r="Q59" s="1914"/>
      <c r="R59" s="1914"/>
      <c r="S59" s="1914"/>
      <c r="T59" s="1839"/>
      <c r="U59" s="1839"/>
      <c r="V59" s="1839"/>
      <c r="W59" s="1839"/>
      <c r="X59" s="1839"/>
      <c r="Y59" s="1839"/>
      <c r="Z59" s="1839"/>
    </row>
    <row r="60" spans="1:26" ht="21" customHeight="1">
      <c r="A60" s="1573"/>
      <c r="B60" s="759"/>
      <c r="C60" s="760"/>
      <c r="D60" s="763"/>
      <c r="E60" s="754"/>
      <c r="F60" s="754"/>
      <c r="G60" s="763"/>
      <c r="H60" s="760"/>
      <c r="M60" s="1915"/>
      <c r="N60" s="1911"/>
      <c r="O60" s="1911"/>
      <c r="P60" s="1911"/>
      <c r="Q60" s="1914"/>
      <c r="R60" s="1914"/>
      <c r="S60" s="1914"/>
      <c r="T60" s="1839"/>
      <c r="U60" s="1839"/>
      <c r="V60" s="1839"/>
      <c r="W60" s="1839"/>
      <c r="X60" s="1839"/>
      <c r="Y60" s="1839"/>
      <c r="Z60" s="1839"/>
    </row>
    <row r="61" spans="1:26" ht="21" customHeight="1">
      <c r="A61" s="1573"/>
      <c r="B61" s="759"/>
      <c r="C61" s="760"/>
      <c r="D61" s="763"/>
      <c r="E61" s="759"/>
      <c r="F61" s="760"/>
      <c r="G61" s="763"/>
      <c r="H61" s="760"/>
      <c r="M61" s="1915"/>
      <c r="N61" s="1914"/>
      <c r="O61" s="1914"/>
      <c r="P61" s="1914"/>
      <c r="Q61" s="1914"/>
      <c r="R61" s="1914"/>
      <c r="S61" s="1914"/>
      <c r="T61" s="1839"/>
      <c r="U61" s="1839"/>
      <c r="V61" s="1839"/>
      <c r="W61" s="1839"/>
      <c r="X61" s="1839"/>
      <c r="Y61" s="1839"/>
      <c r="Z61" s="1839"/>
    </row>
    <row r="62" spans="1:26" ht="21" customHeight="1">
      <c r="A62" s="1573"/>
      <c r="B62" s="759"/>
      <c r="C62" s="760"/>
      <c r="D62" s="763"/>
      <c r="E62" s="759"/>
      <c r="F62" s="760"/>
      <c r="G62" s="763"/>
      <c r="H62" s="760"/>
      <c r="M62" s="1915"/>
      <c r="N62" s="1914"/>
      <c r="O62" s="1914"/>
      <c r="P62" s="1914"/>
      <c r="Q62" s="1914"/>
      <c r="R62" s="1914"/>
      <c r="S62" s="1914"/>
      <c r="T62" s="1839"/>
      <c r="U62" s="1839"/>
      <c r="V62" s="1839"/>
      <c r="W62" s="1839"/>
      <c r="X62" s="1839"/>
      <c r="Y62" s="1839"/>
      <c r="Z62" s="1839"/>
    </row>
    <row r="63" spans="1:26" ht="22.15" customHeight="1">
      <c r="A63" s="763"/>
      <c r="B63" s="754"/>
      <c r="C63" s="760"/>
      <c r="D63" s="754"/>
      <c r="E63" s="754"/>
      <c r="F63" s="760"/>
      <c r="G63" s="754"/>
      <c r="H63" s="763"/>
      <c r="J63" s="754"/>
      <c r="K63" s="760"/>
      <c r="L63" s="754"/>
      <c r="M63" s="1915"/>
      <c r="N63" s="1914"/>
      <c r="O63" s="1916"/>
      <c r="P63" s="1839"/>
      <c r="Q63" s="1914"/>
      <c r="R63" s="1914"/>
      <c r="S63" s="1914"/>
      <c r="T63" s="1839"/>
      <c r="U63" s="1839"/>
      <c r="V63" s="1917"/>
      <c r="W63" s="1839"/>
      <c r="X63" s="1839"/>
      <c r="Y63" s="1839"/>
      <c r="Z63" s="1839"/>
    </row>
    <row r="64" spans="1:26" ht="22.15" customHeight="1">
      <c r="A64" s="763"/>
      <c r="B64" s="754"/>
      <c r="C64" s="760"/>
      <c r="D64" s="754"/>
      <c r="E64" s="754"/>
      <c r="F64" s="754"/>
      <c r="G64" s="754"/>
      <c r="H64" s="760"/>
      <c r="I64" s="754"/>
      <c r="J64" s="754"/>
      <c r="K64" s="760"/>
      <c r="L64" s="754"/>
      <c r="M64" s="1915"/>
      <c r="N64" s="1914"/>
      <c r="O64" s="1914"/>
      <c r="P64" s="1839"/>
      <c r="Q64" s="1914"/>
      <c r="R64" s="1914"/>
      <c r="S64" s="1914"/>
      <c r="T64" s="1839"/>
      <c r="U64" s="1839"/>
      <c r="V64" s="1918"/>
      <c r="W64" s="1839"/>
      <c r="X64" s="1839"/>
      <c r="Y64" s="1839"/>
      <c r="Z64" s="1839"/>
    </row>
    <row r="65" spans="1:26" ht="22.15" customHeight="1">
      <c r="A65" s="763"/>
      <c r="B65" s="771"/>
      <c r="C65" s="760"/>
      <c r="D65" s="763"/>
      <c r="E65" s="754"/>
      <c r="F65" s="760"/>
      <c r="G65" s="763"/>
      <c r="H65" s="771"/>
      <c r="I65" s="760"/>
      <c r="J65" s="763"/>
      <c r="K65" s="760"/>
      <c r="L65" s="754"/>
      <c r="M65" s="1915"/>
      <c r="N65" s="1914"/>
      <c r="O65" s="1914"/>
      <c r="P65" s="1839"/>
      <c r="Q65" s="1914"/>
      <c r="R65" s="1914"/>
      <c r="S65" s="1914"/>
      <c r="T65" s="1839"/>
      <c r="U65" s="1839"/>
      <c r="V65" s="1839"/>
      <c r="W65" s="1839"/>
      <c r="X65" s="1839"/>
      <c r="Y65" s="1839"/>
      <c r="Z65" s="1839"/>
    </row>
    <row r="66" spans="1:26" ht="22.15" customHeight="1">
      <c r="A66" s="763"/>
      <c r="B66" s="771"/>
      <c r="C66" s="760"/>
      <c r="D66" s="763"/>
      <c r="E66" s="825"/>
      <c r="F66" s="757"/>
      <c r="G66" s="763"/>
      <c r="H66" s="771"/>
      <c r="I66" s="760"/>
      <c r="J66" s="763"/>
      <c r="K66" s="754"/>
      <c r="L66" s="754"/>
      <c r="M66" s="721"/>
      <c r="N66"/>
      <c r="O66"/>
      <c r="Q66"/>
      <c r="R66"/>
      <c r="S66"/>
    </row>
    <row r="67" spans="1:26" ht="22.15" customHeight="1">
      <c r="A67" s="759"/>
      <c r="B67" s="760"/>
      <c r="C67" s="763"/>
      <c r="D67" s="754"/>
      <c r="E67" s="772"/>
      <c r="F67" s="763"/>
      <c r="H67" s="754"/>
      <c r="I67" s="763"/>
      <c r="J67" s="759"/>
      <c r="K67" s="760"/>
      <c r="L67" s="763"/>
      <c r="M67" s="721"/>
      <c r="N67" s="724"/>
      <c r="O67"/>
      <c r="Q67"/>
      <c r="R67"/>
      <c r="S67"/>
    </row>
    <row r="68" spans="1:26" ht="22.15" customHeight="1">
      <c r="A68" s="763"/>
      <c r="B68" s="759"/>
      <c r="C68" s="773"/>
      <c r="D68" s="754"/>
      <c r="E68" s="754"/>
      <c r="F68" s="763"/>
      <c r="G68" s="754"/>
      <c r="H68" s="759"/>
      <c r="I68" s="773"/>
      <c r="J68" s="754"/>
      <c r="K68" s="754"/>
      <c r="L68" s="763"/>
      <c r="M68" s="721"/>
      <c r="N68"/>
      <c r="O68"/>
      <c r="Q68"/>
      <c r="R68"/>
      <c r="S68"/>
    </row>
    <row r="69" spans="1:26" ht="19.899999999999999" customHeight="1">
      <c r="A69" s="753"/>
      <c r="B69" s="754"/>
      <c r="C69" s="754"/>
      <c r="D69" s="754"/>
      <c r="E69" s="754"/>
      <c r="F69" s="754"/>
      <c r="G69" s="754"/>
      <c r="H69" s="754"/>
      <c r="I69" s="758"/>
      <c r="J69" s="758"/>
      <c r="K69" s="758"/>
      <c r="L69" s="758"/>
      <c r="M69" s="721"/>
    </row>
    <row r="70" spans="1:26" ht="21" customHeight="1">
      <c r="A70" s="763"/>
      <c r="B70" s="763"/>
      <c r="C70" s="754"/>
      <c r="D70" s="754"/>
      <c r="E70" s="774"/>
      <c r="F70" s="754"/>
      <c r="G70" s="754"/>
      <c r="H70" s="754"/>
      <c r="I70" s="759"/>
      <c r="J70" s="754"/>
      <c r="K70" s="754"/>
      <c r="L70" s="754"/>
      <c r="M70" s="724"/>
      <c r="N70"/>
      <c r="O70"/>
      <c r="P70"/>
      <c r="Q70"/>
    </row>
    <row r="71" spans="1:26" ht="21" customHeight="1">
      <c r="A71" s="763"/>
      <c r="B71" s="754"/>
      <c r="C71" s="759"/>
      <c r="D71" s="775"/>
      <c r="E71" s="754"/>
      <c r="F71" s="754"/>
      <c r="G71" s="754"/>
      <c r="H71" s="754"/>
      <c r="J71" s="759"/>
      <c r="K71" s="754"/>
      <c r="L71" s="754"/>
      <c r="M71" s="724"/>
      <c r="N71" s="714"/>
      <c r="O71" s="716"/>
      <c r="P71"/>
      <c r="Q71"/>
    </row>
    <row r="72" spans="1:26" ht="21" customHeight="1">
      <c r="A72" s="763"/>
      <c r="B72" s="754"/>
      <c r="C72" s="759"/>
      <c r="D72" s="775"/>
      <c r="E72" s="760"/>
      <c r="F72" s="754"/>
      <c r="G72" s="754"/>
      <c r="H72" s="754"/>
      <c r="I72" s="754"/>
      <c r="J72" s="754"/>
      <c r="K72" s="754"/>
      <c r="L72" s="754"/>
      <c r="M72" s="724"/>
      <c r="N72"/>
      <c r="O72"/>
      <c r="P72"/>
      <c r="Q72"/>
    </row>
    <row r="73" spans="1:26" ht="21" customHeight="1">
      <c r="A73" s="763"/>
      <c r="B73" s="758"/>
      <c r="C73" s="758"/>
      <c r="D73" s="758"/>
      <c r="E73" s="754"/>
      <c r="F73" s="1573"/>
      <c r="G73" s="1570"/>
      <c r="H73" s="1573"/>
      <c r="I73" s="1570"/>
      <c r="J73" s="1573"/>
      <c r="K73" s="1570"/>
      <c r="L73" s="754"/>
      <c r="M73" s="725"/>
      <c r="N73"/>
      <c r="O73"/>
      <c r="P73"/>
      <c r="Q73" s="716"/>
    </row>
    <row r="74" spans="1:26" ht="21" customHeight="1">
      <c r="A74" s="763"/>
      <c r="B74" s="1570"/>
      <c r="C74" s="1570"/>
      <c r="D74" s="759"/>
      <c r="E74" s="754"/>
      <c r="F74" s="766"/>
      <c r="G74" s="763"/>
      <c r="H74" s="766"/>
      <c r="I74" s="763"/>
      <c r="J74" s="766"/>
      <c r="K74" s="763"/>
      <c r="L74" s="754"/>
      <c r="M74" s="724"/>
      <c r="N74"/>
      <c r="O74"/>
      <c r="P74"/>
      <c r="Q74"/>
    </row>
    <row r="75" spans="1:26" ht="21" customHeight="1">
      <c r="A75" s="763"/>
      <c r="B75" s="754"/>
      <c r="C75" s="754"/>
      <c r="D75" s="759"/>
      <c r="E75" s="754"/>
      <c r="F75" s="760"/>
      <c r="G75" s="763"/>
      <c r="H75" s="760"/>
      <c r="I75" s="763"/>
      <c r="J75" s="760"/>
      <c r="K75" s="763"/>
      <c r="L75" s="754"/>
      <c r="M75" s="724"/>
      <c r="N75"/>
      <c r="O75"/>
      <c r="P75"/>
      <c r="Q75"/>
    </row>
    <row r="76" spans="1:26" ht="21" customHeight="1">
      <c r="A76" s="763"/>
      <c r="B76" s="754"/>
      <c r="C76" s="754"/>
      <c r="D76" s="759"/>
      <c r="E76" s="754"/>
      <c r="F76" s="760"/>
      <c r="G76" s="763"/>
      <c r="H76" s="760"/>
      <c r="I76" s="763"/>
      <c r="J76" s="760"/>
      <c r="K76" s="763"/>
      <c r="L76" s="754"/>
      <c r="M76" s="724"/>
      <c r="N76"/>
      <c r="O76"/>
      <c r="P76"/>
      <c r="Q76"/>
    </row>
    <row r="77" spans="1:26" ht="21" customHeight="1">
      <c r="A77" s="763"/>
      <c r="B77" s="754"/>
      <c r="C77" s="754"/>
      <c r="D77" s="759"/>
      <c r="E77" s="754"/>
      <c r="F77" s="760"/>
      <c r="G77" s="763"/>
      <c r="H77" s="760"/>
      <c r="I77" s="763"/>
      <c r="J77" s="760"/>
      <c r="K77" s="763"/>
      <c r="L77" s="754"/>
      <c r="M77" s="724"/>
      <c r="N77"/>
      <c r="O77"/>
      <c r="P77"/>
      <c r="Q77"/>
    </row>
    <row r="78" spans="1:26" ht="21" customHeight="1">
      <c r="A78" s="763"/>
      <c r="B78" s="763"/>
      <c r="C78" s="754"/>
      <c r="D78" s="754"/>
      <c r="E78" s="754"/>
      <c r="F78" s="754"/>
      <c r="G78" s="754"/>
      <c r="H78" s="754"/>
      <c r="I78" s="763"/>
      <c r="J78" s="754"/>
      <c r="K78" s="754"/>
      <c r="L78" s="754"/>
      <c r="M78" s="724"/>
      <c r="N78"/>
      <c r="O78"/>
      <c r="P78"/>
      <c r="Q78"/>
    </row>
    <row r="79" spans="1:26" ht="21" customHeight="1">
      <c r="A79" s="763"/>
      <c r="B79" s="754"/>
      <c r="D79" s="759"/>
      <c r="E79" s="754"/>
      <c r="F79" s="760"/>
      <c r="G79" s="773"/>
      <c r="H79" s="760"/>
      <c r="I79" s="763"/>
      <c r="J79" s="760"/>
      <c r="K79" s="763"/>
      <c r="L79" s="754"/>
      <c r="M79" s="724"/>
      <c r="N79"/>
      <c r="O79"/>
      <c r="P79"/>
      <c r="Q79"/>
    </row>
    <row r="80" spans="1:26" ht="21" customHeight="1">
      <c r="A80" s="763"/>
      <c r="B80" s="763"/>
      <c r="C80" s="754"/>
      <c r="D80" s="754"/>
      <c r="E80" s="754"/>
      <c r="F80" s="754"/>
      <c r="G80" s="763"/>
      <c r="H80" s="754"/>
      <c r="I80" s="763"/>
      <c r="J80" s="754"/>
      <c r="K80" s="754"/>
      <c r="L80" s="754"/>
      <c r="M80" s="724"/>
      <c r="N80"/>
      <c r="O80"/>
      <c r="P80"/>
      <c r="Q80"/>
    </row>
    <row r="81" spans="1:17" ht="21" customHeight="1">
      <c r="A81" s="763"/>
      <c r="B81" s="754"/>
      <c r="C81" s="754"/>
      <c r="D81" s="754"/>
      <c r="E81" s="754"/>
      <c r="F81" s="760"/>
      <c r="G81" s="763"/>
      <c r="H81" s="760"/>
      <c r="I81" s="763"/>
      <c r="J81" s="760"/>
      <c r="K81" s="763"/>
      <c r="L81" s="754"/>
      <c r="M81" s="724"/>
      <c r="N81"/>
      <c r="O81"/>
      <c r="P81"/>
      <c r="Q81"/>
    </row>
    <row r="82" spans="1:17" ht="21" customHeight="1">
      <c r="A82" s="763"/>
      <c r="B82" s="754"/>
      <c r="C82" s="754"/>
      <c r="D82" s="754"/>
      <c r="E82" s="754"/>
      <c r="F82" s="760"/>
      <c r="G82" s="763"/>
      <c r="H82" s="760"/>
      <c r="I82" s="763"/>
      <c r="J82" s="760"/>
      <c r="K82" s="763"/>
      <c r="L82" s="754"/>
      <c r="M82" s="724"/>
      <c r="N82"/>
      <c r="O82"/>
      <c r="P82"/>
      <c r="Q82"/>
    </row>
    <row r="83" spans="1:17" ht="21" customHeight="1">
      <c r="A83" s="763"/>
      <c r="B83" s="754"/>
      <c r="C83" s="754"/>
      <c r="D83" s="754"/>
      <c r="E83" s="754"/>
      <c r="F83" s="760"/>
      <c r="G83" s="763"/>
      <c r="H83" s="760"/>
      <c r="I83" s="763"/>
      <c r="J83" s="760"/>
      <c r="K83" s="763"/>
      <c r="L83" s="754"/>
      <c r="M83" s="724"/>
      <c r="N83"/>
      <c r="O83"/>
      <c r="P83"/>
      <c r="Q83"/>
    </row>
    <row r="84" spans="1:17" ht="21" customHeight="1">
      <c r="A84" s="763"/>
      <c r="B84" s="754"/>
      <c r="C84" s="754"/>
      <c r="D84" s="754"/>
      <c r="E84" s="754"/>
      <c r="F84" s="760"/>
      <c r="G84" s="763"/>
      <c r="H84" s="760"/>
      <c r="I84" s="763"/>
      <c r="J84" s="760"/>
      <c r="K84" s="763"/>
      <c r="L84" s="754"/>
      <c r="M84" s="724"/>
      <c r="N84"/>
      <c r="O84"/>
      <c r="P84"/>
      <c r="Q84"/>
    </row>
    <row r="85" spans="1:17" ht="21" customHeight="1">
      <c r="A85" s="763"/>
      <c r="B85" s="754"/>
      <c r="C85" s="754"/>
      <c r="D85" s="754"/>
      <c r="E85" s="754"/>
      <c r="F85" s="760"/>
      <c r="G85" s="763"/>
      <c r="H85" s="760"/>
      <c r="I85" s="763"/>
      <c r="J85" s="760"/>
      <c r="K85" s="763"/>
      <c r="L85" s="754"/>
      <c r="M85" s="724"/>
      <c r="N85"/>
      <c r="O85"/>
      <c r="P85"/>
      <c r="Q85"/>
    </row>
    <row r="86" spans="1:17" ht="19.899999999999999" hidden="1" customHeight="1">
      <c r="A86" s="763"/>
      <c r="B86" s="754"/>
      <c r="C86" s="754"/>
      <c r="D86" s="754" t="s">
        <v>22</v>
      </c>
      <c r="E86" s="754" t="s">
        <v>6</v>
      </c>
      <c r="F86" s="760" t="e">
        <f>F76*(F79-$K$26*2-$K$13)/F79</f>
        <v>#DIV/0!</v>
      </c>
      <c r="G86" s="763" t="s">
        <v>10</v>
      </c>
      <c r="H86" s="760" t="e">
        <f>H76*(H79-$K$26*2-$K$13)/H79</f>
        <v>#DIV/0!</v>
      </c>
      <c r="I86" s="763" t="s">
        <v>10</v>
      </c>
      <c r="J86" s="760" t="e">
        <f>J76*(J79-$K$26*2-$K$13)/J79</f>
        <v>#DIV/0!</v>
      </c>
      <c r="K86" s="763" t="s">
        <v>10</v>
      </c>
      <c r="L86" s="754"/>
      <c r="M86" s="724"/>
      <c r="N86"/>
      <c r="O86"/>
      <c r="P86"/>
      <c r="Q86"/>
    </row>
    <row r="87" spans="1:17" ht="19.899999999999999" hidden="1" customHeight="1">
      <c r="A87" s="763"/>
      <c r="B87" s="754"/>
      <c r="C87" s="754"/>
      <c r="D87" s="754" t="s">
        <v>23</v>
      </c>
      <c r="E87" s="754" t="s">
        <v>6</v>
      </c>
      <c r="F87" s="760" t="e">
        <f>F76*(F79-$K$11/2+$K$17/2)/F79</f>
        <v>#DIV/0!</v>
      </c>
      <c r="G87" s="763" t="s">
        <v>10</v>
      </c>
      <c r="H87" s="760" t="e">
        <f>H76*(H79-$K$11/2+$K$17/2)/H79</f>
        <v>#DIV/0!</v>
      </c>
      <c r="I87" s="763" t="s">
        <v>10</v>
      </c>
      <c r="J87" s="760" t="e">
        <f>J76*(J79-$K$11/2+$K$17/2)/J79</f>
        <v>#DIV/0!</v>
      </c>
      <c r="K87" s="763" t="s">
        <v>10</v>
      </c>
      <c r="L87" s="754"/>
      <c r="M87" s="721"/>
    </row>
    <row r="88" spans="1:17" ht="19.899999999999999" hidden="1" customHeight="1">
      <c r="A88" s="763"/>
      <c r="B88" s="754"/>
      <c r="C88" s="754"/>
      <c r="D88" s="754" t="s">
        <v>154</v>
      </c>
      <c r="E88" s="754" t="s">
        <v>6</v>
      </c>
      <c r="F88" s="760" t="e">
        <f>(F76*(F79-($K$11-$K$10)/2)/F79)</f>
        <v>#DIV/0!</v>
      </c>
      <c r="G88" s="763" t="s">
        <v>10</v>
      </c>
      <c r="H88" s="760" t="e">
        <f>(H76*(H79-($K$11-$K$10)/2)/H79)</f>
        <v>#DIV/0!</v>
      </c>
      <c r="I88" s="763" t="s">
        <v>10</v>
      </c>
      <c r="J88" s="760" t="e">
        <f>(J76*(J79-($K$11-$K$10)/2)/J79)</f>
        <v>#DIV/0!</v>
      </c>
      <c r="K88" s="763" t="s">
        <v>10</v>
      </c>
      <c r="L88" s="754"/>
      <c r="M88" s="721"/>
    </row>
    <row r="89" spans="1:17" ht="19.899999999999999" customHeight="1">
      <c r="A89" s="763"/>
      <c r="B89" s="754"/>
      <c r="C89" s="754"/>
      <c r="D89" s="754"/>
      <c r="E89" s="754"/>
      <c r="F89" s="760"/>
      <c r="G89" s="760"/>
      <c r="H89" s="760"/>
      <c r="I89" s="754"/>
      <c r="J89" s="754"/>
      <c r="K89" s="754"/>
      <c r="L89" s="754"/>
      <c r="M89" s="721"/>
    </row>
    <row r="90" spans="1:17" ht="19.899999999999999" customHeight="1">
      <c r="A90" s="759"/>
      <c r="B90" s="754"/>
      <c r="C90" s="754"/>
      <c r="D90" s="754"/>
      <c r="E90" s="754"/>
      <c r="F90" s="760"/>
      <c r="G90" s="760"/>
      <c r="H90" s="760"/>
      <c r="I90" s="754"/>
      <c r="J90" s="754"/>
      <c r="K90" s="754"/>
      <c r="L90" s="754"/>
      <c r="M90" s="721"/>
    </row>
    <row r="91" spans="1:17" ht="19.899999999999999" customHeight="1">
      <c r="A91" s="763"/>
      <c r="B91" s="754"/>
      <c r="C91" s="754"/>
      <c r="D91" s="754"/>
      <c r="E91" s="754"/>
      <c r="F91" s="760"/>
      <c r="G91" s="760"/>
      <c r="H91" s="760"/>
      <c r="I91" s="754"/>
      <c r="J91" s="754"/>
      <c r="K91" s="754"/>
      <c r="L91" s="754"/>
      <c r="M91" s="721"/>
    </row>
    <row r="92" spans="1:17" ht="19.899999999999999" customHeight="1">
      <c r="A92" s="763"/>
      <c r="B92" s="754"/>
      <c r="C92" s="754"/>
      <c r="D92" s="754"/>
      <c r="E92" s="754"/>
      <c r="F92" s="754"/>
      <c r="G92" s="754"/>
      <c r="H92" s="754"/>
      <c r="I92" s="754"/>
      <c r="J92" s="763"/>
      <c r="K92" s="754"/>
      <c r="L92" s="754"/>
      <c r="M92" s="721"/>
    </row>
    <row r="93" spans="1:17" ht="19.899999999999999" customHeight="1">
      <c r="A93" s="763"/>
      <c r="B93" s="754"/>
      <c r="C93" s="754"/>
      <c r="D93" s="754"/>
      <c r="E93" s="754"/>
      <c r="F93" s="754"/>
      <c r="G93" s="754"/>
      <c r="H93" s="754"/>
      <c r="I93" s="754"/>
      <c r="J93" s="754"/>
      <c r="K93" s="754"/>
      <c r="L93" s="754"/>
      <c r="M93" s="721"/>
    </row>
    <row r="94" spans="1:17" ht="19.899999999999999" customHeight="1">
      <c r="A94" s="763"/>
      <c r="B94" s="754"/>
      <c r="C94" s="754"/>
      <c r="D94" s="754"/>
      <c r="E94" s="754"/>
      <c r="F94" s="754"/>
      <c r="G94" s="754"/>
      <c r="H94" s="754"/>
      <c r="I94" s="754"/>
      <c r="J94" s="754"/>
      <c r="K94" s="754"/>
      <c r="L94" s="754"/>
      <c r="M94" s="721"/>
    </row>
    <row r="95" spans="1:17" ht="19.899999999999999" customHeight="1">
      <c r="E95" s="754"/>
      <c r="M95" s="721"/>
    </row>
    <row r="96" spans="1:17" ht="21" customHeight="1">
      <c r="A96" s="776"/>
      <c r="B96" s="754"/>
      <c r="C96" s="754"/>
      <c r="D96" s="754"/>
      <c r="E96" s="754"/>
      <c r="F96" s="754"/>
      <c r="G96" s="754"/>
      <c r="H96" s="754"/>
      <c r="I96" s="754"/>
      <c r="J96" s="754"/>
      <c r="K96" s="754"/>
      <c r="L96" s="754"/>
      <c r="M96" s="721"/>
    </row>
    <row r="97" spans="1:14" ht="21" customHeight="1">
      <c r="A97" s="754"/>
      <c r="B97" s="777"/>
      <c r="C97" s="777"/>
      <c r="D97" s="777"/>
      <c r="E97" s="777"/>
      <c r="F97" s="777"/>
      <c r="G97" s="777"/>
      <c r="H97" s="777"/>
      <c r="I97" s="777"/>
      <c r="J97" s="777"/>
      <c r="K97" s="777"/>
      <c r="L97" s="777"/>
      <c r="M97" s="721"/>
    </row>
    <row r="98" spans="1:14" ht="21" customHeight="1">
      <c r="A98" s="763"/>
      <c r="B98" s="763"/>
      <c r="C98" s="754"/>
      <c r="D98" s="754"/>
      <c r="E98" s="754"/>
      <c r="F98" s="754"/>
      <c r="G98" s="754"/>
      <c r="H98" s="754"/>
      <c r="I98" s="754"/>
      <c r="J98" s="754"/>
      <c r="K98" s="754"/>
      <c r="L98" s="754"/>
      <c r="M98" s="721"/>
    </row>
    <row r="99" spans="1:14" ht="21" customHeight="1">
      <c r="A99" s="763"/>
      <c r="B99" s="763"/>
      <c r="C99" s="754"/>
      <c r="D99" s="754"/>
      <c r="E99" s="754"/>
      <c r="F99" s="754"/>
      <c r="G99" s="754"/>
      <c r="H99" s="754"/>
      <c r="I99" s="754"/>
      <c r="J99" s="754"/>
      <c r="K99" s="754"/>
      <c r="L99" s="754"/>
      <c r="M99" s="721"/>
    </row>
    <row r="100" spans="1:14" ht="21" customHeight="1">
      <c r="A100" s="763"/>
      <c r="B100" s="763"/>
      <c r="C100" s="754"/>
      <c r="D100" s="754"/>
      <c r="E100" s="754"/>
      <c r="F100" s="754"/>
      <c r="G100" s="754"/>
      <c r="H100" s="754"/>
      <c r="I100" s="754"/>
      <c r="J100" s="754"/>
      <c r="K100" s="754"/>
      <c r="L100" s="754"/>
      <c r="M100" s="721"/>
    </row>
    <row r="101" spans="1:14" ht="21" customHeight="1">
      <c r="A101" s="753"/>
      <c r="B101" s="778"/>
      <c r="C101" s="754"/>
      <c r="D101" s="754"/>
      <c r="E101" s="759"/>
      <c r="F101" s="754"/>
      <c r="G101" s="763"/>
      <c r="H101" s="759"/>
      <c r="I101" s="754"/>
      <c r="J101" s="763"/>
      <c r="K101" s="754"/>
      <c r="L101" s="754"/>
      <c r="M101" s="721"/>
    </row>
    <row r="102" spans="1:14" ht="21" customHeight="1">
      <c r="A102" s="763"/>
      <c r="B102" s="763"/>
      <c r="C102" s="754"/>
      <c r="D102" s="754"/>
      <c r="E102" s="754"/>
      <c r="F102" s="754"/>
      <c r="G102" s="763"/>
      <c r="H102" s="754"/>
      <c r="I102" s="754"/>
      <c r="J102" s="754"/>
      <c r="K102" s="754"/>
      <c r="L102" s="754"/>
      <c r="M102" s="721"/>
    </row>
    <row r="103" spans="1:14" ht="21" customHeight="1">
      <c r="A103" s="763"/>
      <c r="B103" s="763"/>
      <c r="C103" s="754"/>
      <c r="D103" s="754"/>
      <c r="E103" s="759"/>
      <c r="F103" s="760"/>
      <c r="G103" s="763"/>
      <c r="H103" s="754"/>
      <c r="I103" s="754"/>
      <c r="J103" s="754"/>
      <c r="K103" s="754"/>
      <c r="L103" s="754"/>
      <c r="M103" s="726"/>
      <c r="N103" s="421"/>
    </row>
    <row r="104" spans="1:14" ht="21" customHeight="1">
      <c r="A104" s="763"/>
      <c r="B104" s="759"/>
      <c r="C104" s="754"/>
      <c r="D104" s="754"/>
      <c r="E104" s="759"/>
      <c r="F104" s="760"/>
      <c r="G104" s="763"/>
      <c r="H104" s="754"/>
      <c r="I104" s="754"/>
      <c r="J104" s="754"/>
      <c r="K104" s="754"/>
      <c r="L104" s="754"/>
      <c r="M104" s="726"/>
      <c r="N104" s="421"/>
    </row>
    <row r="105" spans="1:14" ht="21" customHeight="1">
      <c r="A105" s="763"/>
      <c r="B105" s="759"/>
      <c r="C105" s="757"/>
      <c r="D105" s="754"/>
      <c r="E105" s="759"/>
      <c r="F105" s="757"/>
      <c r="G105" s="763"/>
      <c r="H105" s="754"/>
      <c r="I105" s="754"/>
      <c r="J105" s="754"/>
      <c r="K105" s="759"/>
      <c r="L105" s="754"/>
      <c r="M105" s="721"/>
    </row>
    <row r="106" spans="1:14" ht="21" customHeight="1">
      <c r="A106" s="763"/>
      <c r="B106" s="759"/>
      <c r="C106" s="757"/>
      <c r="D106" s="754"/>
      <c r="E106" s="759"/>
      <c r="F106" s="774"/>
      <c r="G106" s="763"/>
      <c r="H106" s="754"/>
      <c r="I106" s="758"/>
      <c r="J106" s="754"/>
      <c r="K106" s="754"/>
      <c r="L106" s="754"/>
      <c r="M106" s="727"/>
    </row>
    <row r="107" spans="1:14" ht="21" customHeight="1">
      <c r="A107" s="763"/>
      <c r="B107" s="754"/>
      <c r="C107" s="754"/>
      <c r="D107" s="754"/>
      <c r="E107" s="779"/>
      <c r="F107" s="754"/>
      <c r="G107" s="763"/>
      <c r="H107" s="754"/>
      <c r="I107" s="754"/>
      <c r="J107" s="754"/>
      <c r="K107" s="754"/>
      <c r="L107" s="754"/>
      <c r="M107" s="727"/>
    </row>
    <row r="108" spans="1:14" ht="21" customHeight="1">
      <c r="A108" s="754"/>
      <c r="B108" s="763"/>
      <c r="C108" s="754"/>
      <c r="D108" s="757"/>
      <c r="E108" s="763"/>
      <c r="F108" s="759"/>
      <c r="G108" s="780"/>
      <c r="H108" s="754"/>
      <c r="I108" s="781"/>
      <c r="J108" s="782"/>
      <c r="K108" s="754"/>
      <c r="L108" s="754"/>
      <c r="M108" s="727"/>
    </row>
    <row r="109" spans="1:14" ht="21" customHeight="1">
      <c r="A109" s="763"/>
      <c r="B109" s="763"/>
      <c r="C109" s="781"/>
      <c r="D109" s="759"/>
      <c r="E109" s="783"/>
      <c r="F109" s="784"/>
      <c r="G109" s="763"/>
      <c r="H109" s="754"/>
      <c r="I109" s="754"/>
      <c r="J109" s="754"/>
      <c r="K109" s="754"/>
      <c r="L109" s="754"/>
      <c r="M109" s="727"/>
    </row>
    <row r="110" spans="1:14" ht="21" customHeight="1">
      <c r="A110" s="1620"/>
      <c r="B110" s="1620"/>
      <c r="C110" s="785"/>
      <c r="D110" s="781"/>
      <c r="E110" s="774"/>
      <c r="F110" s="781"/>
      <c r="G110" s="757"/>
      <c r="H110" s="763"/>
      <c r="I110" s="754"/>
      <c r="J110" s="754"/>
      <c r="K110" s="754"/>
      <c r="L110" s="754"/>
      <c r="M110" s="748"/>
    </row>
    <row r="111" spans="1:14" ht="21" customHeight="1">
      <c r="A111" s="753"/>
      <c r="B111" s="778"/>
      <c r="C111" s="786"/>
      <c r="D111" s="754"/>
      <c r="E111" s="754"/>
      <c r="F111" s="754"/>
      <c r="G111" s="757"/>
      <c r="H111" s="754"/>
      <c r="I111" s="754"/>
      <c r="J111" s="754"/>
      <c r="K111" s="754"/>
      <c r="L111" s="754"/>
      <c r="M111" s="727"/>
    </row>
    <row r="112" spans="1:14" ht="21" customHeight="1">
      <c r="A112" s="787"/>
      <c r="B112" s="759"/>
      <c r="C112" s="757"/>
      <c r="D112" s="763"/>
      <c r="E112" s="759"/>
      <c r="F112" s="757"/>
      <c r="G112" s="763"/>
      <c r="H112" s="1620"/>
      <c r="I112" s="1620"/>
      <c r="J112" s="782"/>
      <c r="K112" s="1573"/>
      <c r="L112" s="1573"/>
      <c r="M112" s="727"/>
    </row>
    <row r="113" spans="1:13" ht="21" customHeight="1">
      <c r="A113" s="788"/>
      <c r="B113" s="754"/>
      <c r="C113" s="786"/>
      <c r="D113" s="754"/>
      <c r="E113" s="789"/>
      <c r="F113" s="754"/>
      <c r="G113" s="789"/>
      <c r="H113" s="789"/>
      <c r="I113" s="789"/>
      <c r="J113" s="754"/>
      <c r="K113" s="1573"/>
      <c r="L113" s="1573"/>
      <c r="M113" s="728"/>
    </row>
    <row r="114" spans="1:13" ht="21" customHeight="1">
      <c r="A114" s="763"/>
      <c r="B114" s="763"/>
      <c r="C114" s="759"/>
      <c r="D114" s="790"/>
      <c r="E114" s="754"/>
      <c r="F114" s="790"/>
      <c r="G114" s="757"/>
      <c r="H114" s="754"/>
      <c r="I114" s="754"/>
      <c r="J114" s="754"/>
      <c r="K114" s="754"/>
      <c r="L114" s="754"/>
      <c r="M114" s="1441"/>
    </row>
    <row r="115" spans="1:13" ht="21" customHeight="1">
      <c r="A115" s="763"/>
      <c r="B115" s="754"/>
      <c r="C115" s="759"/>
      <c r="D115" s="790"/>
      <c r="E115" s="754"/>
      <c r="F115" s="790"/>
      <c r="G115" s="791"/>
      <c r="H115" s="754"/>
      <c r="I115" s="754"/>
      <c r="J115" s="792"/>
      <c r="K115" s="754"/>
      <c r="L115" s="754"/>
      <c r="M115" s="1441"/>
    </row>
    <row r="116" spans="1:13" ht="21" customHeight="1">
      <c r="A116" s="763"/>
      <c r="B116" s="763"/>
      <c r="C116" s="754"/>
      <c r="D116" s="754"/>
      <c r="E116" s="759"/>
      <c r="F116" s="757"/>
      <c r="G116" s="763"/>
      <c r="H116" s="754"/>
      <c r="I116" s="754"/>
      <c r="J116" s="754"/>
      <c r="K116" s="754"/>
      <c r="L116" s="754"/>
      <c r="M116" s="1441"/>
    </row>
    <row r="117" spans="1:13" ht="21" customHeight="1">
      <c r="A117" s="763"/>
      <c r="B117" s="759"/>
      <c r="C117" s="757"/>
      <c r="D117" s="763"/>
      <c r="E117" s="759"/>
      <c r="F117" s="757"/>
      <c r="G117" s="763"/>
      <c r="H117" s="754"/>
      <c r="I117" s="757"/>
      <c r="J117" s="754"/>
      <c r="K117" s="754"/>
      <c r="L117" s="754"/>
      <c r="M117" s="1441"/>
    </row>
    <row r="118" spans="1:13" ht="21" customHeight="1">
      <c r="A118" s="763"/>
      <c r="B118" s="759"/>
      <c r="C118" s="757"/>
      <c r="D118" s="763"/>
      <c r="E118" s="759"/>
      <c r="F118" s="757"/>
      <c r="G118" s="763"/>
      <c r="H118" s="754"/>
      <c r="I118" s="754"/>
      <c r="J118" s="754"/>
      <c r="K118" s="754"/>
      <c r="L118" s="754"/>
      <c r="M118" s="1441"/>
    </row>
    <row r="119" spans="1:13" ht="21" customHeight="1">
      <c r="A119" s="763"/>
      <c r="B119" s="763"/>
      <c r="C119" s="754"/>
      <c r="D119" s="757"/>
      <c r="E119" s="763"/>
      <c r="F119" s="759"/>
      <c r="G119" s="780"/>
      <c r="H119" s="754"/>
      <c r="I119" s="781"/>
      <c r="J119" s="782"/>
      <c r="K119" s="754"/>
      <c r="L119" s="754"/>
    </row>
    <row r="120" spans="1:13" ht="21" customHeight="1">
      <c r="A120" s="763"/>
      <c r="B120" s="763"/>
      <c r="C120" s="781"/>
      <c r="D120" s="759"/>
      <c r="E120" s="783"/>
      <c r="F120" s="784"/>
      <c r="G120" s="780"/>
      <c r="H120" s="754"/>
      <c r="I120" s="781"/>
      <c r="J120" s="782"/>
      <c r="K120" s="754"/>
      <c r="L120" s="754"/>
      <c r="M120" s="727"/>
    </row>
    <row r="121" spans="1:13" ht="21" customHeight="1">
      <c r="A121" s="1620"/>
      <c r="B121" s="1620"/>
      <c r="C121" s="1922"/>
      <c r="D121" s="1923"/>
      <c r="E121" s="1825"/>
      <c r="F121" s="1923"/>
      <c r="G121" s="1824"/>
      <c r="H121" s="763"/>
      <c r="I121" s="781"/>
      <c r="J121" s="782"/>
      <c r="K121" s="754"/>
      <c r="L121" s="754"/>
      <c r="M121" s="748"/>
    </row>
    <row r="122" spans="1:13" ht="21" customHeight="1">
      <c r="A122" s="788"/>
      <c r="B122" s="793"/>
      <c r="C122" s="1825"/>
      <c r="D122" s="1824"/>
      <c r="E122" s="1825"/>
      <c r="F122" s="1824"/>
      <c r="G122" s="1824"/>
      <c r="H122" s="754"/>
      <c r="I122" s="754"/>
      <c r="J122" s="754"/>
      <c r="K122" s="754"/>
      <c r="L122" s="754"/>
      <c r="M122" s="727"/>
    </row>
    <row r="123" spans="1:13" ht="21" customHeight="1">
      <c r="A123" s="763"/>
      <c r="B123" s="763"/>
      <c r="C123" s="1825"/>
      <c r="D123" s="1934"/>
      <c r="E123" s="1919"/>
      <c r="F123" s="1920"/>
      <c r="G123" s="1935"/>
      <c r="H123" s="754"/>
      <c r="I123" s="781"/>
      <c r="J123" s="782"/>
      <c r="K123" s="754"/>
      <c r="L123" s="754"/>
      <c r="M123" s="727"/>
    </row>
    <row r="124" spans="1:13" ht="21" customHeight="1">
      <c r="A124" s="763"/>
      <c r="B124" s="763"/>
      <c r="C124" s="1923"/>
      <c r="D124" s="1920"/>
      <c r="E124" s="1936"/>
      <c r="F124" s="1937"/>
      <c r="G124" s="1935"/>
      <c r="H124" s="754"/>
      <c r="I124" s="781"/>
      <c r="J124" s="782"/>
      <c r="K124" s="754"/>
      <c r="L124" s="754"/>
      <c r="M124" s="727"/>
    </row>
    <row r="125" spans="1:13" ht="21" customHeight="1">
      <c r="A125" s="1620"/>
      <c r="B125" s="1620"/>
      <c r="C125" s="1922"/>
      <c r="D125" s="1923"/>
      <c r="E125" s="1825"/>
      <c r="F125" s="1923"/>
      <c r="G125" s="1824"/>
      <c r="H125" s="763"/>
      <c r="I125" s="781"/>
      <c r="J125" s="782"/>
      <c r="K125" s="754"/>
      <c r="L125" s="754"/>
      <c r="M125" s="748"/>
    </row>
    <row r="126" spans="1:13" ht="22.15" customHeight="1">
      <c r="A126" s="753"/>
      <c r="B126" s="778"/>
      <c r="C126" s="1923"/>
      <c r="D126" s="1824"/>
      <c r="E126" s="1825"/>
      <c r="F126" s="1825"/>
      <c r="G126" s="1825"/>
      <c r="H126" s="754"/>
      <c r="I126" s="757"/>
      <c r="J126" s="792"/>
      <c r="K126" s="754"/>
      <c r="L126" s="754"/>
      <c r="M126" s="727"/>
    </row>
    <row r="127" spans="1:13" ht="22.15" customHeight="1">
      <c r="A127" s="787"/>
      <c r="B127" s="759"/>
      <c r="C127" s="1824"/>
      <c r="D127" s="1919"/>
      <c r="E127" s="1920"/>
      <c r="F127" s="1824"/>
      <c r="G127" s="1919"/>
      <c r="H127" s="754"/>
      <c r="I127" s="754"/>
      <c r="J127" s="754"/>
      <c r="K127" s="754"/>
      <c r="L127" s="754"/>
      <c r="M127" s="729"/>
    </row>
    <row r="128" spans="1:13" ht="22.15" customHeight="1">
      <c r="A128" s="763"/>
      <c r="B128" s="754"/>
      <c r="C128" s="1920"/>
      <c r="D128" s="1938"/>
      <c r="E128" s="1920"/>
      <c r="F128" s="1933"/>
      <c r="G128" s="1824"/>
      <c r="H128" s="754"/>
      <c r="I128" s="754"/>
      <c r="J128" s="754"/>
      <c r="K128" s="754"/>
      <c r="L128" s="754"/>
      <c r="M128" s="730"/>
    </row>
    <row r="129" spans="1:18" ht="22.15" customHeight="1">
      <c r="A129" s="763"/>
      <c r="B129" s="754"/>
      <c r="C129" s="1920"/>
      <c r="D129" s="1938"/>
      <c r="E129" s="1920"/>
      <c r="F129" s="1933"/>
      <c r="G129" s="1824"/>
      <c r="H129" s="754"/>
      <c r="I129" s="754"/>
      <c r="J129" s="754"/>
      <c r="K129" s="754"/>
      <c r="L129" s="754"/>
      <c r="M129" s="727"/>
    </row>
    <row r="130" spans="1:18" ht="22.15" customHeight="1">
      <c r="A130" s="763"/>
      <c r="B130" s="763"/>
      <c r="C130" s="754"/>
      <c r="D130" s="754"/>
      <c r="E130" s="759"/>
      <c r="F130" s="757"/>
      <c r="G130" s="763"/>
      <c r="H130" s="754"/>
      <c r="I130" s="773"/>
      <c r="J130" s="754"/>
      <c r="K130" s="754"/>
      <c r="L130" s="754"/>
      <c r="M130" s="727"/>
    </row>
    <row r="131" spans="1:18" ht="22.15" customHeight="1">
      <c r="A131" s="763"/>
      <c r="B131" s="759"/>
      <c r="C131" s="783"/>
      <c r="D131" s="763"/>
      <c r="E131" s="759"/>
      <c r="F131" s="757"/>
      <c r="G131" s="763"/>
      <c r="H131" s="757"/>
      <c r="I131" s="757"/>
      <c r="J131" s="754"/>
      <c r="K131" s="754"/>
      <c r="L131" s="754"/>
      <c r="M131" s="727"/>
    </row>
    <row r="132" spans="1:18" ht="22.15" customHeight="1">
      <c r="A132" s="763"/>
      <c r="B132" s="759"/>
      <c r="C132" s="783"/>
      <c r="D132" s="763"/>
      <c r="E132" s="759"/>
      <c r="F132" s="757"/>
      <c r="G132" s="763"/>
      <c r="H132" s="754"/>
      <c r="I132" s="754"/>
      <c r="J132" s="754"/>
      <c r="K132" s="754"/>
      <c r="L132" s="754"/>
      <c r="M132" s="727"/>
    </row>
    <row r="133" spans="1:18" ht="22.15" customHeight="1">
      <c r="A133" s="763"/>
      <c r="B133" s="763"/>
      <c r="C133" s="781"/>
      <c r="D133" s="757"/>
      <c r="E133" s="763"/>
      <c r="F133" s="759"/>
      <c r="G133" s="780"/>
      <c r="H133" s="754"/>
      <c r="I133" s="781"/>
      <c r="J133" s="782"/>
      <c r="K133" s="754"/>
      <c r="L133" s="754"/>
      <c r="M133" s="727"/>
    </row>
    <row r="134" spans="1:18" ht="22.15" customHeight="1">
      <c r="A134" s="763"/>
      <c r="B134" s="763"/>
      <c r="C134" s="781"/>
      <c r="D134" s="759"/>
      <c r="E134" s="783"/>
      <c r="F134" s="784"/>
      <c r="G134" s="757"/>
      <c r="H134" s="754"/>
      <c r="J134" s="782"/>
      <c r="K134" s="754"/>
      <c r="L134" s="754"/>
      <c r="M134" s="727"/>
    </row>
    <row r="135" spans="1:18" ht="22.15" customHeight="1">
      <c r="A135" s="1620"/>
      <c r="B135" s="1620"/>
      <c r="C135" s="785"/>
      <c r="D135" s="779"/>
      <c r="E135" s="774"/>
      <c r="F135" s="781"/>
      <c r="G135" s="757"/>
      <c r="H135" s="763"/>
      <c r="J135" s="782"/>
      <c r="K135" s="754"/>
      <c r="L135" s="754"/>
      <c r="M135" s="727"/>
    </row>
    <row r="136" spans="1:18" ht="22.15" customHeight="1">
      <c r="A136" s="763"/>
      <c r="B136" s="763"/>
      <c r="C136" s="780"/>
      <c r="D136" s="754"/>
      <c r="E136" s="781"/>
      <c r="F136" s="782"/>
      <c r="G136" s="757"/>
      <c r="H136" s="754"/>
      <c r="I136" s="754"/>
      <c r="J136" s="754"/>
      <c r="K136" s="754"/>
      <c r="L136" s="754"/>
      <c r="M136" s="727"/>
    </row>
    <row r="137" spans="1:18" ht="22.15" customHeight="1">
      <c r="A137" s="763"/>
      <c r="B137" s="759"/>
      <c r="C137" s="780"/>
      <c r="D137" s="763"/>
      <c r="E137" s="759"/>
      <c r="F137" s="780"/>
      <c r="G137" s="754"/>
      <c r="H137" s="781"/>
      <c r="I137" s="782"/>
      <c r="J137" s="759"/>
      <c r="K137" s="754"/>
      <c r="L137" s="754"/>
      <c r="M137" s="727"/>
    </row>
    <row r="138" spans="1:18" ht="22.15" customHeight="1">
      <c r="A138" s="763"/>
      <c r="B138" s="763"/>
      <c r="C138" s="781"/>
      <c r="D138" s="759"/>
      <c r="E138" s="783"/>
      <c r="F138" s="784"/>
      <c r="G138" s="757"/>
      <c r="H138" s="754"/>
      <c r="I138" s="754"/>
      <c r="J138" s="754"/>
      <c r="K138" s="754"/>
      <c r="L138" s="754"/>
      <c r="M138" s="727"/>
    </row>
    <row r="139" spans="1:18" ht="22.15" customHeight="1">
      <c r="A139" s="1620"/>
      <c r="B139" s="1620"/>
      <c r="C139" s="785"/>
      <c r="D139" s="779"/>
      <c r="E139" s="774"/>
      <c r="F139" s="781"/>
      <c r="G139" s="757"/>
      <c r="H139" s="763"/>
      <c r="I139" s="754"/>
      <c r="J139" s="754"/>
      <c r="K139" s="754"/>
      <c r="L139" s="754"/>
      <c r="M139" s="727"/>
    </row>
    <row r="140" spans="1:18" ht="22.15" customHeight="1">
      <c r="A140" s="1620"/>
      <c r="B140" s="1620"/>
      <c r="C140" s="754"/>
      <c r="D140" s="754"/>
      <c r="E140" s="763"/>
      <c r="F140" s="757"/>
      <c r="G140" s="757"/>
      <c r="H140" s="754"/>
      <c r="I140" s="754"/>
      <c r="J140" s="754"/>
      <c r="K140" s="754"/>
      <c r="L140" s="754"/>
      <c r="M140" s="727"/>
    </row>
    <row r="141" spans="1:18" ht="22.15" customHeight="1">
      <c r="A141" s="795"/>
      <c r="B141" s="754"/>
      <c r="C141" s="781"/>
      <c r="D141" s="757"/>
      <c r="E141" s="754"/>
      <c r="F141" s="757"/>
      <c r="G141" s="757"/>
      <c r="H141" s="754"/>
      <c r="I141" s="754"/>
      <c r="J141" s="754"/>
      <c r="K141" s="754"/>
      <c r="L141" s="754"/>
      <c r="M141" s="727"/>
    </row>
    <row r="142" spans="1:18" ht="22.15" customHeight="1">
      <c r="A142" s="763"/>
      <c r="B142" s="796"/>
      <c r="C142" s="754"/>
      <c r="D142" s="763"/>
      <c r="E142" s="754"/>
      <c r="F142" s="757"/>
      <c r="G142" s="757"/>
      <c r="H142" s="754"/>
      <c r="I142" s="754"/>
      <c r="J142" s="754"/>
      <c r="K142" s="754"/>
      <c r="L142" s="754"/>
      <c r="M142" s="727"/>
    </row>
    <row r="143" spans="1:18" ht="22.15" customHeight="1">
      <c r="A143" s="1621"/>
      <c r="B143" s="1621"/>
      <c r="C143" s="1621"/>
      <c r="D143" s="781"/>
      <c r="E143" s="792"/>
      <c r="F143" s="824"/>
      <c r="I143" s="754"/>
      <c r="J143" s="754"/>
      <c r="K143" s="754"/>
      <c r="L143" s="779"/>
      <c r="M143" s="727"/>
    </row>
    <row r="144" spans="1:18" ht="19.899999999999999" customHeight="1">
      <c r="A144" s="776"/>
      <c r="B144" s="754"/>
      <c r="C144" s="754"/>
      <c r="D144" s="754"/>
      <c r="E144" s="754"/>
      <c r="F144" s="754"/>
      <c r="G144" s="754"/>
      <c r="H144" s="1651"/>
      <c r="I144" s="1651"/>
      <c r="J144" s="763"/>
      <c r="K144" s="754"/>
      <c r="L144" s="754"/>
      <c r="M144" s="721"/>
      <c r="Q144" s="1602"/>
      <c r="R144" s="1602"/>
    </row>
    <row r="145" spans="1:24" ht="19.899999999999999" customHeight="1">
      <c r="A145" s="763"/>
      <c r="B145" s="754"/>
      <c r="C145" s="754"/>
      <c r="D145" s="754"/>
      <c r="E145" s="754"/>
      <c r="F145" s="754"/>
      <c r="G145" s="754"/>
      <c r="H145" s="754"/>
      <c r="I145" s="754"/>
      <c r="J145" s="757"/>
      <c r="K145" s="754"/>
      <c r="L145" s="754"/>
      <c r="M145" s="721"/>
      <c r="Q145" s="410"/>
      <c r="R145" s="410"/>
    </row>
    <row r="146" spans="1:24" ht="19.899999999999999" customHeight="1">
      <c r="A146" s="763"/>
      <c r="B146" s="754"/>
      <c r="C146" s="754"/>
      <c r="D146" s="754"/>
      <c r="E146" s="754"/>
      <c r="F146" s="754"/>
      <c r="G146" s="754"/>
      <c r="H146" s="754"/>
      <c r="I146" s="754"/>
      <c r="J146" s="757"/>
      <c r="K146" s="754"/>
      <c r="L146" s="754"/>
      <c r="M146" s="721"/>
      <c r="N146" s="469"/>
      <c r="P146" s="266"/>
      <c r="Q146" s="410"/>
      <c r="R146" s="410"/>
    </row>
    <row r="147" spans="1:24" ht="19.899999999999999" customHeight="1">
      <c r="A147" s="763"/>
      <c r="B147" s="754"/>
      <c r="C147" s="754"/>
      <c r="D147" s="754"/>
      <c r="E147" s="754"/>
      <c r="F147" s="754"/>
      <c r="G147" s="754"/>
      <c r="H147" s="754"/>
      <c r="I147" s="754"/>
      <c r="J147" s="757"/>
      <c r="K147" s="754"/>
      <c r="L147" s="754"/>
      <c r="M147" s="721"/>
      <c r="N147" s="470"/>
      <c r="P147" s="266"/>
      <c r="Q147" s="410"/>
      <c r="R147" s="410"/>
    </row>
    <row r="148" spans="1:24" ht="19.899999999999999" customHeight="1">
      <c r="A148" s="763"/>
      <c r="B148" s="754"/>
      <c r="C148" s="754"/>
      <c r="D148" s="754"/>
      <c r="E148" s="754"/>
      <c r="F148" s="754"/>
      <c r="G148" s="754"/>
      <c r="H148" s="754"/>
      <c r="I148" s="754"/>
      <c r="J148" s="757"/>
      <c r="K148" s="754"/>
      <c r="L148" s="754"/>
      <c r="M148" s="721"/>
      <c r="N148" s="470"/>
      <c r="P148" s="266"/>
      <c r="Q148" s="410"/>
      <c r="R148" s="410"/>
    </row>
    <row r="149" spans="1:24" ht="19.899999999999999" customHeight="1">
      <c r="A149" s="763"/>
      <c r="B149" s="754"/>
      <c r="C149" s="754"/>
      <c r="D149" s="754"/>
      <c r="E149" s="754"/>
      <c r="F149" s="754"/>
      <c r="G149" s="754"/>
      <c r="H149" s="754"/>
      <c r="I149" s="754"/>
      <c r="J149" s="757"/>
      <c r="K149" s="754"/>
      <c r="L149" s="791"/>
      <c r="M149" s="721"/>
      <c r="N149" s="468"/>
      <c r="Q149" s="410"/>
      <c r="R149" s="410"/>
    </row>
    <row r="150" spans="1:24" ht="19.899999999999999" customHeight="1">
      <c r="A150" s="763"/>
      <c r="B150" s="754"/>
      <c r="C150" s="754"/>
      <c r="D150" s="754"/>
      <c r="E150" s="754"/>
      <c r="F150" s="754"/>
      <c r="G150" s="754"/>
      <c r="H150" s="754"/>
      <c r="I150" s="754"/>
      <c r="J150" s="757"/>
      <c r="K150" s="754"/>
      <c r="L150" s="791"/>
      <c r="M150" s="721"/>
      <c r="N150" s="1909"/>
      <c r="O150" s="1839"/>
      <c r="P150" s="1839"/>
      <c r="Q150" s="1839"/>
      <c r="R150" s="1839"/>
      <c r="S150" s="1839"/>
      <c r="T150" s="1839"/>
      <c r="U150" s="1839"/>
      <c r="V150" s="1839"/>
      <c r="W150" s="1839"/>
      <c r="X150" s="1839"/>
    </row>
    <row r="151" spans="1:24" ht="19.899999999999999" customHeight="1">
      <c r="A151" s="763"/>
      <c r="B151" s="754"/>
      <c r="C151" s="754"/>
      <c r="D151" s="754"/>
      <c r="E151" s="754"/>
      <c r="F151" s="754"/>
      <c r="G151" s="754"/>
      <c r="H151" s="754"/>
      <c r="I151" s="754"/>
      <c r="J151" s="757"/>
      <c r="K151" s="754"/>
      <c r="L151" s="791"/>
      <c r="M151" s="721"/>
      <c r="N151" s="1910"/>
      <c r="O151" s="1839"/>
      <c r="P151" s="1839"/>
      <c r="Q151" s="1911"/>
      <c r="R151" s="1911"/>
      <c r="S151" s="1839"/>
      <c r="T151" s="1911"/>
      <c r="U151" s="1839"/>
      <c r="V151" s="1839"/>
      <c r="W151" s="1839"/>
      <c r="X151" s="1839"/>
    </row>
    <row r="152" spans="1:24" ht="19.899999999999999" customHeight="1">
      <c r="A152" s="763"/>
      <c r="B152" s="754"/>
      <c r="C152" s="754"/>
      <c r="D152" s="754"/>
      <c r="E152" s="754"/>
      <c r="F152" s="754"/>
      <c r="G152" s="754"/>
      <c r="H152" s="754"/>
      <c r="I152" s="754"/>
      <c r="J152" s="757"/>
      <c r="K152" s="754"/>
      <c r="L152" s="791"/>
      <c r="M152" s="721"/>
      <c r="N152" s="1912"/>
      <c r="O152" s="1839"/>
      <c r="P152" s="1839"/>
      <c r="Q152" s="1909"/>
      <c r="R152" s="1839"/>
      <c r="S152" s="1839"/>
      <c r="T152" s="1909"/>
      <c r="U152" s="1839"/>
      <c r="V152" s="1839"/>
      <c r="W152" s="1839"/>
      <c r="X152" s="1839"/>
    </row>
    <row r="153" spans="1:24" ht="19.899999999999999" customHeight="1">
      <c r="A153" s="763"/>
      <c r="B153" s="754"/>
      <c r="C153" s="754"/>
      <c r="D153" s="754"/>
      <c r="E153" s="754"/>
      <c r="F153" s="754"/>
      <c r="G153" s="754"/>
      <c r="H153" s="1651"/>
      <c r="I153" s="1651"/>
      <c r="J153" s="763"/>
      <c r="K153" s="757"/>
      <c r="L153" s="757"/>
      <c r="M153" s="721"/>
      <c r="N153" s="1912"/>
      <c r="O153" s="1839"/>
      <c r="P153" s="1839"/>
      <c r="Q153" s="1909"/>
      <c r="R153" s="1839"/>
      <c r="S153" s="1839"/>
      <c r="T153" s="1909"/>
      <c r="U153" s="1839"/>
      <c r="V153" s="1839"/>
      <c r="W153" s="1839"/>
      <c r="X153" s="1839"/>
    </row>
    <row r="154" spans="1:24" ht="19.899999999999999" customHeight="1">
      <c r="A154" s="763"/>
      <c r="B154" s="754"/>
      <c r="C154" s="754"/>
      <c r="D154" s="754"/>
      <c r="E154" s="754"/>
      <c r="F154" s="754"/>
      <c r="G154" s="754"/>
      <c r="H154" s="754"/>
      <c r="I154" s="754"/>
      <c r="J154" s="754"/>
      <c r="K154" s="757"/>
      <c r="L154" s="757"/>
      <c r="M154" s="721"/>
      <c r="N154" s="1839"/>
      <c r="O154" s="1839"/>
      <c r="P154" s="1839"/>
      <c r="Q154" s="1911"/>
      <c r="R154" s="1839"/>
      <c r="S154" s="1839"/>
      <c r="T154" s="1839"/>
      <c r="U154" s="1839"/>
      <c r="V154" s="1839"/>
      <c r="W154" s="1839"/>
      <c r="X154" s="1839"/>
    </row>
    <row r="155" spans="1:24" ht="19.899999999999999" customHeight="1">
      <c r="A155" s="763"/>
      <c r="B155" s="754"/>
      <c r="C155" s="754"/>
      <c r="D155" s="754"/>
      <c r="E155" s="754"/>
      <c r="F155" s="754"/>
      <c r="G155" s="754"/>
      <c r="H155" s="754"/>
      <c r="I155" s="754"/>
      <c r="J155" s="757"/>
      <c r="K155" s="754"/>
      <c r="L155" s="754"/>
      <c r="M155" s="721"/>
      <c r="N155" s="1839"/>
      <c r="O155" s="1839"/>
      <c r="P155" s="1839"/>
      <c r="Q155" s="1839"/>
      <c r="R155" s="1839"/>
      <c r="S155" s="1839"/>
      <c r="T155" s="1839"/>
      <c r="U155" s="1839"/>
      <c r="V155" s="1839"/>
      <c r="W155" s="1839"/>
      <c r="X155" s="1839"/>
    </row>
    <row r="156" spans="1:24" ht="19.899999999999999" customHeight="1">
      <c r="A156" s="763"/>
      <c r="B156" s="754"/>
      <c r="C156" s="754"/>
      <c r="D156" s="754"/>
      <c r="E156" s="754"/>
      <c r="F156" s="754"/>
      <c r="G156" s="754"/>
      <c r="H156" s="754"/>
      <c r="I156" s="754"/>
      <c r="J156" s="757"/>
      <c r="L156" s="754"/>
      <c r="M156" s="721"/>
      <c r="N156" s="1909"/>
      <c r="O156" s="1911"/>
      <c r="P156" s="1839"/>
      <c r="Q156" s="1839"/>
      <c r="R156" s="1839"/>
      <c r="S156" s="1839"/>
      <c r="T156" s="1839"/>
      <c r="U156" s="1839"/>
      <c r="V156" s="1839"/>
      <c r="W156" s="1839"/>
      <c r="X156" s="1839"/>
    </row>
    <row r="157" spans="1:24" ht="19.899999999999999" customHeight="1">
      <c r="A157" s="763"/>
      <c r="B157" s="754"/>
      <c r="C157" s="754"/>
      <c r="D157" s="754"/>
      <c r="E157" s="754"/>
      <c r="F157" s="754"/>
      <c r="G157" s="754"/>
      <c r="H157" s="754"/>
      <c r="I157" s="754"/>
      <c r="J157" s="757"/>
      <c r="K157" s="754"/>
      <c r="L157" s="754"/>
      <c r="M157" s="721"/>
      <c r="N157" s="1839"/>
      <c r="O157" s="1839"/>
      <c r="P157" s="1839"/>
      <c r="Q157" s="1839"/>
      <c r="R157" s="1839"/>
      <c r="S157" s="1839"/>
      <c r="T157" s="1839"/>
      <c r="U157" s="1839"/>
      <c r="V157" s="1839"/>
      <c r="W157" s="1839"/>
      <c r="X157" s="1839"/>
    </row>
    <row r="158" spans="1:24" ht="19.899999999999999" customHeight="1">
      <c r="A158" s="763"/>
      <c r="B158" s="754"/>
      <c r="C158" s="754"/>
      <c r="D158" s="754"/>
      <c r="E158" s="754"/>
      <c r="F158" s="754"/>
      <c r="G158" s="754"/>
      <c r="H158" s="754"/>
      <c r="I158" s="754"/>
      <c r="J158" s="757"/>
      <c r="K158" s="754"/>
      <c r="L158" s="754"/>
      <c r="M158" s="721"/>
      <c r="N158" s="1839"/>
      <c r="O158" s="1839"/>
      <c r="P158" s="1839"/>
      <c r="Q158" s="1839"/>
      <c r="R158" s="1839"/>
      <c r="S158" s="1839"/>
      <c r="T158" s="1839"/>
      <c r="U158" s="1839"/>
      <c r="V158" s="1839"/>
      <c r="W158" s="1839"/>
      <c r="X158" s="1839"/>
    </row>
    <row r="159" spans="1:24" ht="19.899999999999999" customHeight="1">
      <c r="A159" s="763"/>
      <c r="B159" s="754"/>
      <c r="C159" s="754"/>
      <c r="D159" s="754"/>
      <c r="E159" s="754"/>
      <c r="F159" s="754"/>
      <c r="G159" s="754"/>
      <c r="H159" s="754"/>
      <c r="I159" s="754"/>
      <c r="J159" s="757"/>
      <c r="K159" s="754"/>
      <c r="L159" s="754"/>
      <c r="M159" s="721"/>
      <c r="N159" s="1839"/>
      <c r="O159" s="1839"/>
      <c r="P159" s="1839"/>
      <c r="Q159" s="1839"/>
      <c r="R159" s="1839"/>
      <c r="S159" s="1839"/>
      <c r="T159" s="1839"/>
      <c r="U159" s="1839"/>
      <c r="V159" s="1839"/>
      <c r="W159" s="1839"/>
      <c r="X159" s="1839"/>
    </row>
    <row r="160" spans="1:24" ht="19.899999999999999" customHeight="1">
      <c r="A160" s="763"/>
      <c r="B160" s="754"/>
      <c r="C160" s="754"/>
      <c r="D160" s="754"/>
      <c r="E160" s="754"/>
      <c r="F160" s="754"/>
      <c r="G160" s="754"/>
      <c r="H160" s="754"/>
      <c r="I160" s="754"/>
      <c r="J160" s="757"/>
      <c r="K160" s="757"/>
      <c r="L160" s="757"/>
      <c r="M160" s="721"/>
    </row>
    <row r="161" spans="1:15" ht="19.899999999999999" customHeight="1">
      <c r="A161" s="763"/>
      <c r="B161" s="754"/>
      <c r="C161" s="754"/>
      <c r="D161" s="754"/>
      <c r="E161" s="754"/>
      <c r="F161" s="754"/>
      <c r="G161" s="754"/>
      <c r="H161" s="754"/>
      <c r="I161" s="754"/>
      <c r="J161" s="757"/>
      <c r="K161" s="757"/>
      <c r="L161" s="757"/>
      <c r="M161" s="721"/>
      <c r="O161" s="421"/>
    </row>
    <row r="162" spans="1:15" ht="19.899999999999999" customHeight="1">
      <c r="A162" s="763"/>
      <c r="B162" s="754"/>
      <c r="C162" s="754"/>
      <c r="D162" s="754"/>
      <c r="E162" s="754"/>
      <c r="F162" s="754"/>
      <c r="G162" s="754"/>
      <c r="H162" s="754"/>
      <c r="I162" s="754"/>
      <c r="J162" s="754"/>
      <c r="K162" s="757"/>
      <c r="L162" s="757"/>
      <c r="M162" s="721"/>
    </row>
    <row r="163" spans="1:15" ht="19.899999999999999" customHeight="1">
      <c r="A163" s="763"/>
      <c r="B163" s="754"/>
      <c r="C163" s="754"/>
      <c r="D163" s="754"/>
      <c r="E163" s="754"/>
      <c r="F163" s="754"/>
      <c r="G163" s="754"/>
      <c r="H163" s="1571"/>
      <c r="I163" s="1571"/>
      <c r="J163" s="763"/>
      <c r="K163" s="754"/>
      <c r="L163" s="754"/>
      <c r="M163" s="721"/>
    </row>
    <row r="164" spans="1:15" ht="22.15" customHeight="1">
      <c r="A164" s="1620"/>
      <c r="B164" s="1620"/>
      <c r="C164" s="1620"/>
      <c r="D164" s="759"/>
      <c r="E164" s="760"/>
      <c r="F164" s="763"/>
      <c r="G164" s="754"/>
      <c r="H164" s="760"/>
      <c r="I164" s="754"/>
      <c r="J164" s="754"/>
      <c r="K164" s="754"/>
      <c r="L164" s="754"/>
      <c r="M164" s="731"/>
    </row>
    <row r="165" spans="1:15" ht="22.15" customHeight="1">
      <c r="A165" s="1620"/>
      <c r="B165" s="1620"/>
      <c r="C165" s="1620"/>
      <c r="D165" s="759"/>
      <c r="E165" s="791"/>
      <c r="F165" s="763"/>
      <c r="G165" s="754"/>
      <c r="H165" s="760"/>
      <c r="I165" s="754"/>
      <c r="J165" s="754"/>
      <c r="K165" s="754"/>
      <c r="L165" s="754"/>
      <c r="M165" s="721"/>
    </row>
    <row r="166" spans="1:15" ht="22.15" customHeight="1">
      <c r="A166" s="1620"/>
      <c r="B166" s="1620"/>
      <c r="C166" s="1620"/>
      <c r="D166" s="759"/>
      <c r="E166" s="757"/>
      <c r="F166" s="763"/>
      <c r="G166" s="754"/>
      <c r="H166" s="797"/>
      <c r="I166" s="754"/>
      <c r="J166" s="754"/>
      <c r="K166" s="754"/>
      <c r="L166" s="754"/>
      <c r="M166" s="721"/>
    </row>
    <row r="167" spans="1:15" ht="22.15" customHeight="1">
      <c r="A167" s="763"/>
      <c r="B167" s="754"/>
      <c r="C167" s="754"/>
      <c r="D167" s="759"/>
      <c r="E167" s="757"/>
      <c r="F167" s="763"/>
      <c r="G167" s="754"/>
      <c r="H167" s="797"/>
      <c r="I167" s="754"/>
      <c r="J167" s="754"/>
      <c r="K167" s="754"/>
      <c r="L167" s="754"/>
      <c r="M167" s="721"/>
    </row>
    <row r="168" spans="1:15" ht="22.15" customHeight="1">
      <c r="A168" s="763"/>
      <c r="B168" s="1619"/>
      <c r="C168" s="1619"/>
      <c r="D168" s="759"/>
      <c r="E168" s="760"/>
      <c r="F168" s="763"/>
      <c r="G168" s="754"/>
      <c r="H168" s="754"/>
      <c r="I168" s="754"/>
      <c r="J168" s="754"/>
      <c r="K168" s="754"/>
      <c r="L168" s="754"/>
      <c r="M168" s="721"/>
    </row>
    <row r="169" spans="1:15" ht="22.15" customHeight="1">
      <c r="A169" s="763"/>
      <c r="B169" s="754"/>
      <c r="C169" s="754"/>
      <c r="D169" s="779"/>
      <c r="E169" s="797"/>
      <c r="F169" s="763"/>
      <c r="G169" s="754"/>
      <c r="H169" s="754"/>
      <c r="I169" s="754"/>
      <c r="J169" s="754"/>
      <c r="K169" s="754"/>
      <c r="L169" s="754"/>
      <c r="M169" s="721"/>
    </row>
    <row r="170" spans="1:15" ht="22.15" customHeight="1">
      <c r="A170" s="763"/>
      <c r="B170" s="754"/>
      <c r="C170" s="754"/>
      <c r="D170" s="779"/>
      <c r="E170" s="782"/>
      <c r="F170" s="763"/>
      <c r="G170" s="754"/>
      <c r="H170" s="754"/>
      <c r="I170" s="754"/>
      <c r="J170" s="754"/>
      <c r="K170" s="754"/>
      <c r="L170" s="754"/>
      <c r="M170" s="721"/>
    </row>
    <row r="171" spans="1:15" ht="22.15" customHeight="1">
      <c r="A171" s="763"/>
      <c r="B171" s="754"/>
      <c r="C171" s="759"/>
      <c r="D171" s="757"/>
      <c r="E171" s="754"/>
      <c r="F171" s="754"/>
      <c r="G171" s="754"/>
      <c r="H171" s="754"/>
      <c r="I171" s="754"/>
      <c r="J171" s="754"/>
      <c r="K171" s="754"/>
      <c r="L171" s="754"/>
      <c r="M171" s="721"/>
    </row>
    <row r="172" spans="1:15" ht="22.15" customHeight="1">
      <c r="A172" s="763"/>
      <c r="B172" s="801"/>
      <c r="C172" s="801"/>
      <c r="D172" s="759"/>
      <c r="E172" s="760"/>
      <c r="F172" s="763"/>
      <c r="G172" s="754"/>
      <c r="H172" s="754"/>
      <c r="I172" s="754"/>
      <c r="J172" s="754"/>
      <c r="K172" s="754"/>
      <c r="L172" s="754"/>
      <c r="M172" s="721"/>
    </row>
    <row r="173" spans="1:15" ht="22.15" customHeight="1">
      <c r="A173" s="763"/>
      <c r="B173" s="754"/>
      <c r="C173" s="754"/>
      <c r="D173" s="779"/>
      <c r="E173" s="797"/>
      <c r="F173" s="754"/>
      <c r="G173" s="754"/>
      <c r="H173" s="754"/>
      <c r="I173" s="754"/>
      <c r="J173" s="754"/>
      <c r="K173" s="754"/>
      <c r="L173" s="754"/>
      <c r="M173" s="721"/>
    </row>
    <row r="174" spans="1:15" ht="22.15" customHeight="1">
      <c r="A174" s="763"/>
      <c r="B174" s="754"/>
      <c r="C174" s="754"/>
      <c r="D174" s="779"/>
      <c r="E174" s="782"/>
      <c r="F174" s="754"/>
      <c r="G174" s="754"/>
      <c r="H174" s="754"/>
      <c r="I174" s="754"/>
      <c r="J174" s="754"/>
      <c r="K174" s="754"/>
      <c r="L174" s="754"/>
      <c r="M174" s="721"/>
    </row>
    <row r="175" spans="1:15" ht="22.15" customHeight="1">
      <c r="A175" s="763"/>
      <c r="B175" s="754"/>
      <c r="C175" s="759"/>
      <c r="D175" s="782"/>
      <c r="E175" s="754"/>
      <c r="F175" s="798"/>
      <c r="G175" s="798"/>
      <c r="H175" s="798"/>
      <c r="I175" s="798"/>
      <c r="J175" s="754"/>
      <c r="K175" s="754"/>
      <c r="L175" s="754"/>
      <c r="M175" s="724"/>
    </row>
    <row r="176" spans="1:15" ht="22.15" customHeight="1">
      <c r="A176" s="1620"/>
      <c r="B176" s="1620"/>
      <c r="C176" s="1922"/>
      <c r="D176" s="1825"/>
      <c r="E176" s="1825"/>
      <c r="F176" s="1923"/>
      <c r="G176" s="1824"/>
      <c r="H176" s="763"/>
      <c r="I176" s="754"/>
      <c r="J176" s="754"/>
      <c r="K176" s="754"/>
      <c r="L176" s="754"/>
      <c r="M176" s="721"/>
    </row>
    <row r="177" spans="1:15" ht="22.15" customHeight="1">
      <c r="A177" s="1620"/>
      <c r="B177" s="1620"/>
      <c r="C177" s="1825"/>
      <c r="D177" s="1825"/>
      <c r="E177" s="1919"/>
      <c r="F177" s="1824"/>
      <c r="G177" s="1825"/>
      <c r="H177" s="754"/>
      <c r="I177" s="754"/>
      <c r="J177" s="754"/>
      <c r="K177" s="754"/>
      <c r="L177" s="754"/>
      <c r="M177" s="721"/>
    </row>
    <row r="178" spans="1:15" ht="22.15" customHeight="1">
      <c r="A178" s="763"/>
      <c r="B178" s="788"/>
      <c r="C178" s="1825"/>
      <c r="D178" s="1923"/>
      <c r="E178" s="1825"/>
      <c r="F178" s="1825"/>
      <c r="G178" s="1825"/>
      <c r="H178" s="754"/>
      <c r="I178" s="754"/>
      <c r="J178" s="754"/>
      <c r="K178" s="754"/>
      <c r="L178" s="754"/>
      <c r="M178" s="721"/>
    </row>
    <row r="179" spans="1:15" ht="22.15" customHeight="1">
      <c r="A179" s="763"/>
      <c r="B179" s="758"/>
      <c r="C179" s="1921"/>
      <c r="D179" s="1920"/>
      <c r="E179" s="1932"/>
      <c r="F179" s="1919"/>
      <c r="G179" s="1825"/>
      <c r="H179" s="754"/>
      <c r="I179" s="754"/>
      <c r="J179" s="754"/>
      <c r="K179" s="754"/>
      <c r="L179" s="754"/>
      <c r="M179" s="721"/>
    </row>
    <row r="180" spans="1:15" ht="22.15" customHeight="1">
      <c r="A180" s="763"/>
      <c r="B180" s="763"/>
      <c r="C180" s="1825"/>
      <c r="D180" s="1825"/>
      <c r="E180" s="1825"/>
      <c r="F180" s="1920"/>
      <c r="G180" s="1919"/>
      <c r="H180" s="754"/>
      <c r="I180" s="754"/>
      <c r="J180" s="754"/>
      <c r="K180" s="754"/>
      <c r="L180" s="754"/>
      <c r="M180" s="721"/>
    </row>
    <row r="181" spans="1:15" ht="22.15" customHeight="1">
      <c r="A181" s="763"/>
      <c r="B181" s="763"/>
      <c r="C181" s="1919"/>
      <c r="D181" s="1825"/>
      <c r="E181" s="1825"/>
      <c r="F181" s="1825"/>
      <c r="G181" s="1825"/>
      <c r="H181" s="754"/>
      <c r="I181" s="754"/>
      <c r="J181" s="754"/>
      <c r="K181" s="754"/>
      <c r="L181" s="754"/>
      <c r="M181" s="721"/>
    </row>
    <row r="182" spans="1:15" ht="22.15" customHeight="1">
      <c r="A182" s="776"/>
      <c r="B182" s="754"/>
      <c r="C182" s="1825"/>
      <c r="D182" s="1825"/>
      <c r="E182" s="1825"/>
      <c r="F182" s="1825"/>
      <c r="G182" s="1825"/>
      <c r="H182" s="754"/>
      <c r="I182" s="754"/>
      <c r="J182" s="754"/>
      <c r="K182" s="760"/>
      <c r="L182" s="763"/>
      <c r="M182" s="721"/>
    </row>
    <row r="183" spans="1:15" ht="22.15" customHeight="1">
      <c r="A183" s="763"/>
      <c r="B183" s="753"/>
      <c r="C183" s="1825"/>
      <c r="D183" s="1825"/>
      <c r="E183" s="1825"/>
      <c r="F183" s="1825"/>
      <c r="G183" s="1825"/>
      <c r="H183" s="754"/>
      <c r="I183" s="754"/>
      <c r="J183" s="754"/>
      <c r="K183" s="754"/>
      <c r="L183" s="754"/>
      <c r="M183" s="721"/>
    </row>
    <row r="184" spans="1:15" ht="22.15" customHeight="1">
      <c r="A184" s="763"/>
      <c r="B184" s="763"/>
      <c r="C184" s="1825"/>
      <c r="D184" s="1825"/>
      <c r="E184" s="1825"/>
      <c r="F184" s="1919"/>
      <c r="G184" s="1825"/>
      <c r="H184" s="754"/>
      <c r="I184" s="754"/>
      <c r="J184" s="754"/>
      <c r="K184" s="754"/>
      <c r="L184" s="754"/>
      <c r="M184" s="721"/>
      <c r="N184" s="266"/>
      <c r="O184" s="763"/>
    </row>
    <row r="185" spans="1:15" ht="22.15" customHeight="1">
      <c r="A185" s="763"/>
      <c r="B185" s="759"/>
      <c r="C185" s="1824"/>
      <c r="D185" s="1919"/>
      <c r="E185" s="1825"/>
      <c r="F185" s="1920"/>
      <c r="G185" s="1824"/>
      <c r="H185" s="763"/>
      <c r="I185" s="754"/>
      <c r="J185" s="792"/>
      <c r="K185" s="763"/>
      <c r="L185" s="754"/>
      <c r="M185" s="721"/>
      <c r="N185" s="266"/>
      <c r="O185" s="763"/>
    </row>
    <row r="186" spans="1:15" ht="22.15" customHeight="1">
      <c r="A186" s="763"/>
      <c r="B186" s="759"/>
      <c r="C186" s="1824"/>
      <c r="D186" s="1919"/>
      <c r="E186" s="1825"/>
      <c r="F186" s="1920"/>
      <c r="G186" s="1826"/>
      <c r="H186" s="763"/>
      <c r="I186" s="754"/>
      <c r="J186" s="754"/>
      <c r="K186" s="754"/>
      <c r="L186" s="754"/>
      <c r="M186" s="721"/>
    </row>
    <row r="187" spans="1:15" ht="22.15" customHeight="1">
      <c r="A187" s="763"/>
      <c r="B187" s="763"/>
      <c r="C187" s="1825"/>
      <c r="D187" s="1919"/>
      <c r="E187" s="1825"/>
      <c r="F187" s="1920"/>
      <c r="G187" s="1824"/>
      <c r="H187" s="763"/>
      <c r="I187" s="754"/>
      <c r="J187" s="754"/>
      <c r="K187" s="802"/>
      <c r="L187" s="1650"/>
      <c r="M187" s="721"/>
    </row>
    <row r="188" spans="1:15" ht="22.15" customHeight="1">
      <c r="A188" s="763"/>
      <c r="B188" s="759"/>
      <c r="C188" s="1824"/>
      <c r="D188" s="1919"/>
      <c r="E188" s="1825"/>
      <c r="F188" s="1920"/>
      <c r="G188" s="1933"/>
      <c r="H188" s="763"/>
      <c r="I188" s="754"/>
      <c r="J188" s="754"/>
      <c r="K188" s="802"/>
      <c r="L188" s="1650"/>
      <c r="M188" s="721"/>
    </row>
    <row r="189" spans="1:15" ht="22.15" customHeight="1">
      <c r="A189" s="763"/>
      <c r="B189" s="759"/>
      <c r="C189" s="757"/>
      <c r="D189" s="763"/>
      <c r="E189" s="754"/>
      <c r="F189" s="759"/>
      <c r="G189" s="754"/>
      <c r="H189" s="763"/>
      <c r="I189" s="754"/>
      <c r="J189" s="754"/>
      <c r="K189" s="802"/>
      <c r="L189" s="754"/>
      <c r="M189" s="721"/>
    </row>
    <row r="190" spans="1:15" ht="22.15" customHeight="1">
      <c r="A190" s="763"/>
      <c r="B190" s="759"/>
      <c r="C190" s="757"/>
      <c r="D190" s="763"/>
      <c r="E190" s="754"/>
      <c r="F190" s="754"/>
      <c r="G190" s="754"/>
      <c r="H190" s="754"/>
      <c r="I190" s="754"/>
      <c r="J190" s="754"/>
      <c r="K190" s="802"/>
      <c r="L190" s="754"/>
      <c r="M190" s="721"/>
    </row>
    <row r="191" spans="1:15" ht="22.15" customHeight="1">
      <c r="A191" s="763"/>
      <c r="B191" s="763"/>
      <c r="C191" s="754"/>
      <c r="D191" s="763"/>
      <c r="E191" s="763"/>
      <c r="F191" s="754"/>
      <c r="G191" s="763"/>
      <c r="H191" s="763"/>
      <c r="I191" s="754"/>
      <c r="J191" s="763"/>
      <c r="K191" s="758"/>
      <c r="L191" s="754"/>
      <c r="M191" s="721"/>
    </row>
    <row r="192" spans="1:15" ht="22.15" customHeight="1">
      <c r="A192" s="763"/>
      <c r="B192" s="759"/>
      <c r="C192" s="754"/>
      <c r="D192" s="763"/>
      <c r="E192" s="759"/>
      <c r="F192" s="757"/>
      <c r="G192" s="763"/>
      <c r="H192" s="759"/>
      <c r="I192" s="760"/>
      <c r="J192" s="763"/>
      <c r="K192" s="759"/>
      <c r="L192" s="757"/>
      <c r="M192" s="721"/>
    </row>
    <row r="193" spans="1:18" ht="22.15" customHeight="1">
      <c r="A193" s="763"/>
      <c r="B193" s="763"/>
      <c r="C193" s="760"/>
      <c r="D193" s="763"/>
      <c r="E193" s="759"/>
      <c r="F193" s="782"/>
      <c r="G193" s="754"/>
      <c r="H193" s="754"/>
      <c r="I193" s="754"/>
      <c r="J193" s="754"/>
      <c r="K193" s="754"/>
      <c r="L193" s="754"/>
      <c r="M193" s="721"/>
    </row>
    <row r="194" spans="1:18" ht="22.15" hidden="1" customHeight="1" outlineLevel="1">
      <c r="A194" s="763"/>
      <c r="B194" s="758"/>
      <c r="C194" s="754"/>
      <c r="D194" s="804"/>
      <c r="E194" s="754"/>
      <c r="F194" s="754"/>
      <c r="G194" s="754"/>
      <c r="H194" s="754"/>
      <c r="I194" s="754"/>
      <c r="J194" s="754"/>
      <c r="K194" s="754"/>
      <c r="L194" s="754"/>
      <c r="M194" s="721"/>
    </row>
    <row r="195" spans="1:18" ht="22.15" hidden="1" customHeight="1" outlineLevel="1">
      <c r="A195" s="763"/>
      <c r="B195" s="758"/>
      <c r="C195" s="754"/>
      <c r="D195" s="782"/>
      <c r="E195" s="763"/>
      <c r="F195" s="1569"/>
      <c r="G195" s="1569"/>
      <c r="I195" s="759"/>
      <c r="J195" s="754"/>
      <c r="K195" s="754"/>
      <c r="L195" s="754"/>
      <c r="M195" s="721"/>
    </row>
    <row r="196" spans="1:18" ht="22.15" hidden="1" customHeight="1" outlineLevel="1">
      <c r="A196" s="763"/>
      <c r="B196" s="754"/>
      <c r="C196" s="754"/>
      <c r="D196" s="782"/>
      <c r="E196" s="763"/>
      <c r="F196" s="754"/>
      <c r="G196" s="754"/>
      <c r="I196" s="1256"/>
      <c r="J196" s="1257"/>
      <c r="L196" s="1258"/>
      <c r="M196" s="721"/>
    </row>
    <row r="197" spans="1:18" ht="22.15" hidden="1" customHeight="1" outlineLevel="1">
      <c r="A197" s="763"/>
      <c r="B197" s="754"/>
      <c r="C197" s="754"/>
      <c r="D197" s="754"/>
      <c r="E197" s="763"/>
      <c r="F197" s="754"/>
      <c r="G197" s="754"/>
      <c r="H197" s="754"/>
      <c r="I197" s="759"/>
      <c r="J197" s="797"/>
      <c r="K197" s="754"/>
      <c r="L197" s="754"/>
      <c r="M197" s="721"/>
    </row>
    <row r="198" spans="1:18" ht="22.15" hidden="1" customHeight="1" outlineLevel="1">
      <c r="A198" s="763"/>
      <c r="B198" s="754"/>
      <c r="C198" s="754"/>
      <c r="D198" s="754"/>
      <c r="E198" s="763"/>
      <c r="F198" s="754"/>
      <c r="G198" s="754"/>
      <c r="H198" s="763"/>
      <c r="J198" s="754"/>
      <c r="K198" s="763"/>
      <c r="L198" s="754"/>
      <c r="M198" s="721"/>
    </row>
    <row r="199" spans="1:18" ht="22.15" hidden="1" customHeight="1" outlineLevel="1">
      <c r="A199" s="763"/>
      <c r="B199" s="754"/>
      <c r="C199" s="754"/>
      <c r="D199" s="754"/>
      <c r="E199" s="763"/>
      <c r="F199" s="754"/>
      <c r="G199" s="754"/>
      <c r="H199" s="763"/>
      <c r="J199" s="754"/>
      <c r="K199" s="763"/>
      <c r="L199" s="754"/>
      <c r="M199" s="721"/>
    </row>
    <row r="200" spans="1:18" ht="22.15" hidden="1" customHeight="1" outlineLevel="1">
      <c r="A200" s="758"/>
      <c r="B200" s="758"/>
      <c r="C200" s="758"/>
      <c r="D200" s="754"/>
      <c r="E200" s="759"/>
      <c r="F200" s="757"/>
      <c r="G200" s="763"/>
      <c r="H200" s="763"/>
      <c r="I200" s="754"/>
      <c r="J200" s="779"/>
      <c r="K200" s="781"/>
      <c r="L200" s="805"/>
      <c r="M200" s="721"/>
    </row>
    <row r="201" spans="1:18" ht="22.15" hidden="1" customHeight="1" outlineLevel="1">
      <c r="A201" s="763"/>
      <c r="B201" s="754"/>
      <c r="C201" s="754"/>
      <c r="D201" s="754"/>
      <c r="E201" s="754"/>
      <c r="F201" s="754"/>
      <c r="G201" s="754"/>
      <c r="H201" s="754"/>
      <c r="I201" s="754"/>
      <c r="J201" s="754"/>
      <c r="K201" s="754"/>
      <c r="L201" s="754"/>
      <c r="M201" s="721"/>
    </row>
    <row r="202" spans="1:18" ht="22.15" customHeight="1" collapsed="1">
      <c r="A202" s="763"/>
      <c r="B202" s="758"/>
      <c r="C202" s="758"/>
      <c r="D202" s="759"/>
      <c r="E202" s="760"/>
      <c r="F202" s="763"/>
      <c r="G202" s="763"/>
      <c r="H202" s="754"/>
      <c r="I202" s="754"/>
      <c r="J202" s="754"/>
      <c r="K202" s="754"/>
      <c r="L202" s="754"/>
      <c r="M202" s="721"/>
    </row>
    <row r="203" spans="1:18" ht="22.15" customHeight="1">
      <c r="A203" s="763"/>
      <c r="B203" s="754"/>
      <c r="C203" s="754"/>
      <c r="D203" s="759"/>
      <c r="E203" s="760"/>
      <c r="F203" s="763"/>
      <c r="G203" s="763"/>
      <c r="H203" s="754"/>
      <c r="I203" s="754"/>
      <c r="J203" s="754"/>
      <c r="K203" s="754"/>
      <c r="L203" s="754"/>
      <c r="M203" s="721"/>
    </row>
    <row r="204" spans="1:18" ht="22.15" customHeight="1">
      <c r="A204" s="763"/>
      <c r="B204" s="758"/>
      <c r="C204" s="758"/>
      <c r="D204" s="759"/>
      <c r="E204" s="782"/>
      <c r="F204" s="763"/>
      <c r="G204" s="754"/>
      <c r="H204" s="760"/>
      <c r="I204" s="754"/>
      <c r="J204" s="754"/>
      <c r="K204" s="754"/>
      <c r="L204" s="754"/>
      <c r="M204" s="721"/>
    </row>
    <row r="205" spans="1:18" ht="22.15" customHeight="1">
      <c r="A205" s="763"/>
      <c r="B205" s="754"/>
      <c r="C205" s="754"/>
      <c r="D205" s="754"/>
      <c r="E205" s="760"/>
      <c r="F205" s="763"/>
      <c r="G205" s="781"/>
      <c r="H205" s="754"/>
      <c r="I205" s="754"/>
      <c r="J205" s="754"/>
      <c r="K205" s="754"/>
      <c r="L205" s="754"/>
      <c r="M205" s="721"/>
    </row>
    <row r="206" spans="1:18" ht="22.15" customHeight="1">
      <c r="A206" s="763"/>
      <c r="B206" s="754"/>
      <c r="C206" s="781"/>
      <c r="D206" s="763"/>
      <c r="E206" s="760"/>
      <c r="F206" s="754"/>
      <c r="G206" s="806"/>
      <c r="H206" s="760"/>
      <c r="I206" s="754"/>
      <c r="J206" s="754"/>
      <c r="K206" s="754"/>
      <c r="L206" s="754"/>
      <c r="M206" s="721"/>
    </row>
    <row r="207" spans="1:18" ht="22.15" customHeight="1">
      <c r="A207" s="754"/>
      <c r="B207" s="770"/>
      <c r="C207" s="781"/>
      <c r="D207" s="754"/>
      <c r="E207" s="760"/>
      <c r="F207" s="754"/>
      <c r="G207" s="754"/>
      <c r="H207" s="760"/>
      <c r="I207" s="754"/>
      <c r="J207" s="754"/>
      <c r="K207" s="451"/>
      <c r="L207" s="781"/>
      <c r="M207" s="721"/>
      <c r="N207" s="266"/>
      <c r="Q207" s="266"/>
      <c r="R207" s="266"/>
    </row>
    <row r="208" spans="1:18" ht="22.15" customHeight="1">
      <c r="A208" s="763"/>
      <c r="B208" s="754"/>
      <c r="C208" s="754"/>
      <c r="D208" s="763"/>
      <c r="E208" s="760"/>
      <c r="F208" s="754"/>
      <c r="G208" s="754"/>
      <c r="H208" s="760"/>
      <c r="I208" s="754"/>
      <c r="J208" s="754"/>
      <c r="K208" s="754"/>
      <c r="L208" s="754"/>
      <c r="M208" s="721"/>
      <c r="N208" s="266"/>
      <c r="Q208" s="266"/>
      <c r="R208" s="266"/>
    </row>
    <row r="209" spans="1:18" ht="22.15" customHeight="1">
      <c r="A209" s="763"/>
      <c r="B209" s="754"/>
      <c r="C209" s="754"/>
      <c r="D209" s="754"/>
      <c r="E209" s="760"/>
      <c r="F209" s="754"/>
      <c r="G209" s="754"/>
      <c r="H209" s="760"/>
      <c r="I209" s="754"/>
      <c r="K209" s="823"/>
      <c r="L209" s="754"/>
      <c r="M209" s="721"/>
      <c r="N209" s="266"/>
      <c r="Q209" s="266"/>
      <c r="R209" s="266"/>
    </row>
    <row r="210" spans="1:18" ht="19.899999999999999" hidden="1" customHeight="1">
      <c r="A210" s="763"/>
      <c r="B210" s="807"/>
      <c r="C210" s="808"/>
      <c r="D210" s="809"/>
      <c r="E210" s="810"/>
      <c r="F210" s="807"/>
      <c r="G210" s="811"/>
      <c r="H210" s="809"/>
      <c r="I210" s="754"/>
      <c r="J210" s="754"/>
      <c r="K210" s="754"/>
      <c r="L210" s="781"/>
      <c r="M210" s="473"/>
      <c r="N210" s="474"/>
      <c r="P210" s="266"/>
      <c r="Q210" s="473"/>
      <c r="R210" s="473"/>
    </row>
    <row r="211" spans="1:18" ht="19.899999999999999" hidden="1" customHeight="1">
      <c r="A211" s="763"/>
      <c r="B211" s="812"/>
      <c r="C211" s="813"/>
      <c r="D211" s="814"/>
      <c r="E211" s="815"/>
      <c r="F211" s="814"/>
      <c r="G211" s="814"/>
      <c r="H211" s="815"/>
      <c r="I211" s="754"/>
      <c r="J211" s="754"/>
      <c r="K211" s="451"/>
      <c r="L211" s="781"/>
      <c r="N211" s="266"/>
      <c r="Q211" s="266"/>
      <c r="R211" s="266"/>
    </row>
    <row r="212" spans="1:18" ht="19.899999999999999" hidden="1" customHeight="1">
      <c r="A212" s="763"/>
      <c r="B212" s="814"/>
      <c r="C212" s="814"/>
      <c r="D212" s="814"/>
      <c r="E212" s="815"/>
      <c r="F212" s="814"/>
      <c r="G212" s="814"/>
      <c r="H212" s="815"/>
      <c r="I212" s="754"/>
      <c r="J212" s="754"/>
      <c r="K212" s="754"/>
      <c r="L212" s="754"/>
      <c r="N212" s="266"/>
      <c r="Q212" s="266"/>
      <c r="R212" s="266"/>
    </row>
    <row r="213" spans="1:18" ht="19.899999999999999" hidden="1" customHeight="1">
      <c r="A213" s="763"/>
      <c r="B213" s="814"/>
      <c r="C213" s="814"/>
      <c r="D213" s="754"/>
      <c r="E213" s="815"/>
      <c r="F213" s="814"/>
      <c r="G213" s="814"/>
      <c r="H213" s="815"/>
      <c r="I213" s="754"/>
      <c r="J213" s="754"/>
      <c r="K213" s="754"/>
      <c r="L213" s="754"/>
      <c r="N213" s="266"/>
      <c r="Q213" s="266"/>
      <c r="R213" s="266"/>
    </row>
    <row r="214" spans="1:18" ht="19.899999999999999" hidden="1" customHeight="1">
      <c r="A214" s="763"/>
      <c r="B214" s="814"/>
      <c r="C214" s="814"/>
      <c r="D214" s="814"/>
      <c r="E214" s="815"/>
      <c r="F214" s="814"/>
      <c r="G214" s="814"/>
      <c r="H214" s="815"/>
      <c r="I214" s="754"/>
      <c r="J214" s="754"/>
      <c r="K214" s="754"/>
      <c r="L214" s="754"/>
      <c r="N214" s="266"/>
      <c r="Q214" s="266"/>
      <c r="R214" s="266"/>
    </row>
    <row r="215" spans="1:18" ht="19.899999999999999" hidden="1" customHeight="1">
      <c r="A215" s="763"/>
      <c r="B215" s="814"/>
      <c r="C215" s="814"/>
      <c r="D215" s="816"/>
      <c r="E215" s="815"/>
      <c r="F215" s="814"/>
      <c r="G215" s="814"/>
      <c r="H215" s="815"/>
      <c r="I215" s="754"/>
      <c r="J215" s="754"/>
      <c r="K215" s="754"/>
      <c r="L215" s="754"/>
      <c r="M215" s="410"/>
      <c r="N215" s="266"/>
      <c r="Q215" s="266"/>
      <c r="R215" s="266"/>
    </row>
    <row r="216" spans="1:18" ht="19.899999999999999" hidden="1" customHeight="1">
      <c r="A216" s="763"/>
      <c r="B216" s="814"/>
      <c r="C216" s="814"/>
      <c r="D216" s="816"/>
      <c r="E216" s="815"/>
      <c r="F216" s="814"/>
      <c r="G216" s="815"/>
      <c r="H216" s="817"/>
      <c r="I216" s="754"/>
      <c r="J216" s="754"/>
      <c r="K216" s="754"/>
      <c r="L216" s="754"/>
      <c r="M216" s="410"/>
      <c r="N216" s="266"/>
      <c r="P216" s="266"/>
      <c r="Q216" s="473"/>
      <c r="R216" s="473"/>
    </row>
    <row r="217" spans="1:18" ht="19.899999999999999" hidden="1" customHeight="1">
      <c r="A217" s="763"/>
      <c r="B217" s="814"/>
      <c r="C217" s="814"/>
      <c r="D217" s="813"/>
      <c r="E217" s="813"/>
      <c r="F217" s="814"/>
      <c r="G217" s="815"/>
      <c r="H217" s="817"/>
      <c r="I217" s="754"/>
      <c r="J217" s="754"/>
      <c r="K217" s="754"/>
      <c r="L217" s="754"/>
      <c r="M217" s="472"/>
      <c r="N217" s="472"/>
      <c r="P217" s="266"/>
      <c r="Q217" s="473"/>
      <c r="R217" s="473"/>
    </row>
    <row r="218" spans="1:18" ht="19.899999999999999" hidden="1" customHeight="1">
      <c r="A218" s="763"/>
      <c r="B218" s="814"/>
      <c r="C218" s="814"/>
      <c r="D218" s="818"/>
      <c r="E218" s="815"/>
      <c r="F218" s="814"/>
      <c r="G218" s="815"/>
      <c r="H218" s="817"/>
      <c r="I218" s="754"/>
      <c r="J218" s="754"/>
      <c r="K218" s="754"/>
      <c r="L218" s="754"/>
      <c r="M218" s="475"/>
      <c r="N218" s="266"/>
      <c r="P218" s="266"/>
      <c r="Q218" s="473"/>
      <c r="R218" s="473"/>
    </row>
    <row r="219" spans="1:18" ht="19.899999999999999" hidden="1" customHeight="1">
      <c r="A219" s="763"/>
      <c r="B219" s="814"/>
      <c r="C219" s="1617"/>
      <c r="D219" s="1618"/>
      <c r="E219" s="1618"/>
      <c r="F219" s="814"/>
      <c r="G219" s="815"/>
      <c r="H219" s="817"/>
      <c r="I219" s="754"/>
      <c r="J219" s="754"/>
      <c r="K219" s="754"/>
      <c r="L219" s="1570"/>
      <c r="M219" s="1553"/>
      <c r="N219" s="1553"/>
      <c r="P219" s="266"/>
      <c r="Q219" s="473"/>
      <c r="R219" s="473"/>
    </row>
    <row r="220" spans="1:18" ht="19.899999999999999" hidden="1" customHeight="1">
      <c r="A220" s="763"/>
      <c r="B220" s="814"/>
      <c r="C220" s="1617"/>
      <c r="D220" s="1649"/>
      <c r="E220" s="1649"/>
      <c r="F220" s="814"/>
      <c r="G220" s="815"/>
      <c r="H220" s="817"/>
      <c r="I220" s="754"/>
      <c r="J220" s="754"/>
      <c r="K220" s="754"/>
      <c r="L220" s="1570"/>
      <c r="M220" s="1553"/>
      <c r="N220" s="1553"/>
      <c r="P220" s="266"/>
      <c r="Q220" s="473"/>
      <c r="R220" s="473"/>
    </row>
    <row r="221" spans="1:18" ht="19.899999999999999" hidden="1" customHeight="1">
      <c r="A221" s="763"/>
      <c r="B221" s="814"/>
      <c r="C221" s="814"/>
      <c r="D221" s="819"/>
      <c r="E221" s="814"/>
      <c r="F221" s="815"/>
      <c r="G221" s="815"/>
      <c r="H221" s="815"/>
      <c r="I221" s="754"/>
      <c r="J221" s="754"/>
      <c r="K221" s="754"/>
      <c r="L221" s="754"/>
      <c r="M221" s="410"/>
      <c r="O221" s="266"/>
      <c r="P221" s="266"/>
      <c r="Q221" s="266"/>
      <c r="R221" s="266"/>
    </row>
    <row r="222" spans="1:18" ht="19.899999999999999" hidden="1" customHeight="1">
      <c r="A222" s="763"/>
      <c r="B222" s="814"/>
      <c r="C222" s="813"/>
      <c r="D222" s="817"/>
      <c r="E222" s="820"/>
      <c r="F222" s="814"/>
      <c r="G222" s="815"/>
      <c r="H222" s="817"/>
      <c r="I222" s="754"/>
      <c r="J222" s="754"/>
      <c r="K222" s="754"/>
      <c r="L222" s="781"/>
      <c r="M222" s="473"/>
      <c r="N222" s="474"/>
      <c r="P222" s="266"/>
      <c r="Q222" s="473"/>
      <c r="R222" s="473"/>
    </row>
    <row r="223" spans="1:18" ht="19.899999999999999" hidden="1" customHeight="1">
      <c r="A223" s="763"/>
      <c r="B223" s="814"/>
      <c r="C223" s="813"/>
      <c r="D223" s="817"/>
      <c r="E223" s="820"/>
      <c r="F223" s="814"/>
      <c r="G223" s="815"/>
      <c r="H223" s="817"/>
      <c r="I223" s="754"/>
      <c r="J223" s="754"/>
      <c r="K223" s="754"/>
      <c r="L223" s="781"/>
      <c r="M223" s="473"/>
      <c r="N223" s="474"/>
      <c r="P223" s="266"/>
      <c r="Q223" s="473"/>
      <c r="R223" s="473"/>
    </row>
    <row r="224" spans="1:18" ht="19.899999999999999" hidden="1" customHeight="1">
      <c r="A224" s="763"/>
      <c r="B224" s="814"/>
      <c r="C224" s="813"/>
      <c r="D224" s="817"/>
      <c r="E224" s="820"/>
      <c r="F224" s="814"/>
      <c r="G224" s="815"/>
      <c r="H224" s="817"/>
      <c r="I224" s="754"/>
      <c r="J224" s="754"/>
      <c r="K224" s="754"/>
      <c r="L224" s="781"/>
      <c r="M224" s="473"/>
      <c r="N224" s="474"/>
      <c r="P224" s="266"/>
      <c r="Q224" s="473"/>
      <c r="R224" s="473"/>
    </row>
    <row r="225" spans="1:18" ht="19.899999999999999" hidden="1" customHeight="1">
      <c r="A225" s="763"/>
      <c r="B225" s="814"/>
      <c r="C225" s="813"/>
      <c r="D225" s="817"/>
      <c r="E225" s="820"/>
      <c r="F225" s="814"/>
      <c r="G225" s="815"/>
      <c r="H225" s="817"/>
      <c r="I225" s="754"/>
      <c r="J225" s="754"/>
      <c r="K225" s="754"/>
      <c r="L225" s="781"/>
      <c r="M225" s="473"/>
      <c r="N225" s="474"/>
      <c r="P225" s="266"/>
      <c r="Q225" s="473"/>
      <c r="R225" s="473"/>
    </row>
    <row r="226" spans="1:18" ht="19.899999999999999" hidden="1" customHeight="1">
      <c r="A226" s="763"/>
      <c r="B226" s="814"/>
      <c r="C226" s="813"/>
      <c r="D226" s="817"/>
      <c r="E226" s="820"/>
      <c r="F226" s="814"/>
      <c r="G226" s="815"/>
      <c r="H226" s="817"/>
      <c r="I226" s="754"/>
      <c r="J226" s="754"/>
      <c r="K226" s="754"/>
      <c r="L226" s="781"/>
      <c r="M226" s="473"/>
      <c r="N226" s="474"/>
      <c r="P226" s="266"/>
      <c r="Q226" s="473"/>
      <c r="R226" s="473"/>
    </row>
    <row r="227" spans="1:18" ht="22.15" customHeight="1">
      <c r="A227" s="763"/>
      <c r="B227" s="753"/>
      <c r="C227" s="754"/>
      <c r="D227" s="754"/>
      <c r="E227" s="754"/>
      <c r="F227" s="754"/>
      <c r="G227" s="754"/>
      <c r="H227" s="754"/>
      <c r="I227" s="754"/>
      <c r="J227" s="754"/>
      <c r="K227" s="754"/>
      <c r="L227" s="754"/>
    </row>
    <row r="228" spans="1:18" ht="22.15" customHeight="1">
      <c r="A228" s="763"/>
      <c r="B228" s="822"/>
      <c r="C228" s="754"/>
      <c r="D228" s="754"/>
      <c r="E228" s="754"/>
      <c r="F228" s="754"/>
      <c r="G228" s="754"/>
      <c r="H228" s="754"/>
      <c r="I228" s="754"/>
      <c r="K228" s="771"/>
    </row>
    <row r="229" spans="1:18" ht="22.15" customHeight="1">
      <c r="A229" s="763"/>
      <c r="B229" s="754"/>
      <c r="C229" s="760"/>
      <c r="D229" s="754"/>
      <c r="E229" s="754"/>
      <c r="F229" s="754"/>
      <c r="G229" s="754"/>
      <c r="H229" s="754"/>
      <c r="K229" s="754"/>
      <c r="L229" s="754"/>
    </row>
    <row r="230" spans="1:18" ht="22.15" customHeight="1">
      <c r="A230" s="763"/>
      <c r="B230" s="754"/>
      <c r="C230" s="760"/>
      <c r="D230" s="754"/>
      <c r="E230" s="754"/>
      <c r="F230" s="754"/>
      <c r="G230" s="754"/>
      <c r="H230" s="754"/>
      <c r="I230" s="754"/>
      <c r="J230" s="763"/>
      <c r="K230" s="802"/>
      <c r="L230" s="754"/>
    </row>
    <row r="231" spans="1:18" ht="22.15" customHeight="1">
      <c r="A231" s="763"/>
      <c r="B231" s="763"/>
      <c r="C231" s="754"/>
      <c r="D231" s="754"/>
      <c r="E231" s="754"/>
      <c r="F231" s="754"/>
      <c r="G231" s="754"/>
      <c r="H231" s="754"/>
      <c r="I231" s="754"/>
      <c r="K231" s="802"/>
      <c r="L231" s="754"/>
    </row>
    <row r="232" spans="1:18" ht="22.15" customHeight="1">
      <c r="A232" s="763"/>
      <c r="B232" s="754"/>
      <c r="C232" s="791"/>
      <c r="D232" s="754"/>
      <c r="E232" s="754"/>
      <c r="F232" s="754"/>
      <c r="G232" s="754"/>
      <c r="K232" s="802"/>
      <c r="L232" s="754"/>
    </row>
    <row r="233" spans="1:18" ht="22.15" customHeight="1">
      <c r="A233" s="763"/>
      <c r="B233" s="763"/>
      <c r="C233" s="754"/>
      <c r="D233" s="757"/>
      <c r="E233" s="754"/>
      <c r="F233" s="754"/>
      <c r="G233" s="754"/>
      <c r="H233" s="754"/>
      <c r="I233" s="754"/>
      <c r="K233" s="802"/>
      <c r="L233" s="754"/>
    </row>
    <row r="234" spans="1:18" ht="22.15" customHeight="1">
      <c r="A234" s="763"/>
      <c r="B234" s="754"/>
      <c r="C234" s="754"/>
      <c r="D234" s="754"/>
      <c r="E234" s="754"/>
      <c r="F234" s="754"/>
      <c r="G234" s="754"/>
      <c r="H234" s="754"/>
      <c r="I234" s="754"/>
      <c r="K234" s="802"/>
      <c r="L234" s="754"/>
    </row>
    <row r="235" spans="1:18" ht="22.15" customHeight="1">
      <c r="A235" s="763"/>
      <c r="B235" s="754"/>
      <c r="C235" s="781"/>
      <c r="D235" s="763"/>
      <c r="E235" s="754"/>
      <c r="F235" s="754"/>
      <c r="G235" s="754"/>
      <c r="H235" s="754"/>
      <c r="J235" s="758"/>
      <c r="K235" s="758"/>
      <c r="L235" s="754"/>
    </row>
    <row r="236" spans="1:18" ht="19.899999999999999" hidden="1" customHeight="1">
      <c r="A236" s="763"/>
      <c r="B236" s="754"/>
      <c r="C236" s="754"/>
      <c r="D236" s="754"/>
      <c r="E236" s="754"/>
      <c r="F236" s="754"/>
      <c r="G236" s="754"/>
      <c r="H236" s="754"/>
      <c r="I236" s="754"/>
      <c r="J236" s="754"/>
      <c r="K236" s="754"/>
      <c r="L236" s="754"/>
    </row>
    <row r="237" spans="1:18" ht="22.15" customHeight="1">
      <c r="A237" s="763"/>
      <c r="B237" s="770"/>
      <c r="C237" s="754"/>
      <c r="D237" s="754"/>
      <c r="E237" s="754"/>
      <c r="F237" s="754"/>
      <c r="G237" s="770"/>
      <c r="H237" s="754"/>
      <c r="I237" s="754"/>
      <c r="J237" s="754"/>
      <c r="K237" s="754"/>
      <c r="L237" s="754"/>
    </row>
    <row r="238" spans="1:18" ht="22.15" customHeight="1">
      <c r="A238" s="763"/>
      <c r="B238" s="759"/>
      <c r="C238" s="757"/>
      <c r="D238" s="763"/>
      <c r="E238" s="763"/>
      <c r="F238" s="754"/>
      <c r="G238" s="759"/>
      <c r="H238" s="757"/>
      <c r="I238" s="763"/>
      <c r="J238" s="758"/>
      <c r="K238" s="758"/>
      <c r="L238" s="754"/>
    </row>
    <row r="239" spans="1:18" ht="22.15" customHeight="1">
      <c r="A239" s="1924"/>
      <c r="B239" s="1925"/>
      <c r="C239" s="1833"/>
      <c r="D239" s="1924"/>
      <c r="E239" s="1924"/>
      <c r="F239" s="1926"/>
      <c r="G239" s="1925"/>
      <c r="H239" s="1833"/>
      <c r="I239" s="1924"/>
      <c r="J239" s="1569"/>
      <c r="K239" s="1569"/>
      <c r="L239" s="754"/>
    </row>
    <row r="240" spans="1:18" ht="22.15" customHeight="1">
      <c r="A240" s="1924"/>
      <c r="B240" s="1927"/>
      <c r="C240" s="1926"/>
      <c r="D240" s="1927"/>
      <c r="E240" s="1928"/>
      <c r="F240" s="1927"/>
      <c r="G240" s="1927"/>
      <c r="H240" s="1926"/>
      <c r="I240" s="1927"/>
      <c r="J240" s="1571"/>
      <c r="K240" s="1569"/>
      <c r="L240" s="754"/>
    </row>
    <row r="241" spans="1:22" ht="22.15" customHeight="1">
      <c r="A241" s="1924"/>
      <c r="B241" s="1927"/>
      <c r="C241" s="1926"/>
      <c r="D241" s="1927"/>
      <c r="E241" s="1928"/>
      <c r="F241" s="1927"/>
      <c r="G241" s="1927"/>
      <c r="H241" s="1926"/>
      <c r="I241" s="1927"/>
      <c r="J241" s="1571"/>
      <c r="K241" s="1569"/>
      <c r="L241" s="754"/>
    </row>
    <row r="242" spans="1:22" ht="22.15" customHeight="1">
      <c r="A242" s="1924"/>
      <c r="B242" s="1927"/>
      <c r="C242" s="1926"/>
      <c r="D242" s="1927"/>
      <c r="E242" s="1928"/>
      <c r="F242" s="1927"/>
      <c r="G242" s="1929"/>
      <c r="H242" s="1929"/>
      <c r="I242" s="1929"/>
      <c r="J242" s="798"/>
      <c r="K242" s="754"/>
      <c r="L242" s="754"/>
    </row>
    <row r="243" spans="1:22" ht="22.15" customHeight="1">
      <c r="A243" s="1924"/>
      <c r="B243" s="1927"/>
      <c r="C243" s="1926"/>
      <c r="D243" s="1927"/>
      <c r="E243" s="1928"/>
      <c r="F243" s="1927"/>
      <c r="G243" s="1929"/>
      <c r="H243" s="1929"/>
      <c r="I243" s="1929"/>
      <c r="J243" s="798"/>
      <c r="K243" s="754"/>
      <c r="L243" s="754"/>
      <c r="M243" s="721"/>
    </row>
    <row r="244" spans="1:22" ht="22.15" customHeight="1">
      <c r="A244" s="1927"/>
      <c r="B244" s="1927"/>
      <c r="C244" s="1930"/>
      <c r="D244" s="1926"/>
      <c r="E244" s="1926"/>
      <c r="F244" s="1931"/>
      <c r="G244" s="1833"/>
      <c r="H244" s="1924"/>
      <c r="I244" s="1926"/>
      <c r="J244" s="754"/>
      <c r="K244" s="754"/>
      <c r="L244" s="754"/>
      <c r="M244" s="721"/>
    </row>
    <row r="245" spans="1:22" ht="22.15" customHeight="1">
      <c r="A245" s="1620"/>
      <c r="B245" s="1620"/>
      <c r="C245" s="754"/>
      <c r="D245" s="754"/>
      <c r="E245" s="763"/>
      <c r="F245" s="757"/>
      <c r="G245" s="754"/>
      <c r="H245" s="754"/>
      <c r="I245" s="754"/>
      <c r="J245" s="754"/>
      <c r="K245" s="754"/>
      <c r="L245" s="754"/>
      <c r="M245" s="721"/>
    </row>
    <row r="246" spans="1:22" ht="22.15" customHeight="1">
      <c r="A246" s="776"/>
      <c r="B246" s="754"/>
      <c r="C246" s="754"/>
      <c r="D246" s="754"/>
      <c r="E246" s="754"/>
      <c r="F246" s="758"/>
      <c r="G246" s="754"/>
      <c r="H246" s="754"/>
      <c r="I246" s="754"/>
      <c r="J246" s="754"/>
      <c r="K246" s="754"/>
      <c r="L246" s="754"/>
      <c r="M246" s="721"/>
    </row>
    <row r="247" spans="1:22" ht="22.15" customHeight="1">
      <c r="A247" s="763"/>
      <c r="B247" s="758"/>
      <c r="C247" s="760"/>
      <c r="D247" s="754"/>
      <c r="E247" s="754"/>
      <c r="F247" s="754"/>
      <c r="G247" s="754"/>
      <c r="H247" s="754"/>
      <c r="I247" s="754"/>
      <c r="J247" s="754"/>
      <c r="K247" s="754"/>
      <c r="L247" s="754"/>
      <c r="M247" s="721"/>
    </row>
    <row r="248" spans="1:22" ht="22.15" customHeight="1">
      <c r="A248" s="763"/>
      <c r="B248" s="763"/>
      <c r="C248" s="754"/>
      <c r="D248" s="754"/>
      <c r="E248" s="754"/>
      <c r="G248" s="760"/>
      <c r="H248" s="754"/>
      <c r="K248" s="754"/>
      <c r="L248" s="754"/>
      <c r="M248" s="721"/>
    </row>
    <row r="249" spans="1:22" ht="19.899999999999999" customHeight="1">
      <c r="A249" s="763"/>
      <c r="B249" s="763"/>
      <c r="C249" s="763"/>
      <c r="D249" s="754"/>
      <c r="E249" s="754"/>
      <c r="F249" s="754"/>
      <c r="G249" s="754"/>
      <c r="H249" s="754"/>
      <c r="I249" s="754"/>
      <c r="J249" s="754"/>
      <c r="K249" s="754"/>
      <c r="L249" s="754"/>
      <c r="M249" s="721"/>
    </row>
    <row r="250" spans="1:22" ht="19.899999999999999" hidden="1" customHeight="1">
      <c r="A250" s="749"/>
      <c r="B250" s="751"/>
      <c r="C250" s="750"/>
      <c r="D250" s="750"/>
      <c r="E250" s="750"/>
      <c r="F250" s="750"/>
      <c r="G250" s="750"/>
      <c r="H250" s="750"/>
      <c r="I250" s="750"/>
      <c r="J250" s="750"/>
      <c r="K250" s="750"/>
      <c r="L250" s="750"/>
      <c r="M250" s="721"/>
    </row>
    <row r="251" spans="1:22" ht="19.899999999999999" hidden="1" customHeight="1">
      <c r="A251" s="749"/>
      <c r="B251" s="750"/>
      <c r="C251" s="750"/>
      <c r="D251" s="750"/>
      <c r="E251" s="752"/>
      <c r="F251" s="750"/>
      <c r="G251" s="750"/>
      <c r="H251" s="750"/>
      <c r="I251" s="750"/>
      <c r="J251" s="750"/>
      <c r="K251" s="750"/>
      <c r="L251" s="750"/>
      <c r="M251" s="721"/>
    </row>
    <row r="252" spans="1:22" ht="19.899999999999999" customHeight="1">
      <c r="A252" s="749"/>
      <c r="B252" s="750"/>
      <c r="C252" s="750"/>
      <c r="D252" s="750"/>
      <c r="E252" s="750"/>
      <c r="F252" s="750"/>
      <c r="G252" s="750"/>
      <c r="H252" s="750"/>
      <c r="I252" s="750"/>
      <c r="J252" s="750"/>
      <c r="K252" s="750"/>
      <c r="L252" s="750"/>
      <c r="M252" s="721"/>
    </row>
    <row r="253" spans="1:22" ht="19.899999999999999" customHeight="1">
      <c r="I253" s="447"/>
    </row>
    <row r="254" spans="1:22" ht="19.899999999999999" customHeight="1">
      <c r="A254" s="709"/>
      <c r="B254" s="476"/>
      <c r="C254" s="476"/>
      <c r="D254" s="476"/>
      <c r="E254" s="476"/>
      <c r="F254" s="476"/>
      <c r="G254" s="476"/>
      <c r="H254" s="476"/>
      <c r="I254" s="476"/>
      <c r="J254" s="476"/>
      <c r="K254" s="476"/>
      <c r="L254" s="476"/>
      <c r="M254" s="476"/>
      <c r="N254" s="476"/>
      <c r="O254" s="476"/>
      <c r="P254" s="476"/>
      <c r="Q254" s="476"/>
      <c r="R254" s="476"/>
      <c r="S254" s="476"/>
      <c r="T254" s="476"/>
      <c r="U254" s="476"/>
      <c r="V254" s="476"/>
    </row>
    <row r="255" spans="1:22" ht="19.899999999999999" customHeight="1">
      <c r="A255" s="709"/>
      <c r="B255" s="476"/>
      <c r="C255" s="476"/>
      <c r="D255" s="476"/>
      <c r="E255" s="476"/>
      <c r="F255" s="476"/>
      <c r="G255" s="476"/>
      <c r="H255" s="476"/>
      <c r="I255" s="476"/>
      <c r="J255" s="476"/>
      <c r="K255" s="476"/>
      <c r="L255" s="476"/>
      <c r="M255" s="476"/>
      <c r="N255" s="476"/>
      <c r="O255" s="476"/>
      <c r="P255" s="476"/>
      <c r="Q255" s="476"/>
      <c r="R255" s="476"/>
      <c r="S255" s="476"/>
      <c r="T255" s="476"/>
      <c r="U255" s="476"/>
      <c r="V255" s="476"/>
    </row>
    <row r="256" spans="1:22" ht="19.899999999999999" customHeight="1">
      <c r="A256" s="709"/>
      <c r="B256" s="476"/>
      <c r="C256" s="476"/>
      <c r="D256" s="476"/>
      <c r="E256" s="476"/>
      <c r="F256" s="476"/>
      <c r="G256" s="476"/>
      <c r="H256" s="476"/>
      <c r="I256" s="476"/>
      <c r="J256" s="476"/>
      <c r="K256" s="476"/>
      <c r="L256" s="476"/>
      <c r="M256" s="476"/>
      <c r="N256" s="476"/>
      <c r="O256" s="476"/>
      <c r="P256" s="476"/>
      <c r="Q256" s="476"/>
      <c r="R256" s="476"/>
      <c r="S256" s="476"/>
      <c r="T256" s="476"/>
      <c r="U256" s="476"/>
      <c r="V256" s="476"/>
    </row>
    <row r="257" spans="1:22" ht="19.899999999999999" customHeight="1">
      <c r="A257" s="709"/>
      <c r="B257" s="476"/>
      <c r="C257" s="476"/>
      <c r="D257" s="476"/>
      <c r="E257" s="476"/>
      <c r="F257" s="476"/>
      <c r="G257" s="476"/>
      <c r="H257" s="476"/>
      <c r="I257" s="476"/>
      <c r="J257" s="476"/>
      <c r="K257" s="476"/>
      <c r="L257" s="476"/>
      <c r="M257" s="476"/>
      <c r="N257" s="476"/>
      <c r="O257" s="476"/>
      <c r="P257" s="476"/>
      <c r="Q257" s="476"/>
      <c r="R257" s="476"/>
      <c r="S257" s="476"/>
      <c r="T257" s="476"/>
      <c r="U257" s="476"/>
      <c r="V257" s="476"/>
    </row>
    <row r="258" spans="1:22" ht="19.899999999999999" customHeight="1">
      <c r="A258" s="709"/>
      <c r="B258" s="476"/>
      <c r="C258" s="476"/>
      <c r="D258" s="476"/>
      <c r="E258" s="476"/>
      <c r="F258" s="476"/>
      <c r="G258" s="476"/>
      <c r="H258" s="476"/>
      <c r="I258" s="476"/>
      <c r="J258" s="476"/>
      <c r="K258" s="476"/>
      <c r="L258" s="476"/>
      <c r="M258" s="476"/>
      <c r="N258" s="476"/>
      <c r="O258" s="476"/>
      <c r="P258" s="476"/>
      <c r="Q258" s="476"/>
      <c r="R258" s="476"/>
      <c r="S258" s="476"/>
      <c r="T258" s="476"/>
      <c r="U258" s="476"/>
      <c r="V258" s="476"/>
    </row>
    <row r="259" spans="1:22" ht="19.899999999999999" customHeight="1">
      <c r="A259" s="709"/>
      <c r="B259" s="476"/>
      <c r="C259" s="476"/>
      <c r="D259" s="476"/>
      <c r="E259" s="476"/>
      <c r="F259" s="476"/>
      <c r="G259" s="476"/>
      <c r="H259" s="476"/>
      <c r="I259" s="476"/>
      <c r="J259" s="476"/>
      <c r="K259" s="476"/>
      <c r="L259" s="476"/>
      <c r="M259" s="476"/>
      <c r="N259" s="476"/>
      <c r="O259" s="476"/>
      <c r="P259" s="476"/>
      <c r="Q259" s="476"/>
      <c r="R259" s="476"/>
      <c r="S259" s="476"/>
      <c r="T259" s="476"/>
      <c r="U259" s="476"/>
      <c r="V259" s="476"/>
    </row>
    <row r="260" spans="1:22" ht="19.899999999999999" customHeight="1">
      <c r="A260" s="709"/>
      <c r="B260" s="476"/>
      <c r="C260" s="476"/>
      <c r="D260" s="476"/>
      <c r="E260" s="476"/>
      <c r="F260" s="476"/>
      <c r="G260" s="476"/>
      <c r="H260" s="476"/>
      <c r="I260" s="476"/>
      <c r="J260" s="476"/>
      <c r="K260" s="476"/>
      <c r="L260" s="476"/>
      <c r="M260" s="476"/>
      <c r="N260" s="476"/>
      <c r="O260" s="476"/>
      <c r="P260" s="476"/>
      <c r="Q260" s="476"/>
      <c r="R260" s="476"/>
      <c r="S260" s="476"/>
      <c r="T260" s="476"/>
      <c r="U260" s="476"/>
      <c r="V260" s="476"/>
    </row>
    <row r="261" spans="1:22" ht="19.899999999999999" customHeight="1">
      <c r="A261" s="709"/>
      <c r="B261" s="476"/>
      <c r="C261" s="476"/>
      <c r="D261" s="476"/>
      <c r="E261" s="476"/>
      <c r="F261" s="476"/>
      <c r="G261" s="476"/>
      <c r="H261" s="476"/>
      <c r="I261" s="476"/>
      <c r="J261" s="476"/>
      <c r="K261" s="476"/>
      <c r="L261" s="476"/>
      <c r="M261" s="476"/>
      <c r="N261" s="476"/>
      <c r="O261" s="476"/>
      <c r="P261" s="476"/>
      <c r="Q261" s="476"/>
      <c r="R261" s="476"/>
      <c r="S261" s="476"/>
      <c r="T261" s="476"/>
      <c r="U261" s="476"/>
      <c r="V261" s="476"/>
    </row>
    <row r="262" spans="1:22" ht="19.899999999999999" customHeight="1">
      <c r="A262" s="709"/>
      <c r="B262" s="476"/>
      <c r="C262" s="476"/>
      <c r="D262" s="476"/>
      <c r="E262" s="476"/>
      <c r="F262" s="476"/>
      <c r="G262" s="476"/>
      <c r="H262" s="476"/>
      <c r="I262" s="476"/>
      <c r="J262" s="476"/>
      <c r="K262" s="476"/>
      <c r="L262" s="476"/>
      <c r="M262" s="476"/>
      <c r="N262" s="476"/>
      <c r="O262" s="476"/>
      <c r="P262" s="476"/>
      <c r="Q262" s="476"/>
      <c r="R262" s="476"/>
      <c r="S262" s="476"/>
      <c r="T262" s="476"/>
      <c r="U262" s="476"/>
      <c r="V262" s="476"/>
    </row>
    <row r="263" spans="1:22" ht="19.899999999999999" customHeight="1">
      <c r="A263" s="709"/>
      <c r="B263" s="476"/>
      <c r="C263" s="476"/>
      <c r="D263" s="476"/>
      <c r="E263" s="476"/>
      <c r="F263" s="476"/>
      <c r="G263" s="476"/>
      <c r="H263" s="476"/>
      <c r="I263" s="476"/>
      <c r="J263" s="476"/>
      <c r="K263" s="476"/>
      <c r="L263" s="476"/>
      <c r="M263" s="476"/>
      <c r="N263" s="476"/>
      <c r="O263" s="476"/>
      <c r="P263" s="476"/>
      <c r="Q263" s="476"/>
      <c r="R263" s="476"/>
      <c r="S263" s="476"/>
      <c r="T263" s="476"/>
      <c r="U263" s="476"/>
      <c r="V263" s="476"/>
    </row>
    <row r="264" spans="1:22" ht="19.899999999999999" customHeight="1">
      <c r="A264" s="709"/>
      <c r="B264" s="476"/>
      <c r="C264" s="476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</row>
    <row r="265" spans="1:22" ht="19.899999999999999" customHeight="1">
      <c r="A265" s="709"/>
      <c r="B265" s="476"/>
      <c r="C265" s="476"/>
      <c r="D265" s="476"/>
      <c r="E265" s="476"/>
      <c r="F265" s="476"/>
      <c r="G265" s="476"/>
      <c r="H265" s="476"/>
      <c r="I265" s="476"/>
      <c r="J265" s="476"/>
      <c r="K265" s="476"/>
      <c r="L265" s="476"/>
      <c r="M265" s="476"/>
      <c r="N265" s="476"/>
      <c r="O265" s="476"/>
      <c r="P265" s="476"/>
      <c r="Q265" s="476"/>
      <c r="R265" s="476"/>
      <c r="S265" s="476"/>
      <c r="T265" s="476"/>
      <c r="U265" s="476"/>
      <c r="V265" s="476"/>
    </row>
    <row r="266" spans="1:22" ht="19.899999999999999" customHeight="1">
      <c r="A266" s="709"/>
      <c r="B266" s="476"/>
      <c r="C266" s="476"/>
      <c r="D266" s="476"/>
      <c r="E266" s="476"/>
      <c r="F266" s="476"/>
      <c r="G266" s="476"/>
      <c r="H266" s="476"/>
      <c r="I266" s="476"/>
      <c r="J266" s="476"/>
      <c r="K266" s="476"/>
      <c r="L266" s="476"/>
      <c r="M266" s="476"/>
      <c r="N266" s="476"/>
      <c r="O266" s="476"/>
      <c r="P266" s="476"/>
      <c r="Q266" s="476"/>
      <c r="R266" s="476"/>
      <c r="S266" s="476"/>
      <c r="T266" s="476"/>
      <c r="U266" s="476"/>
      <c r="V266" s="476"/>
    </row>
    <row r="267" spans="1:22" ht="19.899999999999999" customHeight="1">
      <c r="A267" s="709"/>
      <c r="B267" s="476"/>
      <c r="C267" s="476"/>
      <c r="D267" s="476"/>
      <c r="E267" s="476"/>
      <c r="F267" s="476"/>
      <c r="G267" s="476"/>
      <c r="H267" s="476"/>
      <c r="I267" s="476"/>
      <c r="J267" s="476"/>
      <c r="K267" s="476"/>
      <c r="L267" s="476"/>
      <c r="M267" s="476"/>
      <c r="N267" s="476"/>
      <c r="O267" s="476"/>
      <c r="P267" s="476"/>
      <c r="Q267" s="476"/>
      <c r="R267" s="476"/>
      <c r="S267" s="476"/>
      <c r="T267" s="476"/>
      <c r="U267" s="476"/>
      <c r="V267" s="476"/>
    </row>
    <row r="268" spans="1:22" ht="19.899999999999999" customHeight="1">
      <c r="A268" s="709"/>
      <c r="B268" s="476"/>
      <c r="C268" s="476"/>
      <c r="D268" s="476"/>
      <c r="E268" s="476"/>
      <c r="F268" s="476"/>
      <c r="G268" s="476"/>
      <c r="H268" s="476"/>
      <c r="I268" s="476"/>
      <c r="J268" s="476"/>
      <c r="K268" s="476"/>
      <c r="L268" s="476"/>
      <c r="M268" s="476"/>
      <c r="N268" s="476"/>
      <c r="O268" s="476"/>
      <c r="P268" s="476"/>
      <c r="Q268" s="476"/>
      <c r="R268" s="476"/>
      <c r="S268" s="476"/>
      <c r="T268" s="476"/>
      <c r="U268" s="476"/>
      <c r="V268" s="476"/>
    </row>
    <row r="269" spans="1:22" ht="19.899999999999999" customHeight="1">
      <c r="A269" s="709"/>
      <c r="B269" s="476"/>
      <c r="C269" s="476"/>
      <c r="D269" s="476"/>
      <c r="E269" s="476"/>
      <c r="F269" s="476"/>
      <c r="G269" s="476"/>
      <c r="H269" s="476"/>
      <c r="I269" s="476"/>
      <c r="J269" s="476"/>
      <c r="K269" s="476"/>
      <c r="L269" s="476"/>
      <c r="M269" s="476"/>
      <c r="N269" s="476"/>
      <c r="O269" s="476"/>
      <c r="P269" s="476"/>
      <c r="Q269" s="476"/>
      <c r="R269" s="476"/>
      <c r="S269" s="476"/>
      <c r="T269" s="476"/>
      <c r="U269" s="476"/>
      <c r="V269" s="476"/>
    </row>
    <row r="270" spans="1:22" ht="19.899999999999999" customHeight="1">
      <c r="A270" s="709"/>
      <c r="B270" s="476"/>
      <c r="C270" s="476"/>
      <c r="D270" s="476"/>
      <c r="E270" s="476"/>
      <c r="F270" s="476"/>
      <c r="G270" s="476"/>
      <c r="H270" s="476"/>
      <c r="I270" s="476"/>
      <c r="J270" s="476"/>
      <c r="K270" s="476"/>
      <c r="L270" s="476"/>
      <c r="M270" s="476"/>
      <c r="N270" s="476"/>
      <c r="O270" s="476"/>
      <c r="P270" s="476"/>
      <c r="Q270" s="476"/>
      <c r="R270" s="476"/>
      <c r="S270" s="476"/>
      <c r="T270" s="476"/>
      <c r="U270" s="476"/>
      <c r="V270" s="476"/>
    </row>
    <row r="271" spans="1:22" ht="19.899999999999999" customHeight="1">
      <c r="A271" s="709"/>
      <c r="B271" s="476"/>
      <c r="C271" s="476"/>
      <c r="D271" s="476"/>
      <c r="E271" s="476"/>
      <c r="F271" s="476"/>
      <c r="G271" s="476"/>
      <c r="H271" s="476"/>
      <c r="I271" s="476"/>
      <c r="J271" s="476"/>
      <c r="K271" s="476"/>
      <c r="L271" s="476"/>
      <c r="M271" s="476"/>
      <c r="N271" s="476"/>
      <c r="O271" s="476"/>
      <c r="P271" s="476"/>
      <c r="Q271" s="476"/>
      <c r="R271" s="476"/>
      <c r="S271" s="476"/>
      <c r="T271" s="476"/>
      <c r="U271" s="476"/>
      <c r="V271" s="476"/>
    </row>
    <row r="272" spans="1:22" ht="19.899999999999999" customHeight="1">
      <c r="A272" s="709"/>
      <c r="B272" s="476"/>
      <c r="C272" s="476"/>
      <c r="D272" s="476"/>
      <c r="E272" s="476"/>
      <c r="F272" s="476"/>
      <c r="G272" s="476"/>
      <c r="H272" s="476"/>
      <c r="I272" s="476"/>
      <c r="J272" s="476"/>
      <c r="K272" s="476"/>
      <c r="L272" s="476"/>
      <c r="M272" s="476"/>
      <c r="N272" s="476"/>
      <c r="O272" s="476"/>
      <c r="P272" s="476"/>
      <c r="Q272" s="476"/>
      <c r="R272" s="476"/>
      <c r="S272" s="476"/>
      <c r="T272" s="476"/>
      <c r="U272" s="476"/>
      <c r="V272" s="476"/>
    </row>
    <row r="273" spans="1:33" ht="19.899999999999999" customHeight="1">
      <c r="A273" s="709"/>
      <c r="B273" s="476"/>
      <c r="C273" s="476"/>
      <c r="D273" s="476"/>
      <c r="E273" s="476"/>
      <c r="F273" s="476"/>
      <c r="G273" s="476"/>
      <c r="H273" s="476"/>
      <c r="I273" s="476"/>
      <c r="J273" s="476"/>
      <c r="K273" s="476"/>
      <c r="L273" s="476"/>
      <c r="M273" s="476"/>
      <c r="N273" s="476"/>
      <c r="O273" s="476"/>
      <c r="P273" s="476"/>
      <c r="Q273" s="476"/>
      <c r="R273" s="476"/>
      <c r="S273" s="476"/>
      <c r="T273" s="476"/>
      <c r="U273" s="476"/>
      <c r="V273" s="476"/>
    </row>
    <row r="274" spans="1:33" ht="19.899999999999999" customHeight="1">
      <c r="A274" s="709"/>
      <c r="B274" s="476"/>
      <c r="C274" s="476"/>
      <c r="D274" s="476"/>
      <c r="E274" s="476"/>
      <c r="F274" s="476"/>
      <c r="G274" s="476"/>
      <c r="H274" s="476"/>
      <c r="I274" s="476"/>
      <c r="J274" s="476"/>
      <c r="K274" s="476"/>
      <c r="L274" s="476"/>
      <c r="M274" s="476"/>
      <c r="N274" s="476"/>
      <c r="O274" s="476"/>
      <c r="P274" s="476"/>
      <c r="Q274" s="476"/>
      <c r="R274" s="476"/>
      <c r="S274" s="476"/>
      <c r="T274" s="476"/>
      <c r="U274" s="476"/>
      <c r="V274" s="476"/>
    </row>
    <row r="275" spans="1:33" ht="19.899999999999999" customHeight="1">
      <c r="A275" s="709"/>
      <c r="B275" s="476"/>
      <c r="C275" s="476"/>
      <c r="D275" s="476"/>
      <c r="E275" s="476"/>
      <c r="F275" s="476"/>
      <c r="G275" s="476"/>
      <c r="H275" s="476"/>
      <c r="I275" s="476"/>
      <c r="J275" s="476"/>
      <c r="K275" s="476"/>
      <c r="L275" s="476"/>
      <c r="M275" s="476"/>
      <c r="N275" s="476"/>
      <c r="O275" s="476"/>
      <c r="P275" s="476"/>
      <c r="Q275" s="476"/>
      <c r="R275" s="476"/>
      <c r="S275" s="476"/>
      <c r="T275" s="476"/>
      <c r="U275" s="476"/>
      <c r="V275" s="476"/>
    </row>
    <row r="276" spans="1:33" ht="19.899999999999999" customHeight="1">
      <c r="A276" s="709"/>
      <c r="B276" s="476"/>
      <c r="C276" s="476"/>
      <c r="D276" s="476"/>
      <c r="E276" s="476"/>
      <c r="F276" s="476"/>
      <c r="G276" s="476"/>
      <c r="H276" s="476"/>
      <c r="I276" s="476"/>
      <c r="J276" s="476"/>
      <c r="K276" s="476"/>
      <c r="L276" s="476"/>
      <c r="M276" s="476"/>
      <c r="N276" s="476"/>
      <c r="O276" s="476"/>
      <c r="P276" s="476"/>
      <c r="Q276" s="476"/>
      <c r="R276" s="476"/>
      <c r="S276" s="476"/>
      <c r="T276" s="476"/>
      <c r="U276" s="476"/>
      <c r="V276" s="476"/>
    </row>
    <row r="277" spans="1:33" ht="19.899999999999999" customHeight="1">
      <c r="A277" s="709"/>
      <c r="B277" s="476"/>
      <c r="C277" s="476"/>
      <c r="D277" s="476"/>
      <c r="E277" s="476"/>
      <c r="F277" s="476"/>
      <c r="G277" s="476"/>
      <c r="H277" s="476"/>
      <c r="I277" s="476"/>
      <c r="J277" s="476"/>
      <c r="K277" s="476"/>
      <c r="L277" s="476"/>
      <c r="M277" s="476"/>
      <c r="N277" s="476"/>
      <c r="O277" s="476"/>
      <c r="P277" s="476"/>
      <c r="Q277" s="476"/>
      <c r="R277" s="476"/>
      <c r="S277" s="476"/>
      <c r="T277" s="476"/>
      <c r="U277" s="476"/>
      <c r="V277" s="476"/>
    </row>
    <row r="278" spans="1:33" ht="19.899999999999999" customHeight="1">
      <c r="A278" s="709"/>
      <c r="B278" s="476"/>
      <c r="C278" s="476"/>
      <c r="D278" s="476"/>
      <c r="E278" s="476"/>
      <c r="F278" s="476"/>
      <c r="G278" s="476"/>
      <c r="H278" s="476"/>
      <c r="I278" s="476"/>
      <c r="J278" s="476"/>
      <c r="K278" s="476"/>
      <c r="L278" s="476"/>
      <c r="M278" s="476"/>
      <c r="N278" s="476"/>
      <c r="O278" s="476"/>
      <c r="P278" s="476"/>
      <c r="Q278" s="476"/>
      <c r="R278" s="476"/>
      <c r="S278" s="476"/>
      <c r="T278" s="476"/>
      <c r="U278" s="476"/>
      <c r="V278" s="476"/>
    </row>
    <row r="279" spans="1:33" ht="19.899999999999999" customHeight="1">
      <c r="A279" s="709"/>
      <c r="B279" s="476"/>
      <c r="C279" s="476"/>
      <c r="D279" s="476"/>
      <c r="E279" s="476"/>
      <c r="F279" s="476"/>
      <c r="G279" s="476"/>
      <c r="H279" s="476"/>
      <c r="I279" s="476"/>
      <c r="J279" s="476"/>
      <c r="K279" s="476"/>
      <c r="L279" s="476"/>
      <c r="M279" s="476"/>
      <c r="N279" s="476"/>
      <c r="O279" s="476"/>
      <c r="P279" s="476"/>
      <c r="Q279" s="476"/>
      <c r="R279" s="476"/>
      <c r="S279" s="476"/>
      <c r="T279" s="476"/>
      <c r="U279" s="476"/>
      <c r="V279" s="476"/>
    </row>
    <row r="280" spans="1:33" ht="19.899999999999999" customHeight="1">
      <c r="A280" s="709"/>
      <c r="B280" s="476"/>
      <c r="C280" s="476"/>
      <c r="D280" s="476"/>
      <c r="E280" s="476"/>
      <c r="F280" s="476"/>
      <c r="G280" s="476"/>
      <c r="H280" s="476"/>
      <c r="I280" s="476"/>
      <c r="J280" s="476"/>
      <c r="K280" s="476"/>
      <c r="L280" s="476"/>
      <c r="M280" s="476"/>
      <c r="N280" s="476"/>
      <c r="O280" s="476"/>
      <c r="P280" s="476"/>
      <c r="Q280" s="476"/>
      <c r="R280" s="476"/>
      <c r="S280" s="476"/>
      <c r="T280" s="476"/>
      <c r="U280" s="476"/>
      <c r="V280" s="476"/>
    </row>
    <row r="281" spans="1:33" ht="19.899999999999999" customHeight="1">
      <c r="A281" s="709"/>
      <c r="B281" s="476"/>
      <c r="C281" s="476"/>
      <c r="D281" s="476"/>
      <c r="E281" s="476"/>
      <c r="F281" s="476"/>
      <c r="G281" s="476"/>
      <c r="H281" s="476"/>
      <c r="I281" s="476"/>
      <c r="J281" s="476"/>
      <c r="K281" s="476"/>
      <c r="L281" s="476"/>
      <c r="M281" s="476"/>
      <c r="N281" s="476"/>
      <c r="O281" s="476"/>
      <c r="P281" s="476"/>
      <c r="Q281" s="476"/>
      <c r="R281" s="476"/>
      <c r="S281" s="476"/>
      <c r="T281" s="476"/>
      <c r="U281" s="476"/>
      <c r="V281" s="476"/>
    </row>
    <row r="282" spans="1:33" ht="19.899999999999999" customHeight="1">
      <c r="A282" s="709"/>
      <c r="B282" s="476"/>
      <c r="C282" s="476"/>
      <c r="D282" s="476"/>
      <c r="E282" s="476"/>
      <c r="F282" s="476"/>
      <c r="G282" s="476"/>
      <c r="H282" s="476"/>
      <c r="I282" s="476"/>
      <c r="J282" s="476"/>
      <c r="K282" s="476"/>
      <c r="L282" s="476"/>
      <c r="M282" s="476"/>
      <c r="N282" s="476"/>
      <c r="O282" s="476"/>
      <c r="P282" s="476"/>
      <c r="Q282" s="476"/>
      <c r="R282" s="476"/>
      <c r="S282" s="476"/>
      <c r="T282" s="476"/>
      <c r="U282" s="476"/>
      <c r="V282" s="476"/>
    </row>
    <row r="283" spans="1:33" ht="19.899999999999999" customHeight="1">
      <c r="A283" s="709"/>
      <c r="B283" s="476"/>
      <c r="C283" s="476"/>
      <c r="D283" s="476"/>
      <c r="E283" s="476"/>
      <c r="F283" s="476"/>
      <c r="G283" s="476"/>
      <c r="H283" s="476"/>
      <c r="I283" s="476"/>
      <c r="J283" s="476"/>
      <c r="K283" s="476"/>
      <c r="L283" s="476"/>
      <c r="M283" s="476"/>
      <c r="N283" s="476"/>
      <c r="O283" s="476"/>
      <c r="P283" s="476"/>
      <c r="Q283" s="476"/>
      <c r="R283" s="476"/>
      <c r="S283" s="476"/>
      <c r="T283" s="476"/>
      <c r="U283" s="476"/>
      <c r="V283" s="476"/>
    </row>
    <row r="284" spans="1:33" ht="19.899999999999999" customHeight="1">
      <c r="A284" s="709"/>
      <c r="B284" s="476"/>
      <c r="C284" s="476"/>
      <c r="D284" s="476"/>
      <c r="E284" s="476"/>
      <c r="F284" s="476"/>
      <c r="G284" s="476"/>
      <c r="H284" s="476"/>
      <c r="I284" s="476"/>
      <c r="J284" s="476"/>
      <c r="K284" s="476"/>
      <c r="L284" s="476"/>
      <c r="M284" s="476"/>
      <c r="N284" s="476"/>
      <c r="O284" s="476"/>
      <c r="P284" s="476"/>
      <c r="Q284" s="476"/>
      <c r="R284" s="476"/>
      <c r="S284" s="476"/>
      <c r="T284" s="476"/>
      <c r="U284" s="476"/>
      <c r="V284" s="476"/>
    </row>
    <row r="285" spans="1:33" ht="19.899999999999999" customHeight="1">
      <c r="A285" s="709"/>
      <c r="B285" s="476"/>
      <c r="C285" s="476"/>
      <c r="D285" s="476"/>
      <c r="E285" s="476"/>
      <c r="F285" s="476"/>
      <c r="G285" s="476"/>
      <c r="H285" s="476"/>
      <c r="I285" s="476"/>
      <c r="J285" s="476"/>
      <c r="K285" s="476"/>
      <c r="L285" s="476"/>
      <c r="M285" s="476"/>
      <c r="N285" s="476"/>
      <c r="O285" s="476"/>
      <c r="P285" s="476"/>
      <c r="Q285" s="476"/>
      <c r="R285" s="476"/>
      <c r="S285" s="476"/>
      <c r="T285" s="476"/>
      <c r="U285" s="476"/>
      <c r="V285" s="476"/>
    </row>
    <row r="286" spans="1:33" ht="19.899999999999999" customHeight="1">
      <c r="A286" s="709"/>
      <c r="B286" s="476"/>
      <c r="C286" s="476"/>
      <c r="D286" s="476"/>
      <c r="E286" s="476"/>
      <c r="F286" s="476"/>
      <c r="G286" s="476"/>
      <c r="H286" s="476"/>
      <c r="I286" s="476"/>
      <c r="J286" s="476"/>
      <c r="K286" s="476"/>
      <c r="L286" s="476"/>
      <c r="M286" s="476"/>
      <c r="N286" s="476"/>
      <c r="O286" s="476"/>
      <c r="P286" s="476"/>
      <c r="Q286" s="476"/>
      <c r="R286" s="476"/>
      <c r="S286" s="476"/>
      <c r="T286" s="476"/>
      <c r="U286" s="476"/>
      <c r="V286" s="476"/>
    </row>
    <row r="287" spans="1:33" ht="19.899999999999999" customHeight="1">
      <c r="A287" s="709"/>
      <c r="B287" s="476"/>
      <c r="C287" s="476"/>
      <c r="D287" s="476"/>
      <c r="E287" s="476"/>
      <c r="F287" s="476"/>
      <c r="G287" s="476"/>
      <c r="H287" s="476"/>
      <c r="I287" s="476"/>
      <c r="J287" s="476"/>
      <c r="K287" s="476"/>
      <c r="L287" s="476"/>
      <c r="M287" s="476"/>
      <c r="N287" s="476"/>
      <c r="O287" s="476"/>
      <c r="P287" s="476"/>
      <c r="Q287" s="476"/>
      <c r="R287" s="476"/>
      <c r="S287" s="476"/>
      <c r="T287" s="476"/>
      <c r="U287" s="476"/>
      <c r="V287" s="476"/>
    </row>
    <row r="288" spans="1:33" ht="19.899999999999999" customHeight="1">
      <c r="A288" s="709"/>
      <c r="B288" s="476"/>
      <c r="C288" s="476"/>
      <c r="D288" s="476"/>
      <c r="E288" s="476"/>
      <c r="F288" s="476"/>
      <c r="G288" s="476"/>
      <c r="H288" s="476"/>
      <c r="I288" s="476"/>
      <c r="J288" s="476"/>
      <c r="K288" s="476"/>
      <c r="L288" s="476"/>
      <c r="M288" s="1838"/>
      <c r="N288" s="1838"/>
      <c r="O288" s="1838"/>
      <c r="P288" s="1838"/>
      <c r="Q288" s="1838"/>
      <c r="R288" s="1838"/>
      <c r="S288" s="1838"/>
      <c r="T288" s="1838"/>
      <c r="U288" s="1838"/>
      <c r="V288" s="1838"/>
      <c r="W288" s="1839"/>
      <c r="X288" s="1839"/>
      <c r="Y288" s="1839"/>
      <c r="Z288" s="1839"/>
      <c r="AA288" s="1839"/>
      <c r="AB288" s="1839"/>
      <c r="AC288" s="1839"/>
      <c r="AD288" s="1839"/>
      <c r="AE288" s="1839"/>
      <c r="AF288" s="1839"/>
      <c r="AG288" s="1839"/>
    </row>
    <row r="289" spans="1:41" ht="19.899999999999999" customHeight="1">
      <c r="A289" s="709"/>
      <c r="B289" s="476"/>
      <c r="C289" s="476"/>
      <c r="D289" s="476"/>
      <c r="E289" s="476"/>
      <c r="F289" s="476"/>
      <c r="G289" s="476"/>
      <c r="H289" s="476"/>
      <c r="I289" s="476"/>
      <c r="J289" s="476"/>
      <c r="K289" s="476"/>
      <c r="L289" s="476"/>
      <c r="M289" s="1838"/>
      <c r="N289" s="1838"/>
      <c r="O289" s="1838"/>
      <c r="P289" s="1838"/>
      <c r="Q289" s="1838"/>
      <c r="R289" s="1838"/>
      <c r="S289" s="1838"/>
      <c r="T289" s="1838"/>
      <c r="U289" s="1838"/>
      <c r="V289" s="1838"/>
      <c r="W289" s="1839"/>
      <c r="X289" s="1839"/>
      <c r="Y289" s="1839"/>
      <c r="Z289" s="1839"/>
      <c r="AA289" s="1839"/>
      <c r="AB289" s="1839"/>
      <c r="AC289" s="1839"/>
      <c r="AD289" s="1839"/>
      <c r="AE289" s="1839"/>
      <c r="AF289" s="1839"/>
      <c r="AG289" s="1839"/>
    </row>
    <row r="290" spans="1:41" ht="19.899999999999999" customHeight="1">
      <c r="A290" s="709"/>
      <c r="B290" s="476"/>
      <c r="C290" s="476"/>
      <c r="D290" s="476"/>
      <c r="E290" s="476"/>
      <c r="F290" s="476"/>
      <c r="G290" s="476"/>
      <c r="H290" s="476"/>
      <c r="I290" s="476"/>
      <c r="J290" s="476"/>
      <c r="K290" s="476"/>
      <c r="L290" s="476"/>
      <c r="M290" s="1838"/>
      <c r="N290" s="1838"/>
      <c r="O290" s="1838"/>
      <c r="P290" s="1838"/>
      <c r="Q290" s="1838"/>
      <c r="R290" s="1838"/>
      <c r="S290" s="1838"/>
      <c r="T290" s="1838"/>
      <c r="U290" s="1838"/>
      <c r="V290" s="1838"/>
      <c r="W290" s="1839"/>
      <c r="X290" s="1839"/>
      <c r="Y290" s="1839"/>
      <c r="Z290" s="1839"/>
      <c r="AA290" s="1839"/>
      <c r="AB290" s="1839"/>
      <c r="AC290" s="1839"/>
      <c r="AD290" s="1839"/>
      <c r="AE290" s="1839"/>
      <c r="AF290" s="1839"/>
      <c r="AG290" s="1839"/>
    </row>
    <row r="291" spans="1:41" ht="19.899999999999999" customHeight="1">
      <c r="A291" s="709"/>
      <c r="B291" s="476"/>
      <c r="C291" s="476"/>
      <c r="D291" s="476"/>
      <c r="E291" s="476"/>
      <c r="F291" s="476"/>
      <c r="G291" s="476"/>
      <c r="H291" s="476"/>
      <c r="I291" s="476"/>
      <c r="J291" s="476"/>
      <c r="K291" s="476"/>
      <c r="L291" s="476"/>
      <c r="M291" s="1838"/>
      <c r="N291" s="1838"/>
      <c r="O291" s="1838"/>
      <c r="P291" s="1838"/>
      <c r="Q291" s="1838"/>
      <c r="R291" s="1838"/>
      <c r="S291" s="1838"/>
      <c r="T291" s="1838"/>
      <c r="U291" s="1838"/>
      <c r="V291" s="1838"/>
      <c r="W291" s="1839"/>
      <c r="X291" s="1839"/>
      <c r="Y291" s="1839"/>
      <c r="Z291" s="1839"/>
      <c r="AA291" s="1839"/>
      <c r="AB291" s="1839"/>
      <c r="AC291" s="1839"/>
      <c r="AD291" s="1839"/>
      <c r="AE291" s="1839"/>
      <c r="AF291" s="1839"/>
      <c r="AG291" s="1839"/>
    </row>
    <row r="292" spans="1:41" ht="19.899999999999999" customHeight="1">
      <c r="A292" s="709"/>
      <c r="B292" s="476"/>
      <c r="C292" s="476"/>
      <c r="D292" s="476"/>
      <c r="E292" s="476"/>
      <c r="F292" s="476"/>
      <c r="G292" s="476"/>
      <c r="H292" s="476"/>
      <c r="I292" s="476"/>
      <c r="J292" s="476"/>
      <c r="K292" s="476"/>
      <c r="L292" s="476"/>
      <c r="M292" s="1838"/>
      <c r="N292" s="1838"/>
      <c r="O292" s="1838"/>
      <c r="P292" s="1838"/>
      <c r="Q292" s="1838"/>
      <c r="R292" s="1838"/>
      <c r="S292" s="1838"/>
      <c r="T292" s="1838"/>
      <c r="U292" s="1838"/>
      <c r="V292" s="1838"/>
      <c r="W292" s="1839"/>
      <c r="X292" s="1839"/>
      <c r="Y292" s="1839"/>
      <c r="Z292" s="1839"/>
      <c r="AA292" s="1839"/>
      <c r="AB292" s="1839"/>
      <c r="AC292" s="1839"/>
      <c r="AD292" s="1839"/>
      <c r="AE292" s="1839"/>
      <c r="AF292" s="1839"/>
      <c r="AG292" s="1839"/>
    </row>
    <row r="293" spans="1:41" ht="19.899999999999999" customHeight="1">
      <c r="A293" s="709"/>
      <c r="B293" s="476"/>
      <c r="C293" s="476"/>
      <c r="D293" s="476"/>
      <c r="E293" s="476"/>
      <c r="F293" s="476"/>
      <c r="G293" s="476"/>
      <c r="H293" s="476"/>
      <c r="I293" s="476"/>
      <c r="J293" s="476"/>
      <c r="K293" s="476"/>
      <c r="L293" s="476"/>
      <c r="M293" s="1838"/>
      <c r="N293" s="1838"/>
      <c r="O293" s="1838"/>
      <c r="P293" s="1838"/>
      <c r="Q293" s="1838"/>
      <c r="R293" s="1838"/>
      <c r="S293" s="1838"/>
      <c r="T293" s="1838"/>
      <c r="U293" s="1838"/>
      <c r="V293" s="1838"/>
      <c r="W293" s="1839"/>
      <c r="X293" s="1839"/>
      <c r="Y293" s="1839"/>
      <c r="Z293" s="1839"/>
      <c r="AA293" s="1839"/>
      <c r="AB293" s="1839"/>
      <c r="AC293" s="1839"/>
      <c r="AD293" s="1839"/>
      <c r="AE293" s="1839"/>
      <c r="AF293" s="1839"/>
      <c r="AG293" s="1839"/>
    </row>
    <row r="294" spans="1:41" ht="19.899999999999999" customHeight="1">
      <c r="A294" s="709"/>
      <c r="B294" s="476"/>
      <c r="C294" s="476"/>
      <c r="D294" s="476"/>
      <c r="E294" s="476"/>
      <c r="F294" s="476"/>
      <c r="G294" s="476"/>
      <c r="H294" s="476"/>
      <c r="I294" s="476"/>
      <c r="J294" s="476"/>
      <c r="K294" s="476"/>
      <c r="M294" s="1838"/>
      <c r="N294" s="1840"/>
      <c r="O294" s="1838"/>
      <c r="P294" s="1838"/>
      <c r="Q294" s="1838"/>
      <c r="R294" s="1838"/>
      <c r="S294" s="1838"/>
      <c r="T294" s="1838"/>
      <c r="U294" s="1838"/>
      <c r="V294" s="1838"/>
      <c r="W294" s="1841"/>
      <c r="X294" s="1841"/>
      <c r="Y294" s="1842"/>
      <c r="Z294" s="1842"/>
      <c r="AA294" s="1843"/>
      <c r="AB294" s="1843"/>
      <c r="AC294" s="1843"/>
      <c r="AD294" s="1839"/>
      <c r="AE294" s="1838"/>
      <c r="AF294" s="1838"/>
      <c r="AG294" s="1838"/>
      <c r="AH294" s="476"/>
      <c r="AI294" s="476"/>
      <c r="AJ294" s="476"/>
      <c r="AK294" s="476"/>
      <c r="AL294" s="476"/>
      <c r="AM294" s="476"/>
      <c r="AN294" s="476"/>
      <c r="AO294" s="476"/>
    </row>
    <row r="295" spans="1:41" ht="19.899999999999999" customHeight="1">
      <c r="A295" s="709"/>
      <c r="B295" s="476"/>
      <c r="C295" s="476"/>
      <c r="D295" s="476"/>
      <c r="E295" s="476"/>
      <c r="F295" s="476"/>
      <c r="G295" s="476"/>
      <c r="H295" s="476"/>
      <c r="I295" s="476"/>
      <c r="J295" s="476"/>
      <c r="K295" s="476"/>
      <c r="M295" s="1838"/>
      <c r="N295" s="1844"/>
      <c r="O295" s="1838"/>
      <c r="P295" s="1844"/>
      <c r="Q295" s="1838"/>
      <c r="R295" s="1838"/>
      <c r="S295" s="1845"/>
      <c r="T295" s="1845"/>
      <c r="U295" s="1838"/>
      <c r="V295" s="1838"/>
      <c r="W295" s="1841"/>
      <c r="X295" s="1841"/>
      <c r="Y295" s="1842"/>
      <c r="Z295" s="1842"/>
      <c r="AA295" s="1842"/>
      <c r="AB295" s="1842"/>
      <c r="AC295" s="1842"/>
      <c r="AD295" s="1839"/>
      <c r="AE295" s="1838"/>
      <c r="AF295" s="1838"/>
      <c r="AG295" s="1838"/>
      <c r="AH295" s="476"/>
      <c r="AI295" s="476"/>
      <c r="AJ295" s="476"/>
      <c r="AK295" s="476"/>
      <c r="AL295" s="476"/>
      <c r="AM295" s="476"/>
      <c r="AN295" s="476"/>
      <c r="AO295" s="476"/>
    </row>
    <row r="296" spans="1:41" ht="19.899999999999999" customHeight="1">
      <c r="A296" s="709"/>
      <c r="B296" s="476"/>
      <c r="C296" s="476"/>
      <c r="D296" s="476"/>
      <c r="E296" s="476"/>
      <c r="F296" s="476"/>
      <c r="G296" s="476"/>
      <c r="H296" s="476"/>
      <c r="I296" s="476"/>
      <c r="J296" s="476"/>
      <c r="K296" s="476"/>
      <c r="M296" s="1838"/>
      <c r="N296" s="1844"/>
      <c r="O296" s="1838"/>
      <c r="P296" s="1846"/>
      <c r="Q296" s="1838"/>
      <c r="R296" s="1847"/>
      <c r="S296" s="1845"/>
      <c r="T296" s="1848"/>
      <c r="U296" s="1838"/>
      <c r="V296" s="1838"/>
      <c r="W296" s="1841"/>
      <c r="X296" s="1841"/>
      <c r="Y296" s="1849"/>
      <c r="Z296" s="1850"/>
      <c r="AA296" s="1850"/>
      <c r="AB296" s="1850"/>
      <c r="AC296" s="1850"/>
      <c r="AD296" s="1839"/>
      <c r="AE296" s="1838"/>
      <c r="AF296" s="1838"/>
      <c r="AG296" s="1838"/>
      <c r="AH296" s="476"/>
      <c r="AI296" s="476"/>
      <c r="AJ296" s="476"/>
      <c r="AK296" s="476"/>
      <c r="AL296" s="476"/>
      <c r="AM296" s="476"/>
      <c r="AN296" s="476"/>
      <c r="AO296" s="476"/>
    </row>
    <row r="297" spans="1:41" ht="19.899999999999999" customHeight="1">
      <c r="A297" s="709"/>
      <c r="B297" s="476"/>
      <c r="C297" s="476"/>
      <c r="D297" s="476"/>
      <c r="E297" s="476"/>
      <c r="F297" s="476"/>
      <c r="G297" s="476"/>
      <c r="H297" s="476"/>
      <c r="I297" s="476"/>
      <c r="J297" s="476"/>
      <c r="K297" s="476"/>
      <c r="M297" s="1838"/>
      <c r="N297" s="1838"/>
      <c r="O297" s="1838"/>
      <c r="P297" s="1838"/>
      <c r="Q297" s="1838"/>
      <c r="R297" s="1838"/>
      <c r="S297" s="1838"/>
      <c r="T297" s="1838"/>
      <c r="U297" s="1838"/>
      <c r="V297" s="1838"/>
      <c r="W297" s="1841"/>
      <c r="X297" s="1841"/>
      <c r="Y297" s="1849"/>
      <c r="Z297" s="1850"/>
      <c r="AA297" s="1850"/>
      <c r="AB297" s="1850"/>
      <c r="AC297" s="1850"/>
      <c r="AD297" s="1839"/>
      <c r="AE297" s="1838"/>
      <c r="AF297" s="1838"/>
      <c r="AG297" s="1838"/>
      <c r="AH297" s="476"/>
      <c r="AI297" s="476"/>
      <c r="AJ297" s="476"/>
      <c r="AK297" s="476"/>
      <c r="AL297" s="476"/>
      <c r="AM297" s="476"/>
      <c r="AN297" s="476"/>
      <c r="AO297" s="476"/>
    </row>
    <row r="298" spans="1:41" ht="19.899999999999999" customHeight="1">
      <c r="A298" s="709"/>
      <c r="B298" s="476"/>
      <c r="C298" s="476"/>
      <c r="D298" s="476"/>
      <c r="E298" s="476"/>
      <c r="F298" s="476"/>
      <c r="G298" s="476"/>
      <c r="H298" s="476"/>
      <c r="I298" s="476"/>
      <c r="J298" s="476"/>
      <c r="K298" s="476"/>
      <c r="M298" s="1838"/>
      <c r="N298" s="1851"/>
      <c r="O298" s="1852"/>
      <c r="P298" s="1844"/>
      <c r="Q298" s="1844"/>
      <c r="R298" s="1838"/>
      <c r="S298" s="1838"/>
      <c r="T298" s="1841"/>
      <c r="U298" s="1841"/>
      <c r="V298" s="1838"/>
      <c r="W298" s="1841"/>
      <c r="X298" s="1841"/>
      <c r="Y298" s="1849"/>
      <c r="Z298" s="1850"/>
      <c r="AA298" s="1850"/>
      <c r="AB298" s="1850"/>
      <c r="AC298" s="1850"/>
      <c r="AD298" s="1839"/>
      <c r="AE298" s="1838"/>
      <c r="AF298" s="1838"/>
      <c r="AG298" s="1844"/>
      <c r="AH298" s="476"/>
      <c r="AI298" s="476"/>
      <c r="AJ298" s="476"/>
      <c r="AK298" s="476"/>
      <c r="AL298" s="476"/>
      <c r="AM298" s="476"/>
      <c r="AN298" s="476"/>
      <c r="AO298" s="476"/>
    </row>
    <row r="299" spans="1:41" ht="19.899999999999999" customHeight="1">
      <c r="A299" s="709"/>
      <c r="B299" s="476"/>
      <c r="C299" s="476"/>
      <c r="D299" s="476"/>
      <c r="E299" s="476"/>
      <c r="F299" s="476"/>
      <c r="G299" s="476"/>
      <c r="H299" s="476"/>
      <c r="I299" s="476"/>
      <c r="J299" s="476"/>
      <c r="K299" s="476"/>
      <c r="M299" s="1838"/>
      <c r="N299" s="1851"/>
      <c r="O299" s="1852"/>
      <c r="P299" s="1844"/>
      <c r="Q299" s="1852"/>
      <c r="R299" s="1838"/>
      <c r="S299" s="1838"/>
      <c r="T299" s="1847"/>
      <c r="U299" s="1852"/>
      <c r="V299" s="1838"/>
      <c r="W299" s="1841"/>
      <c r="X299" s="1841"/>
      <c r="Y299" s="1849"/>
      <c r="Z299" s="1850"/>
      <c r="AA299" s="1850"/>
      <c r="AB299" s="1850"/>
      <c r="AC299" s="1850"/>
      <c r="AD299" s="1838"/>
      <c r="AE299" s="1838"/>
      <c r="AF299" s="1838"/>
      <c r="AG299" s="1853"/>
      <c r="AH299" s="476"/>
      <c r="AI299" s="476"/>
      <c r="AJ299" s="476"/>
      <c r="AK299" s="476"/>
      <c r="AL299" s="476"/>
      <c r="AM299" s="476"/>
      <c r="AN299" s="476"/>
      <c r="AO299" s="476"/>
    </row>
    <row r="300" spans="1:41" ht="19.899999999999999" customHeight="1">
      <c r="A300" s="709"/>
      <c r="B300" s="476"/>
      <c r="C300" s="476"/>
      <c r="D300" s="476"/>
      <c r="E300" s="476"/>
      <c r="F300" s="476"/>
      <c r="G300" s="476"/>
      <c r="H300" s="476"/>
      <c r="I300" s="476"/>
      <c r="J300" s="476"/>
      <c r="K300" s="476"/>
      <c r="M300" s="1838"/>
      <c r="N300" s="1851"/>
      <c r="O300" s="1852"/>
      <c r="P300" s="1844"/>
      <c r="Q300" s="1844"/>
      <c r="R300" s="1838"/>
      <c r="S300" s="1854"/>
      <c r="T300" s="1854"/>
      <c r="U300" s="1838"/>
      <c r="V300" s="1838"/>
      <c r="W300" s="1841"/>
      <c r="X300" s="1841"/>
      <c r="Y300" s="1849"/>
      <c r="Z300" s="1850"/>
      <c r="AA300" s="1850"/>
      <c r="AB300" s="1850"/>
      <c r="AC300" s="1850"/>
      <c r="AD300" s="1838"/>
      <c r="AE300" s="1838"/>
      <c r="AF300" s="1838"/>
      <c r="AG300" s="1855"/>
      <c r="AH300" s="476"/>
      <c r="AI300" s="490"/>
      <c r="AJ300" s="507"/>
      <c r="AK300" s="507"/>
      <c r="AL300" s="507"/>
      <c r="AM300" s="507"/>
      <c r="AN300" s="476"/>
      <c r="AO300" s="476"/>
    </row>
    <row r="301" spans="1:41" ht="19.899999999999999" customHeight="1">
      <c r="A301" s="709"/>
      <c r="B301" s="476"/>
      <c r="C301" s="476"/>
      <c r="D301" s="476"/>
      <c r="E301" s="476"/>
      <c r="F301" s="476"/>
      <c r="G301" s="476"/>
      <c r="H301" s="476"/>
      <c r="I301" s="476"/>
      <c r="J301" s="476"/>
      <c r="K301" s="476"/>
      <c r="M301" s="1838"/>
      <c r="N301" s="1838"/>
      <c r="O301" s="1856"/>
      <c r="P301" s="1838"/>
      <c r="Q301" s="1857"/>
      <c r="R301" s="1857"/>
      <c r="S301" s="1845"/>
      <c r="T301" s="1845"/>
      <c r="U301" s="1838"/>
      <c r="V301" s="1838"/>
      <c r="W301" s="1841"/>
      <c r="X301" s="1841"/>
      <c r="Y301" s="1849"/>
      <c r="Z301" s="1850"/>
      <c r="AA301" s="1850"/>
      <c r="AB301" s="1850"/>
      <c r="AC301" s="1850"/>
      <c r="AD301" s="1838"/>
      <c r="AE301" s="1838"/>
      <c r="AF301" s="1838"/>
      <c r="AG301" s="1838"/>
      <c r="AH301" s="476"/>
      <c r="AI301" s="476"/>
      <c r="AJ301" s="476"/>
      <c r="AK301" s="476"/>
      <c r="AL301" s="476"/>
      <c r="AM301" s="476"/>
      <c r="AN301" s="476"/>
      <c r="AO301" s="476"/>
    </row>
    <row r="302" spans="1:41" ht="19.899999999999999" customHeight="1">
      <c r="A302" s="709"/>
      <c r="B302" s="476"/>
      <c r="C302" s="476"/>
      <c r="D302" s="476"/>
      <c r="E302" s="476"/>
      <c r="F302" s="476"/>
      <c r="G302" s="476"/>
      <c r="H302" s="476"/>
      <c r="I302" s="476"/>
      <c r="J302" s="476"/>
      <c r="K302" s="476"/>
      <c r="M302" s="1838"/>
      <c r="N302" s="1838"/>
      <c r="O302" s="1856"/>
      <c r="P302" s="1838"/>
      <c r="Q302" s="1857"/>
      <c r="R302" s="1838"/>
      <c r="S302" s="1838"/>
      <c r="T302" s="1838"/>
      <c r="U302" s="1838"/>
      <c r="V302" s="1838"/>
      <c r="W302" s="1841"/>
      <c r="X302" s="1841"/>
      <c r="Y302" s="1849"/>
      <c r="Z302" s="1850"/>
      <c r="AA302" s="1850"/>
      <c r="AB302" s="1850"/>
      <c r="AC302" s="1850"/>
      <c r="AD302" s="1838"/>
      <c r="AE302" s="1838"/>
      <c r="AF302" s="1838"/>
      <c r="AG302" s="1838"/>
      <c r="AH302" s="476"/>
      <c r="AI302" s="476"/>
      <c r="AJ302" s="476"/>
      <c r="AK302" s="476"/>
      <c r="AL302" s="476"/>
      <c r="AM302" s="476"/>
      <c r="AN302" s="476"/>
      <c r="AO302" s="476"/>
    </row>
    <row r="303" spans="1:41" ht="19.899999999999999" customHeight="1">
      <c r="A303" s="709"/>
      <c r="B303" s="476"/>
      <c r="C303" s="476"/>
      <c r="D303" s="476"/>
      <c r="E303" s="476"/>
      <c r="F303" s="476"/>
      <c r="G303" s="476"/>
      <c r="H303" s="476"/>
      <c r="I303" s="476"/>
      <c r="J303" s="476"/>
      <c r="K303" s="476"/>
      <c r="M303" s="1838"/>
      <c r="N303" s="1838"/>
      <c r="O303" s="1856"/>
      <c r="P303" s="1838"/>
      <c r="Q303" s="1857"/>
      <c r="R303" s="1838"/>
      <c r="S303" s="1838"/>
      <c r="T303" s="1838"/>
      <c r="U303" s="1838"/>
      <c r="V303" s="1838"/>
      <c r="W303" s="1841"/>
      <c r="X303" s="1841"/>
      <c r="Y303" s="1849"/>
      <c r="Z303" s="1850"/>
      <c r="AA303" s="1850"/>
      <c r="AB303" s="1850"/>
      <c r="AC303" s="1850"/>
      <c r="AD303" s="1838"/>
      <c r="AE303" s="1838"/>
      <c r="AF303" s="1838"/>
      <c r="AG303" s="1838"/>
      <c r="AH303" s="476"/>
      <c r="AI303" s="476"/>
      <c r="AJ303" s="476"/>
      <c r="AK303" s="476"/>
      <c r="AL303" s="476"/>
      <c r="AM303" s="476"/>
      <c r="AN303" s="476"/>
      <c r="AO303" s="476"/>
    </row>
    <row r="304" spans="1:41" ht="19.899999999999999" customHeight="1">
      <c r="A304" s="709"/>
      <c r="B304" s="476"/>
      <c r="C304" s="476"/>
      <c r="D304" s="476"/>
      <c r="E304" s="476"/>
      <c r="F304" s="476"/>
      <c r="G304" s="476"/>
      <c r="H304" s="476"/>
      <c r="I304" s="476"/>
      <c r="J304" s="476"/>
      <c r="K304" s="476"/>
      <c r="M304" s="1838"/>
      <c r="N304" s="1838"/>
      <c r="O304" s="1856"/>
      <c r="P304" s="1838"/>
      <c r="Q304" s="1838"/>
      <c r="R304" s="1857"/>
      <c r="S304" s="1858"/>
      <c r="T304" s="1858"/>
      <c r="U304" s="1838"/>
      <c r="V304" s="1838"/>
      <c r="W304" s="1841"/>
      <c r="X304" s="1841"/>
      <c r="Y304" s="1849"/>
      <c r="Z304" s="1850"/>
      <c r="AA304" s="1850"/>
      <c r="AB304" s="1850"/>
      <c r="AC304" s="1850"/>
      <c r="AD304" s="1838"/>
      <c r="AE304" s="1838"/>
      <c r="AF304" s="1838"/>
      <c r="AG304" s="1838"/>
      <c r="AH304" s="476"/>
      <c r="AI304" s="476"/>
      <c r="AJ304" s="476"/>
      <c r="AK304" s="476"/>
      <c r="AL304" s="476"/>
      <c r="AM304" s="476"/>
      <c r="AN304" s="476"/>
      <c r="AO304" s="476"/>
    </row>
    <row r="305" spans="1:41" ht="19.899999999999999" customHeight="1">
      <c r="A305" s="709"/>
      <c r="B305" s="476"/>
      <c r="C305" s="476"/>
      <c r="D305" s="476"/>
      <c r="E305" s="476"/>
      <c r="F305" s="476"/>
      <c r="G305" s="476"/>
      <c r="H305" s="476"/>
      <c r="I305" s="476"/>
      <c r="J305" s="476"/>
      <c r="K305" s="476"/>
      <c r="M305" s="1838"/>
      <c r="N305" s="1838"/>
      <c r="O305" s="1856"/>
      <c r="P305" s="1838"/>
      <c r="Q305" s="1838"/>
      <c r="R305" s="1838"/>
      <c r="S305" s="1853"/>
      <c r="T305" s="1838"/>
      <c r="U305" s="1838"/>
      <c r="V305" s="1838"/>
      <c r="W305" s="1841"/>
      <c r="X305" s="1841"/>
      <c r="Y305" s="1849"/>
      <c r="Z305" s="1850"/>
      <c r="AA305" s="1850"/>
      <c r="AB305" s="1850"/>
      <c r="AC305" s="1850"/>
      <c r="AD305" s="1838"/>
      <c r="AE305" s="1838"/>
      <c r="AF305" s="1838"/>
      <c r="AG305" s="1838"/>
      <c r="AH305" s="476"/>
      <c r="AI305" s="476"/>
      <c r="AJ305" s="476"/>
      <c r="AK305" s="476"/>
      <c r="AL305" s="476"/>
      <c r="AM305" s="476"/>
      <c r="AN305" s="476"/>
      <c r="AO305" s="476"/>
    </row>
    <row r="306" spans="1:41" ht="19.899999999999999" customHeight="1">
      <c r="A306" s="709"/>
      <c r="B306" s="476"/>
      <c r="C306" s="476"/>
      <c r="D306" s="476"/>
      <c r="E306" s="476"/>
      <c r="F306" s="476"/>
      <c r="G306" s="476"/>
      <c r="H306" s="476"/>
      <c r="I306" s="476"/>
      <c r="J306" s="476"/>
      <c r="K306" s="476"/>
      <c r="M306" s="1838"/>
      <c r="N306" s="1838"/>
      <c r="O306" s="1856"/>
      <c r="P306" s="1838"/>
      <c r="Q306" s="1838"/>
      <c r="R306" s="1838"/>
      <c r="S306" s="1859"/>
      <c r="T306" s="1838"/>
      <c r="U306" s="1838"/>
      <c r="V306" s="1838"/>
      <c r="W306" s="1841"/>
      <c r="X306" s="1841"/>
      <c r="Y306" s="1849"/>
      <c r="Z306" s="1850"/>
      <c r="AA306" s="1850"/>
      <c r="AB306" s="1850"/>
      <c r="AC306" s="1850"/>
      <c r="AD306" s="1838"/>
      <c r="AE306" s="1838"/>
      <c r="AF306" s="1838"/>
      <c r="AG306" s="1838"/>
      <c r="AH306" s="476"/>
      <c r="AI306" s="476"/>
      <c r="AJ306" s="484"/>
      <c r="AK306" s="484"/>
      <c r="AL306" s="476"/>
      <c r="AM306" s="476"/>
      <c r="AN306" s="476"/>
      <c r="AO306" s="476"/>
    </row>
    <row r="307" spans="1:41" ht="19.899999999999999" customHeight="1">
      <c r="A307" s="709"/>
      <c r="B307" s="476"/>
      <c r="C307" s="476"/>
      <c r="D307" s="476"/>
      <c r="E307" s="476"/>
      <c r="F307" s="476"/>
      <c r="G307" s="476"/>
      <c r="H307" s="476"/>
      <c r="I307" s="476"/>
      <c r="J307" s="476"/>
      <c r="K307" s="476"/>
      <c r="M307" s="1838"/>
      <c r="N307" s="1838"/>
      <c r="O307" s="1858"/>
      <c r="P307" s="1838"/>
      <c r="Q307" s="1838"/>
      <c r="R307" s="1853"/>
      <c r="S307" s="1853"/>
      <c r="T307" s="1838"/>
      <c r="U307" s="1838"/>
      <c r="V307" s="1838"/>
      <c r="W307" s="1838"/>
      <c r="X307" s="1838"/>
      <c r="Y307" s="1838"/>
      <c r="Z307" s="1838"/>
      <c r="AA307" s="1838"/>
      <c r="AB307" s="1838"/>
      <c r="AC307" s="1838"/>
      <c r="AD307" s="1838"/>
      <c r="AE307" s="1838"/>
      <c r="AF307" s="1838"/>
      <c r="AG307" s="1838"/>
      <c r="AH307" s="476"/>
      <c r="AI307" s="476"/>
      <c r="AJ307" s="484"/>
      <c r="AK307" s="484"/>
      <c r="AL307" s="476"/>
      <c r="AM307" s="476"/>
      <c r="AN307" s="476"/>
      <c r="AO307" s="476"/>
    </row>
    <row r="308" spans="1:41" ht="19.899999999999999" customHeight="1">
      <c r="A308" s="709"/>
      <c r="B308" s="476"/>
      <c r="C308" s="476"/>
      <c r="D308" s="476"/>
      <c r="E308" s="476"/>
      <c r="F308" s="476"/>
      <c r="G308" s="476"/>
      <c r="H308" s="476"/>
      <c r="I308" s="476"/>
      <c r="J308" s="476"/>
      <c r="K308" s="476"/>
      <c r="M308" s="1838"/>
      <c r="N308" s="1838"/>
      <c r="O308" s="1838"/>
      <c r="P308" s="1838"/>
      <c r="Q308" s="1838"/>
      <c r="R308" s="1853"/>
      <c r="S308" s="1851"/>
      <c r="T308" s="1851"/>
      <c r="U308" s="1851"/>
      <c r="V308" s="1851"/>
      <c r="W308" s="1851"/>
      <c r="X308" s="1851"/>
      <c r="Y308" s="1851"/>
      <c r="Z308" s="1851"/>
      <c r="AA308" s="1851"/>
      <c r="AB308" s="1851"/>
      <c r="AC308" s="1851"/>
      <c r="AD308" s="1851"/>
      <c r="AE308" s="1851"/>
      <c r="AF308" s="1851"/>
      <c r="AG308" s="1844"/>
      <c r="AH308" s="476"/>
      <c r="AI308" s="476"/>
      <c r="AJ308" s="484"/>
      <c r="AK308" s="484"/>
      <c r="AL308" s="476"/>
      <c r="AM308" s="476"/>
      <c r="AN308" s="476"/>
      <c r="AO308" s="476"/>
    </row>
    <row r="309" spans="1:41" ht="19.899999999999999" customHeight="1">
      <c r="A309" s="709"/>
      <c r="B309" s="476"/>
      <c r="C309" s="476"/>
      <c r="D309" s="476"/>
      <c r="E309" s="476"/>
      <c r="F309" s="476"/>
      <c r="G309" s="476"/>
      <c r="H309" s="476"/>
      <c r="I309" s="476"/>
      <c r="J309" s="476"/>
      <c r="K309" s="476"/>
      <c r="M309" s="1838"/>
      <c r="N309" s="1838"/>
      <c r="O309" s="1838"/>
      <c r="P309" s="1838"/>
      <c r="Q309" s="1838"/>
      <c r="R309" s="1838"/>
      <c r="S309" s="1860"/>
      <c r="T309" s="1860"/>
      <c r="U309" s="1860"/>
      <c r="V309" s="1860"/>
      <c r="W309" s="1860"/>
      <c r="X309" s="1860"/>
      <c r="Y309" s="1861"/>
      <c r="Z309" s="1861"/>
      <c r="AA309" s="1862"/>
      <c r="AB309" s="1862"/>
      <c r="AC309" s="1863"/>
      <c r="AD309" s="1863"/>
      <c r="AE309" s="1864"/>
      <c r="AF309" s="1864"/>
      <c r="AG309" s="1838"/>
      <c r="AH309" s="476"/>
      <c r="AI309" s="476"/>
      <c r="AJ309" s="484"/>
      <c r="AK309" s="484"/>
      <c r="AL309" s="476"/>
      <c r="AM309" s="476"/>
      <c r="AN309" s="476"/>
      <c r="AO309" s="476"/>
    </row>
    <row r="310" spans="1:41" ht="19.899999999999999" customHeight="1">
      <c r="A310" s="709"/>
      <c r="B310" s="476"/>
      <c r="C310" s="476"/>
      <c r="D310" s="476"/>
      <c r="E310" s="476"/>
      <c r="F310" s="476"/>
      <c r="G310" s="476"/>
      <c r="H310" s="476"/>
      <c r="I310" s="476"/>
      <c r="J310" s="476"/>
      <c r="K310" s="476"/>
      <c r="M310" s="1844"/>
      <c r="N310" s="1838"/>
      <c r="O310" s="1838"/>
      <c r="P310" s="1838"/>
      <c r="Q310" s="1838"/>
      <c r="R310" s="1838"/>
      <c r="S310" s="1838"/>
      <c r="T310" s="1838"/>
      <c r="U310" s="1838"/>
      <c r="V310" s="1838"/>
      <c r="W310" s="1838"/>
      <c r="X310" s="1838"/>
      <c r="Y310" s="1838"/>
      <c r="Z310" s="1838"/>
      <c r="AA310" s="1838"/>
      <c r="AB310" s="1838"/>
      <c r="AC310" s="1838"/>
      <c r="AD310" s="1838"/>
      <c r="AE310" s="1838"/>
      <c r="AF310" s="1838"/>
      <c r="AG310" s="1838"/>
      <c r="AH310" s="476"/>
      <c r="AI310" s="476"/>
      <c r="AJ310" s="484"/>
      <c r="AK310" s="484"/>
      <c r="AL310" s="476"/>
      <c r="AM310" s="476"/>
      <c r="AN310" s="476"/>
      <c r="AO310" s="476"/>
    </row>
    <row r="311" spans="1:41" ht="19.899999999999999" customHeight="1">
      <c r="A311" s="709"/>
      <c r="B311" s="476"/>
      <c r="C311" s="476"/>
      <c r="D311" s="476"/>
      <c r="E311" s="476"/>
      <c r="F311" s="476"/>
      <c r="G311" s="476"/>
      <c r="H311" s="476"/>
      <c r="I311" s="476"/>
      <c r="J311" s="476"/>
      <c r="K311" s="476"/>
      <c r="M311" s="1844"/>
      <c r="N311" s="1838"/>
      <c r="O311" s="1838"/>
      <c r="P311" s="1838"/>
      <c r="Q311" s="1838"/>
      <c r="R311" s="1838"/>
      <c r="S311" s="1838"/>
      <c r="T311" s="1838"/>
      <c r="U311" s="1838"/>
      <c r="V311" s="1838"/>
      <c r="W311" s="1838"/>
      <c r="X311" s="1838"/>
      <c r="Y311" s="1838"/>
      <c r="Z311" s="1838"/>
      <c r="AA311" s="1838"/>
      <c r="AB311" s="1838"/>
      <c r="AC311" s="1838"/>
      <c r="AD311" s="1838"/>
      <c r="AE311" s="1838"/>
      <c r="AF311" s="1838"/>
      <c r="AG311" s="1838"/>
      <c r="AH311" s="476"/>
      <c r="AI311" s="476"/>
      <c r="AJ311" s="484"/>
      <c r="AK311" s="484"/>
      <c r="AL311" s="476"/>
      <c r="AM311" s="476"/>
      <c r="AN311" s="476"/>
      <c r="AO311" s="476"/>
    </row>
    <row r="312" spans="1:41" ht="19.899999999999999" customHeight="1">
      <c r="A312" s="709"/>
      <c r="B312" s="476"/>
      <c r="C312" s="476"/>
      <c r="D312" s="476"/>
      <c r="E312" s="476"/>
      <c r="F312" s="476"/>
      <c r="G312" s="476"/>
      <c r="H312" s="476"/>
      <c r="I312" s="476"/>
      <c r="J312" s="476"/>
      <c r="K312" s="476"/>
      <c r="M312" s="1844"/>
      <c r="N312" s="1838"/>
      <c r="O312" s="1838"/>
      <c r="P312" s="1858"/>
      <c r="Q312" s="1838"/>
      <c r="R312" s="1838"/>
      <c r="S312" s="1838"/>
      <c r="T312" s="1838"/>
      <c r="U312" s="1838"/>
      <c r="V312" s="1838"/>
      <c r="W312" s="1838"/>
      <c r="X312" s="1838"/>
      <c r="Y312" s="1865"/>
      <c r="Z312" s="1838"/>
      <c r="AA312" s="1865"/>
      <c r="AB312" s="1838"/>
      <c r="AC312" s="1865"/>
      <c r="AD312" s="1838"/>
      <c r="AE312" s="1865"/>
      <c r="AF312" s="1838"/>
      <c r="AG312" s="1838"/>
      <c r="AH312" s="476"/>
      <c r="AI312" s="476"/>
      <c r="AJ312" s="484"/>
      <c r="AK312" s="484"/>
      <c r="AL312" s="476"/>
      <c r="AM312" s="476"/>
      <c r="AN312" s="476"/>
      <c r="AO312" s="476"/>
    </row>
    <row r="313" spans="1:41" ht="19.899999999999999" customHeight="1">
      <c r="A313" s="709"/>
      <c r="B313" s="476"/>
      <c r="C313" s="476"/>
      <c r="D313" s="476"/>
      <c r="E313" s="476"/>
      <c r="F313" s="476"/>
      <c r="G313" s="476"/>
      <c r="H313" s="476"/>
      <c r="I313" s="476"/>
      <c r="J313" s="476"/>
      <c r="K313" s="476"/>
      <c r="M313" s="1851"/>
      <c r="N313" s="1838"/>
      <c r="O313" s="1838"/>
      <c r="P313" s="1838"/>
      <c r="Q313" s="1838"/>
      <c r="R313" s="1838"/>
      <c r="S313" s="1838"/>
      <c r="T313" s="1838"/>
      <c r="U313" s="1838"/>
      <c r="V313" s="1838"/>
      <c r="W313" s="1838"/>
      <c r="X313" s="1838"/>
      <c r="Y313" s="1865"/>
      <c r="Z313" s="1838"/>
      <c r="AA313" s="1865"/>
      <c r="AB313" s="1841"/>
      <c r="AC313" s="1866"/>
      <c r="AD313" s="1841"/>
      <c r="AE313" s="1866"/>
      <c r="AF313" s="1841"/>
      <c r="AG313" s="1838"/>
      <c r="AH313" s="476"/>
      <c r="AI313" s="476"/>
      <c r="AJ313" s="476"/>
      <c r="AK313" s="484"/>
      <c r="AL313" s="476"/>
      <c r="AM313" s="476"/>
      <c r="AN313" s="476"/>
      <c r="AO313" s="476"/>
    </row>
    <row r="314" spans="1:41" ht="19.899999999999999" customHeight="1">
      <c r="A314" s="709"/>
      <c r="B314" s="476"/>
      <c r="C314" s="476"/>
      <c r="D314" s="476"/>
      <c r="E314" s="476"/>
      <c r="F314" s="476"/>
      <c r="G314" s="476"/>
      <c r="H314" s="476"/>
      <c r="I314" s="476"/>
      <c r="J314" s="476"/>
      <c r="K314" s="476"/>
      <c r="M314" s="1851"/>
      <c r="N314" s="1838"/>
      <c r="O314" s="1867"/>
      <c r="P314" s="1868"/>
      <c r="Q314" s="1838"/>
      <c r="R314" s="1868"/>
      <c r="S314" s="1838"/>
      <c r="T314" s="1838"/>
      <c r="U314" s="1838"/>
      <c r="V314" s="1838"/>
      <c r="W314" s="1838"/>
      <c r="X314" s="1838"/>
      <c r="Y314" s="1865"/>
      <c r="Z314" s="1838"/>
      <c r="AA314" s="1865"/>
      <c r="AB314" s="1838"/>
      <c r="AC314" s="1865"/>
      <c r="AD314" s="1838"/>
      <c r="AE314" s="1865"/>
      <c r="AF314" s="1838"/>
      <c r="AG314" s="1838"/>
      <c r="AH314" s="476"/>
      <c r="AI314" s="476"/>
      <c r="AJ314" s="476"/>
      <c r="AK314" s="484"/>
      <c r="AL314" s="476"/>
      <c r="AM314" s="476"/>
      <c r="AN314" s="476"/>
      <c r="AO314" s="476"/>
    </row>
    <row r="315" spans="1:41" ht="19.899999999999999" customHeight="1">
      <c r="A315" s="709"/>
      <c r="B315" s="476"/>
      <c r="C315" s="476"/>
      <c r="D315" s="476"/>
      <c r="E315" s="476"/>
      <c r="F315" s="476"/>
      <c r="G315" s="476"/>
      <c r="H315" s="476"/>
      <c r="I315" s="476"/>
      <c r="J315" s="476"/>
      <c r="K315" s="476"/>
      <c r="M315" s="1844"/>
      <c r="N315" s="1868"/>
      <c r="O315" s="1868"/>
      <c r="P315" s="1868"/>
      <c r="Q315" s="1868"/>
      <c r="R315" s="1868"/>
      <c r="S315" s="1868"/>
      <c r="T315" s="1868"/>
      <c r="U315" s="1868"/>
      <c r="V315" s="1868"/>
      <c r="W315" s="1868"/>
      <c r="X315" s="1868"/>
      <c r="Y315" s="1867"/>
      <c r="Z315" s="1867"/>
      <c r="AA315" s="1867"/>
      <c r="AB315" s="1867"/>
      <c r="AC315" s="1867"/>
      <c r="AD315" s="1867"/>
      <c r="AE315" s="1867"/>
      <c r="AF315" s="1867"/>
      <c r="AG315" s="1838"/>
      <c r="AH315" s="476"/>
      <c r="AI315" s="476"/>
      <c r="AJ315" s="476"/>
      <c r="AK315" s="476"/>
      <c r="AL315" s="476"/>
      <c r="AM315" s="476"/>
      <c r="AN315" s="476"/>
      <c r="AO315" s="476"/>
    </row>
    <row r="316" spans="1:41" ht="19.899999999999999" customHeight="1">
      <c r="A316" s="709"/>
      <c r="B316" s="476"/>
      <c r="C316" s="476"/>
      <c r="D316" s="476"/>
      <c r="E316" s="476"/>
      <c r="F316" s="476"/>
      <c r="G316" s="476"/>
      <c r="H316" s="476"/>
      <c r="I316" s="476"/>
      <c r="J316" s="476"/>
      <c r="K316" s="476"/>
      <c r="M316" s="1838"/>
      <c r="N316" s="1838"/>
      <c r="O316" s="1838"/>
      <c r="P316" s="1838"/>
      <c r="Q316" s="1838"/>
      <c r="R316" s="1838"/>
      <c r="S316" s="1838"/>
      <c r="T316" s="1838"/>
      <c r="U316" s="1838"/>
      <c r="V316" s="1838"/>
      <c r="W316" s="1838"/>
      <c r="X316" s="1838"/>
      <c r="Y316" s="1838"/>
      <c r="Z316" s="1838"/>
      <c r="AA316" s="1838"/>
      <c r="AB316" s="1838"/>
      <c r="AC316" s="1838"/>
      <c r="AD316" s="1838"/>
      <c r="AE316" s="1838"/>
      <c r="AF316" s="1838"/>
      <c r="AG316" s="1838"/>
      <c r="AH316" s="476"/>
      <c r="AI316" s="476"/>
      <c r="AJ316" s="476"/>
      <c r="AK316" s="476"/>
      <c r="AL316" s="476"/>
      <c r="AM316" s="476"/>
      <c r="AN316" s="476"/>
      <c r="AO316" s="476"/>
    </row>
    <row r="317" spans="1:41" ht="19.899999999999999" customHeight="1">
      <c r="A317" s="709"/>
      <c r="B317" s="476"/>
      <c r="C317" s="476"/>
      <c r="D317" s="476"/>
      <c r="E317" s="476"/>
      <c r="F317" s="476"/>
      <c r="G317" s="476"/>
      <c r="H317" s="476"/>
      <c r="I317" s="476"/>
      <c r="J317" s="476"/>
      <c r="K317" s="476"/>
      <c r="M317" s="1840"/>
      <c r="N317" s="1840"/>
      <c r="O317" s="1840"/>
      <c r="P317" s="1840"/>
      <c r="Q317" s="1840"/>
      <c r="R317" s="1840"/>
      <c r="S317" s="1840"/>
      <c r="T317" s="1838"/>
      <c r="U317" s="1840"/>
      <c r="V317" s="1869"/>
      <c r="W317" s="1869"/>
      <c r="X317" s="1870"/>
      <c r="Y317" s="1870"/>
      <c r="Z317" s="1870"/>
      <c r="AA317" s="1870"/>
      <c r="AB317" s="1841"/>
      <c r="AC317" s="1841"/>
      <c r="AD317" s="1838"/>
      <c r="AE317" s="1838"/>
      <c r="AF317" s="1838"/>
      <c r="AG317" s="1838"/>
      <c r="AH317" s="476"/>
      <c r="AI317" s="476"/>
      <c r="AJ317" s="484"/>
      <c r="AK317" s="484"/>
      <c r="AL317" s="476"/>
      <c r="AM317" s="476"/>
      <c r="AN317" s="476"/>
      <c r="AO317" s="476"/>
    </row>
    <row r="318" spans="1:41" ht="19.899999999999999" customHeight="1">
      <c r="A318" s="709"/>
      <c r="B318" s="476"/>
      <c r="C318" s="476"/>
      <c r="D318" s="476"/>
      <c r="E318" s="476"/>
      <c r="F318" s="476"/>
      <c r="G318" s="476"/>
      <c r="H318" s="476"/>
      <c r="I318" s="476"/>
      <c r="J318" s="476"/>
      <c r="K318" s="476"/>
      <c r="M318" s="1871"/>
      <c r="N318" s="1871"/>
      <c r="O318" s="1871"/>
      <c r="P318" s="1871"/>
      <c r="Q318" s="1871"/>
      <c r="R318" s="1872"/>
      <c r="S318" s="1871"/>
      <c r="T318" s="1871"/>
      <c r="U318" s="1871"/>
      <c r="V318" s="1871"/>
      <c r="W318" s="1871"/>
      <c r="X318" s="1871"/>
      <c r="Y318" s="1871"/>
      <c r="Z318" s="1871"/>
      <c r="AA318" s="1871"/>
      <c r="AB318" s="1841"/>
      <c r="AC318" s="1841"/>
      <c r="AD318" s="1838"/>
      <c r="AE318" s="1838"/>
      <c r="AF318" s="1838"/>
      <c r="AG318" s="1838"/>
      <c r="AH318" s="476"/>
      <c r="AI318" s="21"/>
      <c r="AJ318" s="484"/>
      <c r="AK318" s="484"/>
      <c r="AL318" s="476"/>
      <c r="AM318" s="476"/>
      <c r="AN318" s="476"/>
      <c r="AO318" s="476"/>
    </row>
    <row r="319" spans="1:41" ht="19.899999999999999" customHeight="1">
      <c r="A319" s="709"/>
      <c r="B319" s="476"/>
      <c r="C319" s="476"/>
      <c r="D319" s="476"/>
      <c r="E319" s="476"/>
      <c r="F319" s="476"/>
      <c r="G319" s="476"/>
      <c r="H319" s="476"/>
      <c r="I319" s="476"/>
      <c r="J319" s="476"/>
      <c r="K319" s="476"/>
      <c r="M319" s="1871"/>
      <c r="N319" s="1873"/>
      <c r="O319" s="1873"/>
      <c r="P319" s="1873"/>
      <c r="Q319" s="1873"/>
      <c r="R319" s="1873"/>
      <c r="S319" s="1874"/>
      <c r="T319" s="1871"/>
      <c r="U319" s="1875"/>
      <c r="V319" s="1871"/>
      <c r="W319" s="1876"/>
      <c r="X319" s="1871"/>
      <c r="Y319" s="1873"/>
      <c r="Z319" s="1873"/>
      <c r="AA319" s="1873"/>
      <c r="AB319" s="1841"/>
      <c r="AC319" s="1841"/>
      <c r="AD319" s="1841"/>
      <c r="AE319" s="1841"/>
      <c r="AF319" s="1838"/>
      <c r="AG319" s="1838"/>
      <c r="AH319" s="476"/>
      <c r="AI319" s="21"/>
      <c r="AJ319" s="476"/>
      <c r="AK319" s="484"/>
      <c r="AL319" s="476"/>
      <c r="AM319" s="476"/>
      <c r="AN319" s="476"/>
      <c r="AO319" s="476"/>
    </row>
    <row r="320" spans="1:41" ht="19.899999999999999" customHeight="1">
      <c r="A320" s="709"/>
      <c r="B320" s="476"/>
      <c r="C320" s="476"/>
      <c r="D320" s="476"/>
      <c r="E320" s="476"/>
      <c r="F320" s="476"/>
      <c r="G320" s="476"/>
      <c r="H320" s="476"/>
      <c r="I320" s="476"/>
      <c r="J320" s="476"/>
      <c r="K320" s="476"/>
      <c r="M320" s="1871"/>
      <c r="N320" s="1871"/>
      <c r="O320" s="1873"/>
      <c r="P320" s="1873"/>
      <c r="Q320" s="1873"/>
      <c r="R320" s="1871"/>
      <c r="S320" s="1874"/>
      <c r="T320" s="1871"/>
      <c r="U320" s="1875"/>
      <c r="V320" s="1871"/>
      <c r="W320" s="1876"/>
      <c r="X320" s="1871"/>
      <c r="Y320" s="1873"/>
      <c r="Z320" s="1873"/>
      <c r="AA320" s="1873"/>
      <c r="AB320" s="1841"/>
      <c r="AC320" s="1841"/>
      <c r="AD320" s="1841"/>
      <c r="AE320" s="1841"/>
      <c r="AF320" s="1838"/>
      <c r="AG320" s="1838"/>
      <c r="AH320" s="476"/>
      <c r="AI320" s="21"/>
      <c r="AJ320" s="476"/>
      <c r="AK320" s="476"/>
      <c r="AL320" s="476"/>
      <c r="AM320" s="476"/>
      <c r="AN320" s="476"/>
      <c r="AO320" s="476"/>
    </row>
    <row r="321" spans="1:41" ht="19.899999999999999" customHeight="1">
      <c r="A321" s="709"/>
      <c r="B321" s="476"/>
      <c r="C321" s="476"/>
      <c r="D321" s="476"/>
      <c r="E321" s="476"/>
      <c r="F321" s="476"/>
      <c r="G321" s="476"/>
      <c r="H321" s="476"/>
      <c r="I321" s="476"/>
      <c r="J321" s="476"/>
      <c r="K321" s="476"/>
      <c r="M321" s="1871"/>
      <c r="N321" s="1871"/>
      <c r="O321" s="1871"/>
      <c r="P321" s="1871"/>
      <c r="Q321" s="1871"/>
      <c r="R321" s="1871"/>
      <c r="S321" s="1874"/>
      <c r="T321" s="1871"/>
      <c r="U321" s="1875"/>
      <c r="V321" s="1877"/>
      <c r="W321" s="1878"/>
      <c r="X321" s="1879"/>
      <c r="Y321" s="1880"/>
      <c r="Z321" s="1881"/>
      <c r="AA321" s="1841"/>
      <c r="AB321" s="1841"/>
      <c r="AC321" s="1841"/>
      <c r="AD321" s="1841"/>
      <c r="AE321" s="1841"/>
      <c r="AF321" s="1838"/>
      <c r="AG321" s="1838"/>
      <c r="AH321" s="476"/>
      <c r="AI321" s="21"/>
      <c r="AJ321" s="476"/>
      <c r="AK321" s="476"/>
      <c r="AL321" s="476"/>
      <c r="AM321" s="476"/>
      <c r="AN321" s="476"/>
      <c r="AO321" s="476"/>
    </row>
    <row r="322" spans="1:41" ht="19.899999999999999" customHeight="1">
      <c r="A322" s="709"/>
      <c r="B322" s="476"/>
      <c r="C322" s="476"/>
      <c r="D322" s="476"/>
      <c r="E322" s="476"/>
      <c r="F322" s="476"/>
      <c r="G322" s="476"/>
      <c r="H322" s="476"/>
      <c r="I322" s="476"/>
      <c r="J322" s="476"/>
      <c r="K322" s="476"/>
      <c r="M322" s="1871"/>
      <c r="N322" s="1871"/>
      <c r="O322" s="1871"/>
      <c r="P322" s="1871"/>
      <c r="Q322" s="1871"/>
      <c r="R322" s="1873"/>
      <c r="S322" s="1874"/>
      <c r="T322" s="1871"/>
      <c r="U322" s="1875"/>
      <c r="V322" s="1877"/>
      <c r="W322" s="1878"/>
      <c r="X322" s="1879"/>
      <c r="Y322" s="1880"/>
      <c r="Z322" s="1881"/>
      <c r="AA322" s="1841"/>
      <c r="AB322" s="1841"/>
      <c r="AC322" s="1841"/>
      <c r="AD322" s="1841"/>
      <c r="AE322" s="1841"/>
      <c r="AF322" s="1838"/>
      <c r="AG322" s="1838"/>
      <c r="AH322" s="476"/>
      <c r="AI322" s="21"/>
      <c r="AJ322" s="476"/>
      <c r="AK322" s="476"/>
      <c r="AL322" s="476"/>
      <c r="AM322" s="476"/>
      <c r="AN322" s="476"/>
      <c r="AO322" s="476"/>
    </row>
    <row r="323" spans="1:41" ht="19.899999999999999" customHeight="1">
      <c r="A323" s="709"/>
      <c r="B323" s="476"/>
      <c r="C323" s="476"/>
      <c r="D323" s="476"/>
      <c r="E323" s="476"/>
      <c r="F323" s="476"/>
      <c r="G323" s="476"/>
      <c r="H323" s="476"/>
      <c r="I323" s="476"/>
      <c r="J323" s="476"/>
      <c r="K323" s="476"/>
      <c r="M323" s="1882"/>
      <c r="N323" s="1882"/>
      <c r="O323" s="1882"/>
      <c r="P323" s="1882"/>
      <c r="Q323" s="1882"/>
      <c r="R323" s="1882"/>
      <c r="S323" s="1883"/>
      <c r="T323" s="1871"/>
      <c r="U323" s="1875"/>
      <c r="V323" s="1871"/>
      <c r="W323" s="1876"/>
      <c r="X323" s="1871"/>
      <c r="Y323" s="1873"/>
      <c r="Z323" s="1873"/>
      <c r="AA323" s="1873"/>
      <c r="AB323" s="1841"/>
      <c r="AC323" s="1841"/>
      <c r="AD323" s="1841"/>
      <c r="AE323" s="1841"/>
      <c r="AF323" s="1838"/>
      <c r="AG323" s="1838"/>
      <c r="AH323" s="476"/>
      <c r="AI323" s="21"/>
      <c r="AJ323" s="476"/>
      <c r="AK323" s="476"/>
      <c r="AL323" s="476"/>
      <c r="AM323" s="476"/>
      <c r="AN323" s="476"/>
      <c r="AO323" s="476"/>
    </row>
    <row r="324" spans="1:41" ht="19.899999999999999" customHeight="1">
      <c r="A324" s="709"/>
      <c r="B324" s="476"/>
      <c r="C324" s="476"/>
      <c r="D324" s="476"/>
      <c r="E324" s="476"/>
      <c r="F324" s="476"/>
      <c r="G324" s="476"/>
      <c r="H324" s="476"/>
      <c r="I324" s="476"/>
      <c r="J324" s="476"/>
      <c r="K324" s="476"/>
      <c r="M324" s="1884"/>
      <c r="N324" s="1873"/>
      <c r="O324" s="1871"/>
      <c r="P324" s="1871"/>
      <c r="Q324" s="1871"/>
      <c r="R324" s="1871"/>
      <c r="S324" s="1885"/>
      <c r="T324" s="1871"/>
      <c r="U324" s="1875"/>
      <c r="V324" s="1886"/>
      <c r="W324" s="1887"/>
      <c r="X324" s="1888"/>
      <c r="Y324" s="1889"/>
      <c r="Z324" s="1881"/>
      <c r="AA324" s="1841"/>
      <c r="AB324" s="1890"/>
      <c r="AC324" s="1890"/>
      <c r="AD324" s="1838"/>
      <c r="AE324" s="1838"/>
      <c r="AF324" s="1838"/>
      <c r="AG324" s="1838"/>
      <c r="AH324" s="476"/>
      <c r="AI324" s="21"/>
      <c r="AJ324" s="484"/>
      <c r="AK324" s="484"/>
      <c r="AL324" s="476"/>
      <c r="AM324" s="476"/>
      <c r="AN324" s="476"/>
      <c r="AO324" s="476"/>
    </row>
    <row r="325" spans="1:41" ht="19.899999999999999" customHeight="1">
      <c r="A325" s="709"/>
      <c r="B325" s="476"/>
      <c r="C325" s="476"/>
      <c r="D325" s="476"/>
      <c r="E325" s="476"/>
      <c r="F325" s="476"/>
      <c r="G325" s="476"/>
      <c r="H325" s="476"/>
      <c r="I325" s="476"/>
      <c r="J325" s="476"/>
      <c r="K325" s="476"/>
      <c r="M325" s="1891"/>
      <c r="N325" s="1871"/>
      <c r="O325" s="1871"/>
      <c r="P325" s="1871"/>
      <c r="Q325" s="1871"/>
      <c r="R325" s="1892"/>
      <c r="S325" s="1893"/>
      <c r="T325" s="1871"/>
      <c r="U325" s="1875"/>
      <c r="V325" s="1888"/>
      <c r="W325" s="1887"/>
      <c r="X325" s="1888"/>
      <c r="Y325" s="1889"/>
      <c r="Z325" s="1881"/>
      <c r="AA325" s="1841"/>
      <c r="AB325" s="1890"/>
      <c r="AC325" s="1890"/>
      <c r="AD325" s="1838"/>
      <c r="AE325" s="1838"/>
      <c r="AF325" s="1838"/>
      <c r="AG325" s="1838"/>
      <c r="AH325" s="476"/>
      <c r="AI325" s="21"/>
      <c r="AJ325" s="484"/>
      <c r="AK325" s="476"/>
      <c r="AL325" s="476"/>
      <c r="AM325" s="484"/>
      <c r="AN325" s="476"/>
      <c r="AO325" s="476"/>
    </row>
    <row r="326" spans="1:41" ht="19.899999999999999" customHeight="1">
      <c r="A326" s="709"/>
      <c r="B326" s="476"/>
      <c r="C326" s="476"/>
      <c r="D326" s="476"/>
      <c r="E326" s="476"/>
      <c r="F326" s="476"/>
      <c r="G326" s="476"/>
      <c r="H326" s="476"/>
      <c r="I326" s="476"/>
      <c r="J326" s="476"/>
      <c r="K326" s="476"/>
      <c r="M326" s="1894"/>
      <c r="N326" s="1871"/>
      <c r="O326" s="1871"/>
      <c r="P326" s="1871"/>
      <c r="Q326" s="1871"/>
      <c r="R326" s="1871"/>
      <c r="S326" s="1895"/>
      <c r="T326" s="1871"/>
      <c r="U326" s="1875"/>
      <c r="V326" s="1838"/>
      <c r="W326" s="1876"/>
      <c r="X326" s="1838"/>
      <c r="Y326" s="1873"/>
      <c r="Z326" s="1881"/>
      <c r="AA326" s="1841"/>
      <c r="AB326" s="1896"/>
      <c r="AC326" s="1896"/>
      <c r="AD326" s="1838"/>
      <c r="AE326" s="1838"/>
      <c r="AF326" s="1838"/>
      <c r="AG326" s="1838"/>
      <c r="AH326" s="476"/>
      <c r="AI326" s="21"/>
      <c r="AJ326" s="484"/>
      <c r="AK326" s="476"/>
      <c r="AL326" s="476"/>
      <c r="AM326" s="484"/>
      <c r="AN326" s="476"/>
      <c r="AO326" s="476"/>
    </row>
    <row r="327" spans="1:41" ht="19.899999999999999" customHeight="1">
      <c r="A327" s="709"/>
      <c r="B327" s="476"/>
      <c r="C327" s="476"/>
      <c r="D327" s="476"/>
      <c r="E327" s="476"/>
      <c r="F327" s="476"/>
      <c r="G327" s="476"/>
      <c r="H327" s="476"/>
      <c r="I327" s="476"/>
      <c r="J327" s="476"/>
      <c r="K327" s="476"/>
      <c r="M327" s="1894"/>
      <c r="N327" s="1873"/>
      <c r="O327" s="1873"/>
      <c r="P327" s="1871"/>
      <c r="Q327" s="1871"/>
      <c r="R327" s="1871"/>
      <c r="S327" s="1895"/>
      <c r="T327" s="1871"/>
      <c r="U327" s="1875"/>
      <c r="V327" s="1838"/>
      <c r="W327" s="1876"/>
      <c r="X327" s="1871"/>
      <c r="Y327" s="1873"/>
      <c r="Z327" s="1841"/>
      <c r="AA327" s="1841"/>
      <c r="AB327" s="1896"/>
      <c r="AC327" s="1838"/>
      <c r="AD327" s="1838"/>
      <c r="AE327" s="1838"/>
      <c r="AF327" s="1838"/>
      <c r="AG327" s="1838"/>
      <c r="AH327" s="476"/>
      <c r="AI327" s="476"/>
      <c r="AJ327" s="484"/>
      <c r="AK327" s="476"/>
      <c r="AL327" s="490"/>
      <c r="AM327" s="476"/>
      <c r="AN327" s="476"/>
      <c r="AO327" s="484"/>
    </row>
    <row r="328" spans="1:41" ht="19.899999999999999" customHeight="1">
      <c r="A328" s="709"/>
      <c r="B328" s="476"/>
      <c r="C328" s="476"/>
      <c r="D328" s="476"/>
      <c r="E328" s="476"/>
      <c r="F328" s="476"/>
      <c r="G328" s="476"/>
      <c r="H328" s="476"/>
      <c r="I328" s="476"/>
      <c r="J328" s="476"/>
      <c r="K328" s="476"/>
      <c r="M328" s="1894"/>
      <c r="N328" s="1871"/>
      <c r="O328" s="1871"/>
      <c r="P328" s="1871"/>
      <c r="Q328" s="1871"/>
      <c r="R328" s="1871"/>
      <c r="S328" s="1895"/>
      <c r="T328" s="1871"/>
      <c r="U328" s="1875"/>
      <c r="V328" s="1838"/>
      <c r="W328" s="1868"/>
      <c r="X328" s="1871"/>
      <c r="Y328" s="1873"/>
      <c r="Z328" s="1881"/>
      <c r="AA328" s="1841"/>
      <c r="AB328" s="1896"/>
      <c r="AC328" s="1897"/>
      <c r="AD328" s="1838"/>
      <c r="AE328" s="1838"/>
      <c r="AF328" s="1838"/>
      <c r="AG328" s="1838"/>
      <c r="AH328" s="476"/>
      <c r="AI328" s="476"/>
      <c r="AJ328" s="484"/>
      <c r="AK328" s="476"/>
      <c r="AL328" s="654"/>
      <c r="AM328" s="476"/>
      <c r="AN328" s="476"/>
      <c r="AO328" s="476"/>
    </row>
    <row r="329" spans="1:41" ht="19.899999999999999" customHeight="1">
      <c r="A329" s="709"/>
      <c r="B329" s="476"/>
      <c r="C329" s="476"/>
      <c r="D329" s="476"/>
      <c r="E329" s="476"/>
      <c r="F329" s="476"/>
      <c r="G329" s="476"/>
      <c r="H329" s="476"/>
      <c r="I329" s="476"/>
      <c r="J329" s="476"/>
      <c r="K329" s="476"/>
      <c r="M329" s="1894"/>
      <c r="N329" s="1871"/>
      <c r="O329" s="1871"/>
      <c r="P329" s="1871"/>
      <c r="Q329" s="1871"/>
      <c r="R329" s="1871"/>
      <c r="S329" s="1895"/>
      <c r="T329" s="1871"/>
      <c r="U329" s="1875"/>
      <c r="V329" s="1838"/>
      <c r="W329" s="1868"/>
      <c r="X329" s="1871"/>
      <c r="Y329" s="1873"/>
      <c r="Z329" s="1881"/>
      <c r="AA329" s="1841"/>
      <c r="AB329" s="1896"/>
      <c r="AC329" s="1897"/>
      <c r="AD329" s="1838"/>
      <c r="AE329" s="1838"/>
      <c r="AF329" s="1838"/>
      <c r="AG329" s="1838"/>
      <c r="AH329" s="476"/>
      <c r="AI329" s="476"/>
      <c r="AJ329" s="484"/>
      <c r="AK329" s="476"/>
      <c r="AL329" s="654"/>
      <c r="AM329" s="476"/>
      <c r="AN329" s="476"/>
      <c r="AO329" s="476"/>
    </row>
    <row r="330" spans="1:41" ht="19.899999999999999" customHeight="1">
      <c r="A330" s="709"/>
      <c r="B330" s="476"/>
      <c r="C330" s="476"/>
      <c r="D330" s="476"/>
      <c r="E330" s="476"/>
      <c r="F330" s="476"/>
      <c r="G330" s="476"/>
      <c r="H330" s="476"/>
      <c r="I330" s="476"/>
      <c r="J330" s="476"/>
      <c r="K330" s="476"/>
      <c r="M330" s="1844"/>
      <c r="N330" s="1841"/>
      <c r="O330" s="1841"/>
      <c r="P330" s="1841"/>
      <c r="Q330" s="1841"/>
      <c r="R330" s="1841"/>
      <c r="S330" s="1896"/>
      <c r="T330" s="1871"/>
      <c r="U330" s="1875"/>
      <c r="V330" s="1871"/>
      <c r="W330" s="1876"/>
      <c r="X330" s="1871"/>
      <c r="Y330" s="1873"/>
      <c r="Z330" s="1841"/>
      <c r="AA330" s="1838"/>
      <c r="AB330" s="1890"/>
      <c r="AC330" s="1890"/>
      <c r="AD330" s="1838"/>
      <c r="AE330" s="1838"/>
      <c r="AF330" s="1838"/>
      <c r="AG330" s="1838"/>
      <c r="AH330" s="476"/>
      <c r="AI330" s="476"/>
      <c r="AJ330" s="476"/>
      <c r="AK330" s="476"/>
      <c r="AL330" s="476"/>
      <c r="AM330" s="476"/>
      <c r="AN330" s="476"/>
      <c r="AO330" s="476"/>
    </row>
    <row r="331" spans="1:41" ht="19.899999999999999" customHeight="1">
      <c r="A331" s="709"/>
      <c r="B331" s="476"/>
      <c r="C331" s="476"/>
      <c r="D331" s="476"/>
      <c r="E331" s="476"/>
      <c r="F331" s="476"/>
      <c r="G331" s="476"/>
      <c r="H331" s="476"/>
      <c r="I331" s="476"/>
      <c r="J331" s="476"/>
      <c r="K331" s="476"/>
      <c r="M331" s="1841"/>
      <c r="N331" s="1871"/>
      <c r="O331" s="1871"/>
      <c r="P331" s="1871"/>
      <c r="Q331" s="1871"/>
      <c r="R331" s="1871"/>
      <c r="S331" s="1896"/>
      <c r="T331" s="1871"/>
      <c r="U331" s="1875"/>
      <c r="V331" s="1886"/>
      <c r="W331" s="1887"/>
      <c r="X331" s="1888"/>
      <c r="Y331" s="1889"/>
      <c r="Z331" s="1881"/>
      <c r="AA331" s="1841"/>
      <c r="AB331" s="1890"/>
      <c r="AC331" s="1890"/>
      <c r="AD331" s="1838"/>
      <c r="AE331" s="1838"/>
      <c r="AF331" s="1838"/>
      <c r="AG331" s="1838"/>
      <c r="AH331" s="476"/>
      <c r="AI331" s="476"/>
      <c r="AJ331" s="476"/>
      <c r="AK331" s="476"/>
      <c r="AL331" s="476"/>
      <c r="AM331" s="476"/>
      <c r="AN331" s="476"/>
      <c r="AO331" s="476"/>
    </row>
    <row r="332" spans="1:41" ht="19.899999999999999" customHeight="1">
      <c r="A332" s="709"/>
      <c r="B332" s="476"/>
      <c r="C332" s="476"/>
      <c r="D332" s="476"/>
      <c r="E332" s="476"/>
      <c r="F332" s="476"/>
      <c r="G332" s="476"/>
      <c r="H332" s="476"/>
      <c r="I332" s="476"/>
      <c r="J332" s="476"/>
      <c r="K332" s="476"/>
      <c r="M332" s="1871"/>
      <c r="N332" s="1898"/>
      <c r="O332" s="1899"/>
      <c r="P332" s="1852"/>
      <c r="Q332" s="1852"/>
      <c r="R332" s="1852"/>
      <c r="S332" s="1841"/>
      <c r="T332" s="1871"/>
      <c r="U332" s="1875"/>
      <c r="V332" s="1888"/>
      <c r="W332" s="1887"/>
      <c r="X332" s="1888"/>
      <c r="Y332" s="1889"/>
      <c r="Z332" s="1881"/>
      <c r="AA332" s="1841"/>
      <c r="AB332" s="1890"/>
      <c r="AC332" s="1890"/>
      <c r="AD332" s="1838"/>
      <c r="AE332" s="1838"/>
      <c r="AF332" s="1838"/>
      <c r="AG332" s="1838"/>
      <c r="AH332" s="476"/>
      <c r="AI332" s="476"/>
      <c r="AJ332" s="476"/>
      <c r="AK332" s="476"/>
      <c r="AL332" s="476"/>
      <c r="AM332" s="476"/>
      <c r="AN332" s="476"/>
      <c r="AO332" s="476"/>
    </row>
    <row r="333" spans="1:41" ht="19.899999999999999" customHeight="1">
      <c r="A333" s="709"/>
      <c r="B333" s="476"/>
      <c r="C333" s="476"/>
      <c r="D333" s="476"/>
      <c r="E333" s="476"/>
      <c r="F333" s="476"/>
      <c r="G333" s="476"/>
      <c r="H333" s="476"/>
      <c r="I333" s="476"/>
      <c r="J333" s="476"/>
      <c r="K333" s="476"/>
      <c r="M333" s="1838"/>
      <c r="N333" s="1898"/>
      <c r="O333" s="1899"/>
      <c r="P333" s="1852"/>
      <c r="Q333" s="1838"/>
      <c r="R333" s="1841"/>
      <c r="S333" s="1841"/>
      <c r="T333" s="1871"/>
      <c r="U333" s="1875"/>
      <c r="V333" s="1838"/>
      <c r="W333" s="1868"/>
      <c r="X333" s="1838"/>
      <c r="Y333" s="1873"/>
      <c r="Z333" s="1881"/>
      <c r="AA333" s="1841"/>
      <c r="AB333" s="1896"/>
      <c r="AC333" s="1890"/>
      <c r="AD333" s="1838"/>
      <c r="AE333" s="1838"/>
      <c r="AF333" s="1838"/>
      <c r="AG333" s="1838"/>
      <c r="AH333" s="476"/>
      <c r="AI333" s="476"/>
      <c r="AJ333" s="476"/>
      <c r="AK333" s="476"/>
      <c r="AL333" s="476"/>
      <c r="AM333" s="476"/>
      <c r="AN333" s="476"/>
      <c r="AO333" s="476"/>
    </row>
    <row r="334" spans="1:41" ht="19.899999999999999" customHeight="1">
      <c r="A334" s="709"/>
      <c r="B334" s="476"/>
      <c r="C334" s="476"/>
      <c r="D334" s="476"/>
      <c r="E334" s="476"/>
      <c r="F334" s="476"/>
      <c r="G334" s="476"/>
      <c r="H334" s="476"/>
      <c r="I334" s="476"/>
      <c r="J334" s="476"/>
      <c r="K334" s="476"/>
      <c r="M334" s="1838"/>
      <c r="N334" s="1898"/>
      <c r="O334" s="1899"/>
      <c r="P334" s="1852"/>
      <c r="Q334" s="1838"/>
      <c r="R334" s="1900"/>
      <c r="S334" s="1841"/>
      <c r="T334" s="1871"/>
      <c r="U334" s="1875"/>
      <c r="V334" s="1838"/>
      <c r="W334" s="1868"/>
      <c r="X334" s="1871"/>
      <c r="Y334" s="1873"/>
      <c r="Z334" s="1841"/>
      <c r="AA334" s="1841"/>
      <c r="AB334" s="1896"/>
      <c r="AC334" s="1838"/>
      <c r="AD334" s="1838"/>
      <c r="AE334" s="1838"/>
      <c r="AF334" s="1838"/>
      <c r="AG334" s="1838"/>
      <c r="AH334" s="476"/>
      <c r="AI334" s="476"/>
      <c r="AJ334" s="476"/>
      <c r="AK334" s="476"/>
      <c r="AL334" s="476"/>
      <c r="AM334" s="476"/>
      <c r="AN334" s="476"/>
      <c r="AO334" s="476"/>
    </row>
    <row r="335" spans="1:41" ht="19.899999999999999" customHeight="1">
      <c r="A335" s="709"/>
      <c r="B335" s="476"/>
      <c r="C335" s="476"/>
      <c r="D335" s="476"/>
      <c r="E335" s="476"/>
      <c r="F335" s="476"/>
      <c r="G335" s="476"/>
      <c r="H335" s="476"/>
      <c r="I335" s="476"/>
      <c r="J335" s="476"/>
      <c r="K335" s="476"/>
      <c r="M335" s="1841"/>
      <c r="N335" s="1898"/>
      <c r="O335" s="1899"/>
      <c r="P335" s="1852"/>
      <c r="Q335" s="1841"/>
      <c r="R335" s="1841"/>
      <c r="S335" s="1841"/>
      <c r="T335" s="1871"/>
      <c r="U335" s="1875"/>
      <c r="V335" s="1838"/>
      <c r="W335" s="1868"/>
      <c r="X335" s="1871"/>
      <c r="Y335" s="1873"/>
      <c r="Z335" s="1838"/>
      <c r="AA335" s="1838"/>
      <c r="AB335" s="1896"/>
      <c r="AC335" s="1890"/>
      <c r="AD335" s="1838"/>
      <c r="AE335" s="1838"/>
      <c r="AF335" s="1838"/>
      <c r="AG335" s="1838"/>
      <c r="AH335" s="476"/>
      <c r="AI335" s="476"/>
      <c r="AJ335" s="476"/>
      <c r="AK335" s="476"/>
      <c r="AL335" s="476"/>
      <c r="AM335" s="476"/>
      <c r="AN335" s="476"/>
      <c r="AO335" s="476"/>
    </row>
    <row r="336" spans="1:41" ht="19.899999999999999" customHeight="1">
      <c r="A336" s="709"/>
      <c r="B336" s="476"/>
      <c r="C336" s="476"/>
      <c r="D336" s="476"/>
      <c r="E336" s="476"/>
      <c r="F336" s="476"/>
      <c r="G336" s="476"/>
      <c r="H336" s="476"/>
      <c r="I336" s="476"/>
      <c r="J336" s="476"/>
      <c r="K336" s="476"/>
      <c r="M336" s="1838"/>
      <c r="N336" s="1898"/>
      <c r="O336" s="1899"/>
      <c r="P336" s="1852"/>
      <c r="Q336" s="1838"/>
      <c r="R336" s="1900"/>
      <c r="S336" s="1841"/>
      <c r="T336" s="1871"/>
      <c r="U336" s="1875"/>
      <c r="V336" s="1838"/>
      <c r="W336" s="1868"/>
      <c r="X336" s="1871"/>
      <c r="Y336" s="1873"/>
      <c r="Z336" s="1838"/>
      <c r="AA336" s="1838"/>
      <c r="AB336" s="1896"/>
      <c r="AC336" s="1890"/>
      <c r="AD336" s="1838"/>
      <c r="AE336" s="1838"/>
      <c r="AF336" s="1838"/>
      <c r="AG336" s="1838"/>
      <c r="AH336" s="476"/>
      <c r="AI336" s="476"/>
      <c r="AJ336" s="476"/>
      <c r="AK336" s="476"/>
      <c r="AL336" s="476"/>
      <c r="AM336" s="476"/>
      <c r="AN336" s="476"/>
      <c r="AO336" s="476"/>
    </row>
    <row r="337" spans="1:41" ht="19.899999999999999" customHeight="1">
      <c r="A337" s="709"/>
      <c r="B337" s="476"/>
      <c r="C337" s="476"/>
      <c r="D337" s="476"/>
      <c r="E337" s="476"/>
      <c r="F337" s="476"/>
      <c r="G337" s="476"/>
      <c r="H337" s="476"/>
      <c r="I337" s="476"/>
      <c r="J337" s="476"/>
      <c r="K337" s="476"/>
      <c r="M337" s="1841"/>
      <c r="N337" s="1898"/>
      <c r="O337" s="1899"/>
      <c r="P337" s="1852"/>
      <c r="Q337" s="1841"/>
      <c r="R337" s="1900"/>
      <c r="S337" s="1841"/>
      <c r="T337" s="1871"/>
      <c r="U337" s="1875"/>
      <c r="V337" s="1838"/>
      <c r="W337" s="1876"/>
      <c r="X337" s="1871"/>
      <c r="Y337" s="1873"/>
      <c r="Z337" s="1841"/>
      <c r="AA337" s="1841"/>
      <c r="AB337" s="1890"/>
      <c r="AC337" s="1890"/>
      <c r="AD337" s="1838"/>
      <c r="AE337" s="1838"/>
      <c r="AF337" s="1838"/>
      <c r="AG337" s="1838"/>
      <c r="AH337" s="476"/>
      <c r="AI337" s="476"/>
      <c r="AJ337" s="476"/>
      <c r="AK337" s="476"/>
      <c r="AL337" s="476"/>
      <c r="AM337" s="476"/>
      <c r="AN337" s="476"/>
      <c r="AO337" s="476"/>
    </row>
    <row r="338" spans="1:41" ht="19.899999999999999" customHeight="1">
      <c r="A338" s="709"/>
      <c r="B338" s="476"/>
      <c r="C338" s="476"/>
      <c r="D338" s="476"/>
      <c r="E338" s="476"/>
      <c r="F338" s="476"/>
      <c r="G338" s="476"/>
      <c r="H338" s="476"/>
      <c r="I338" s="476"/>
      <c r="J338" s="476"/>
      <c r="K338" s="476"/>
      <c r="M338" s="1841"/>
      <c r="N338" s="1898"/>
      <c r="O338" s="1899"/>
      <c r="P338" s="1852"/>
      <c r="Q338" s="1841"/>
      <c r="R338" s="1838"/>
      <c r="S338" s="1841"/>
      <c r="T338" s="1871"/>
      <c r="U338" s="1875"/>
      <c r="V338" s="1838"/>
      <c r="W338" s="1876"/>
      <c r="X338" s="1871"/>
      <c r="Y338" s="1873"/>
      <c r="Z338" s="1841"/>
      <c r="AA338" s="1841"/>
      <c r="AB338" s="1890"/>
      <c r="AC338" s="1890"/>
      <c r="AD338" s="1838"/>
      <c r="AE338" s="1838"/>
      <c r="AF338" s="1838"/>
      <c r="AG338" s="1838"/>
      <c r="AH338" s="476"/>
      <c r="AI338" s="476"/>
      <c r="AJ338" s="476"/>
      <c r="AK338" s="476"/>
      <c r="AL338" s="476"/>
      <c r="AM338" s="476"/>
      <c r="AN338" s="476"/>
      <c r="AO338" s="476"/>
    </row>
    <row r="339" spans="1:41" ht="19.899999999999999" customHeight="1">
      <c r="A339" s="709"/>
      <c r="B339" s="476"/>
      <c r="C339" s="476"/>
      <c r="D339" s="476"/>
      <c r="E339" s="476"/>
      <c r="F339" s="476"/>
      <c r="G339" s="476"/>
      <c r="H339" s="476"/>
      <c r="I339" s="476"/>
      <c r="J339" s="476"/>
      <c r="K339" s="476"/>
      <c r="M339" s="1841"/>
      <c r="N339" s="1898"/>
      <c r="O339" s="1899"/>
      <c r="P339" s="1852"/>
      <c r="Q339" s="1841"/>
      <c r="R339" s="1881"/>
      <c r="S339" s="1841"/>
      <c r="T339" s="1871"/>
      <c r="U339" s="1875"/>
      <c r="V339" s="1901"/>
      <c r="W339" s="1876"/>
      <c r="X339" s="1858"/>
      <c r="Y339" s="1873"/>
      <c r="Z339" s="1841"/>
      <c r="AA339" s="1841"/>
      <c r="AB339" s="1890"/>
      <c r="AC339" s="1890"/>
      <c r="AD339" s="1838"/>
      <c r="AE339" s="1838"/>
      <c r="AF339" s="1838"/>
      <c r="AG339" s="1838"/>
      <c r="AH339" s="476"/>
      <c r="AI339" s="476"/>
      <c r="AJ339" s="476"/>
      <c r="AK339" s="476"/>
      <c r="AL339" s="476"/>
      <c r="AM339" s="476"/>
      <c r="AN339" s="476"/>
      <c r="AO339" s="476"/>
    </row>
    <row r="340" spans="1:41" ht="19.899999999999999" customHeight="1">
      <c r="A340" s="709"/>
      <c r="B340" s="476"/>
      <c r="C340" s="476"/>
      <c r="D340" s="476"/>
      <c r="E340" s="476"/>
      <c r="F340" s="476"/>
      <c r="G340" s="476"/>
      <c r="H340" s="476"/>
      <c r="I340" s="476"/>
      <c r="J340" s="476"/>
      <c r="K340" s="476"/>
      <c r="M340" s="1841"/>
      <c r="N340" s="1898"/>
      <c r="O340" s="1899"/>
      <c r="P340" s="1852"/>
      <c r="Q340" s="1841"/>
      <c r="R340" s="1838"/>
      <c r="S340" s="1841"/>
      <c r="T340" s="1871"/>
      <c r="U340" s="1875"/>
      <c r="V340" s="1901"/>
      <c r="W340" s="1876"/>
      <c r="X340" s="1858"/>
      <c r="Y340" s="1873"/>
      <c r="Z340" s="1901"/>
      <c r="AA340" s="1841"/>
      <c r="AB340" s="1890"/>
      <c r="AC340" s="1890"/>
      <c r="AD340" s="1838"/>
      <c r="AE340" s="1838"/>
      <c r="AF340" s="1838"/>
      <c r="AG340" s="1838"/>
      <c r="AH340" s="476"/>
      <c r="AI340" s="476"/>
      <c r="AJ340" s="476"/>
      <c r="AK340" s="476"/>
      <c r="AL340" s="476"/>
      <c r="AM340" s="476"/>
      <c r="AN340" s="476"/>
      <c r="AO340" s="476"/>
    </row>
    <row r="341" spans="1:41" ht="19.899999999999999" customHeight="1">
      <c r="A341" s="709"/>
      <c r="B341" s="476"/>
      <c r="C341" s="476"/>
      <c r="D341" s="476"/>
      <c r="E341" s="476"/>
      <c r="F341" s="476"/>
      <c r="G341" s="476"/>
      <c r="H341" s="476"/>
      <c r="I341" s="476"/>
      <c r="J341" s="476"/>
      <c r="K341" s="476"/>
      <c r="M341" s="1841"/>
      <c r="N341" s="1899"/>
      <c r="O341" s="1899"/>
      <c r="P341" s="1852"/>
      <c r="Q341" s="1902"/>
      <c r="R341" s="1838"/>
      <c r="S341" s="1841"/>
      <c r="T341" s="1871"/>
      <c r="U341" s="1875"/>
      <c r="V341" s="1901"/>
      <c r="W341" s="1876"/>
      <c r="X341" s="1858"/>
      <c r="Y341" s="1873"/>
      <c r="Z341" s="1901"/>
      <c r="AA341" s="1841"/>
      <c r="AB341" s="1890"/>
      <c r="AC341" s="1890"/>
      <c r="AD341" s="1838"/>
      <c r="AE341" s="1838"/>
      <c r="AF341" s="1838"/>
      <c r="AG341" s="1838"/>
      <c r="AH341" s="476"/>
      <c r="AI341" s="476"/>
      <c r="AJ341" s="476"/>
      <c r="AK341" s="476"/>
      <c r="AL341" s="476"/>
      <c r="AM341" s="476"/>
      <c r="AN341" s="476"/>
      <c r="AO341" s="476"/>
    </row>
    <row r="342" spans="1:41" ht="19.899999999999999" customHeight="1">
      <c r="A342" s="709"/>
      <c r="B342" s="476"/>
      <c r="C342" s="476"/>
      <c r="D342" s="476"/>
      <c r="E342" s="476"/>
      <c r="F342" s="476"/>
      <c r="G342" s="476"/>
      <c r="H342" s="476"/>
      <c r="I342" s="476"/>
      <c r="J342" s="476"/>
      <c r="K342" s="476"/>
      <c r="M342" s="1838"/>
      <c r="N342" s="1838"/>
      <c r="O342" s="1838"/>
      <c r="P342" s="1856"/>
      <c r="Q342" s="1838"/>
      <c r="R342" s="1838"/>
      <c r="S342" s="1841"/>
      <c r="T342" s="1871"/>
      <c r="U342" s="1875"/>
      <c r="V342" s="1845"/>
      <c r="W342" s="1876"/>
      <c r="X342" s="1892"/>
      <c r="Y342" s="1873"/>
      <c r="Z342" s="1841"/>
      <c r="AA342" s="1841"/>
      <c r="AB342" s="1838"/>
      <c r="AC342" s="1838"/>
      <c r="AD342" s="1838"/>
      <c r="AE342" s="1838"/>
      <c r="AF342" s="1838"/>
      <c r="AG342" s="1838"/>
      <c r="AH342" s="476"/>
      <c r="AI342" s="476"/>
      <c r="AJ342" s="476"/>
      <c r="AK342" s="476"/>
      <c r="AL342" s="476"/>
      <c r="AM342" s="476"/>
      <c r="AN342" s="476"/>
      <c r="AO342" s="476"/>
    </row>
    <row r="343" spans="1:41" ht="19.899999999999999" customHeight="1">
      <c r="A343" s="709"/>
      <c r="B343" s="476"/>
      <c r="C343" s="476"/>
      <c r="D343" s="476"/>
      <c r="E343" s="476"/>
      <c r="F343" s="476"/>
      <c r="G343" s="476"/>
      <c r="H343" s="476"/>
      <c r="I343" s="476"/>
      <c r="J343" s="476"/>
      <c r="K343" s="476"/>
      <c r="M343" s="1838"/>
      <c r="N343" s="1838"/>
      <c r="O343" s="1838"/>
      <c r="P343" s="1856"/>
      <c r="Q343" s="1838"/>
      <c r="R343" s="1838"/>
      <c r="S343" s="1838"/>
      <c r="T343" s="1871"/>
      <c r="U343" s="1875"/>
      <c r="V343" s="1845"/>
      <c r="W343" s="1876"/>
      <c r="X343" s="1871"/>
      <c r="Y343" s="1873"/>
      <c r="Z343" s="1858"/>
      <c r="AA343" s="1858"/>
      <c r="AB343" s="1838"/>
      <c r="AC343" s="1838"/>
      <c r="AD343" s="1838"/>
      <c r="AE343" s="1838"/>
      <c r="AF343" s="1838"/>
      <c r="AG343" s="1838"/>
      <c r="AH343" s="476"/>
      <c r="AI343" s="476"/>
      <c r="AJ343" s="476"/>
      <c r="AK343" s="476"/>
      <c r="AL343" s="476"/>
      <c r="AM343" s="476"/>
      <c r="AN343" s="476"/>
      <c r="AO343" s="476"/>
    </row>
    <row r="344" spans="1:41" ht="19.899999999999999" customHeight="1">
      <c r="A344" s="709"/>
      <c r="B344" s="476"/>
      <c r="C344" s="476"/>
      <c r="D344" s="476"/>
      <c r="E344" s="476"/>
      <c r="F344" s="476"/>
      <c r="G344" s="476"/>
      <c r="H344" s="476"/>
      <c r="I344" s="476"/>
      <c r="J344" s="476"/>
      <c r="K344" s="476"/>
      <c r="M344" s="1838"/>
      <c r="N344" s="1838"/>
      <c r="O344" s="1838"/>
      <c r="P344" s="1838"/>
      <c r="Q344" s="1838"/>
      <c r="R344" s="1838"/>
      <c r="S344" s="1838"/>
      <c r="T344" s="1871"/>
      <c r="U344" s="1875"/>
      <c r="V344" s="1838"/>
      <c r="W344" s="1876"/>
      <c r="X344" s="1871"/>
      <c r="Y344" s="1873"/>
      <c r="Z344" s="1873"/>
      <c r="AA344" s="1873"/>
      <c r="AB344" s="1841"/>
      <c r="AC344" s="1841"/>
      <c r="AD344" s="1838"/>
      <c r="AE344" s="1838"/>
      <c r="AF344" s="1838"/>
      <c r="AG344" s="1838"/>
      <c r="AH344" s="476"/>
      <c r="AI344" s="476"/>
      <c r="AJ344" s="476"/>
      <c r="AK344" s="476"/>
      <c r="AL344" s="476"/>
      <c r="AM344" s="476"/>
      <c r="AN344" s="476"/>
      <c r="AO344" s="476"/>
    </row>
    <row r="345" spans="1:41" ht="19.899999999999999" customHeight="1">
      <c r="A345" s="709"/>
      <c r="B345" s="476"/>
      <c r="C345" s="476"/>
      <c r="D345" s="476"/>
      <c r="E345" s="476"/>
      <c r="F345" s="476"/>
      <c r="G345" s="476"/>
      <c r="H345" s="476"/>
      <c r="I345" s="476"/>
      <c r="J345" s="476"/>
      <c r="K345" s="476"/>
      <c r="M345" s="1838"/>
      <c r="N345" s="1838"/>
      <c r="O345" s="1838"/>
      <c r="P345" s="1838"/>
      <c r="Q345" s="1838"/>
      <c r="R345" s="1838"/>
      <c r="S345" s="1838"/>
      <c r="T345" s="1871"/>
      <c r="U345" s="1838"/>
      <c r="V345" s="1838"/>
      <c r="W345" s="1838"/>
      <c r="X345" s="1838"/>
      <c r="Y345" s="1838"/>
      <c r="Z345" s="1838"/>
      <c r="AA345" s="1838"/>
      <c r="AB345" s="1838"/>
      <c r="AC345" s="1838"/>
      <c r="AD345" s="1838"/>
      <c r="AE345" s="1838"/>
      <c r="AF345" s="1838"/>
      <c r="AG345" s="1838"/>
      <c r="AH345" s="476"/>
      <c r="AI345" s="476"/>
      <c r="AJ345" s="476"/>
      <c r="AK345" s="476"/>
      <c r="AL345" s="476"/>
      <c r="AM345" s="476"/>
      <c r="AN345" s="476"/>
      <c r="AO345" s="476"/>
    </row>
    <row r="346" spans="1:41" ht="19.899999999999999" customHeight="1">
      <c r="A346" s="709"/>
      <c r="B346" s="476"/>
      <c r="C346" s="476"/>
      <c r="D346" s="476"/>
      <c r="E346" s="476"/>
      <c r="F346" s="476"/>
      <c r="G346" s="476"/>
      <c r="H346" s="476"/>
      <c r="I346" s="476"/>
      <c r="J346" s="476"/>
      <c r="K346" s="476"/>
      <c r="M346" s="1841"/>
      <c r="N346" s="1873"/>
      <c r="O346" s="1899"/>
      <c r="P346" s="1852"/>
      <c r="Q346" s="1841"/>
      <c r="R346" s="1838"/>
      <c r="S346" s="1841"/>
      <c r="T346" s="1871"/>
      <c r="U346" s="1838"/>
      <c r="V346" s="1838"/>
      <c r="W346" s="1838"/>
      <c r="X346" s="1838"/>
      <c r="Y346" s="1838"/>
      <c r="Z346" s="1838"/>
      <c r="AA346" s="1838"/>
      <c r="AB346" s="1838"/>
      <c r="AC346" s="1838"/>
      <c r="AD346" s="1841"/>
      <c r="AE346" s="1841"/>
      <c r="AF346" s="1838"/>
      <c r="AG346" s="1838"/>
      <c r="AH346" s="476"/>
      <c r="AI346" s="476"/>
      <c r="AJ346" s="476"/>
      <c r="AK346" s="476"/>
      <c r="AL346" s="476"/>
      <c r="AM346" s="476"/>
      <c r="AN346" s="476"/>
      <c r="AO346" s="476"/>
    </row>
    <row r="347" spans="1:41" ht="19.899999999999999" customHeight="1">
      <c r="A347" s="709"/>
      <c r="B347" s="476"/>
      <c r="C347" s="476"/>
      <c r="D347" s="476"/>
      <c r="E347" s="476"/>
      <c r="F347" s="476"/>
      <c r="G347" s="476"/>
      <c r="H347" s="476"/>
      <c r="I347" s="476"/>
      <c r="J347" s="476"/>
      <c r="K347" s="476"/>
      <c r="M347" s="1838"/>
      <c r="N347" s="1838"/>
      <c r="O347" s="1838"/>
      <c r="P347" s="1838"/>
      <c r="Q347" s="1838"/>
      <c r="R347" s="1838"/>
      <c r="S347" s="1841"/>
      <c r="T347" s="1871"/>
      <c r="U347" s="1838"/>
      <c r="V347" s="1838"/>
      <c r="W347" s="1838"/>
      <c r="X347" s="1838"/>
      <c r="Y347" s="1838"/>
      <c r="Z347" s="1838"/>
      <c r="AA347" s="1838"/>
      <c r="AB347" s="1838"/>
      <c r="AC347" s="1838"/>
      <c r="AD347" s="1841"/>
      <c r="AE347" s="1841"/>
      <c r="AF347" s="1838"/>
      <c r="AG347" s="1838"/>
      <c r="AH347" s="476"/>
      <c r="AI347" s="476"/>
      <c r="AJ347" s="476"/>
      <c r="AK347" s="476"/>
      <c r="AL347" s="476"/>
      <c r="AM347" s="476"/>
      <c r="AN347" s="476"/>
      <c r="AO347" s="476"/>
    </row>
    <row r="348" spans="1:41" ht="19.899999999999999" customHeight="1">
      <c r="A348" s="709"/>
      <c r="B348" s="476"/>
      <c r="C348" s="476"/>
      <c r="D348" s="476"/>
      <c r="E348" s="476"/>
      <c r="F348" s="476"/>
      <c r="G348" s="476"/>
      <c r="H348" s="476"/>
      <c r="I348" s="476"/>
      <c r="J348" s="476"/>
      <c r="K348" s="476"/>
      <c r="M348" s="1838"/>
      <c r="N348" s="1838"/>
      <c r="O348" s="1838"/>
      <c r="P348" s="1838"/>
      <c r="Q348" s="1838"/>
      <c r="R348" s="1838"/>
      <c r="S348" s="1841"/>
      <c r="T348" s="1838"/>
      <c r="U348" s="1838"/>
      <c r="V348" s="1838"/>
      <c r="W348" s="1838"/>
      <c r="X348" s="1838"/>
      <c r="Y348" s="1838"/>
      <c r="Z348" s="1838"/>
      <c r="AA348" s="1838"/>
      <c r="AB348" s="1841"/>
      <c r="AC348" s="1841"/>
      <c r="AD348" s="1841"/>
      <c r="AE348" s="1841"/>
      <c r="AF348" s="1838"/>
      <c r="AG348" s="1838"/>
      <c r="AH348" s="476"/>
      <c r="AI348" s="476"/>
      <c r="AJ348" s="476"/>
      <c r="AK348" s="476"/>
      <c r="AL348" s="476"/>
      <c r="AM348" s="476"/>
      <c r="AN348" s="476"/>
      <c r="AO348" s="476"/>
    </row>
    <row r="349" spans="1:41" ht="19.899999999999999" customHeight="1">
      <c r="A349" s="709"/>
      <c r="B349" s="476"/>
      <c r="C349" s="476"/>
      <c r="D349" s="476"/>
      <c r="E349" s="476"/>
      <c r="F349" s="476"/>
      <c r="G349" s="476"/>
      <c r="H349" s="476"/>
      <c r="I349" s="476"/>
      <c r="J349" s="476"/>
      <c r="K349" s="476"/>
      <c r="M349" s="1838"/>
      <c r="N349" s="1858"/>
      <c r="O349" s="1858"/>
      <c r="P349" s="1852"/>
      <c r="Q349" s="1838"/>
      <c r="R349" s="1838"/>
      <c r="S349" s="1838"/>
      <c r="T349" s="1871"/>
      <c r="U349" s="1841"/>
      <c r="V349" s="1841"/>
      <c r="W349" s="1841"/>
      <c r="X349" s="1841"/>
      <c r="Y349" s="1841"/>
      <c r="Z349" s="1841"/>
      <c r="AA349" s="1841"/>
      <c r="AB349" s="1841"/>
      <c r="AC349" s="1841"/>
      <c r="AD349" s="1841"/>
      <c r="AE349" s="1841"/>
      <c r="AF349" s="1838"/>
      <c r="AG349" s="1838"/>
      <c r="AH349" s="476"/>
      <c r="AI349" s="476"/>
      <c r="AJ349" s="476"/>
      <c r="AK349" s="476"/>
      <c r="AL349" s="476"/>
      <c r="AM349" s="476"/>
      <c r="AN349" s="476"/>
      <c r="AO349" s="476"/>
    </row>
    <row r="350" spans="1:41" ht="19.899999999999999" customHeight="1">
      <c r="A350" s="709"/>
      <c r="B350" s="476"/>
      <c r="C350" s="476"/>
      <c r="D350" s="476"/>
      <c r="E350" s="476"/>
      <c r="F350" s="476"/>
      <c r="G350" s="476"/>
      <c r="H350" s="476"/>
      <c r="I350" s="476"/>
      <c r="J350" s="476"/>
      <c r="K350" s="476"/>
      <c r="M350" s="1871"/>
      <c r="N350" s="1873"/>
      <c r="O350" s="1873"/>
      <c r="P350" s="1873"/>
      <c r="Q350" s="1873"/>
      <c r="R350" s="1873"/>
      <c r="S350" s="1874"/>
      <c r="T350" s="1841"/>
      <c r="U350" s="1841"/>
      <c r="V350" s="1841"/>
      <c r="W350" s="1841"/>
      <c r="X350" s="1841"/>
      <c r="Y350" s="1841"/>
      <c r="Z350" s="1841"/>
      <c r="AA350" s="1841"/>
      <c r="AB350" s="1841"/>
      <c r="AC350" s="1841"/>
      <c r="AD350" s="1841"/>
      <c r="AE350" s="1841"/>
      <c r="AF350" s="1838"/>
      <c r="AG350" s="1838"/>
      <c r="AH350" s="476"/>
      <c r="AI350" s="476"/>
      <c r="AJ350" s="476"/>
      <c r="AK350" s="476"/>
      <c r="AL350" s="476"/>
      <c r="AM350" s="476"/>
      <c r="AN350" s="476"/>
      <c r="AO350" s="476"/>
    </row>
    <row r="351" spans="1:41" ht="19.899999999999999" customHeight="1">
      <c r="A351" s="709"/>
      <c r="B351" s="476"/>
      <c r="C351" s="476"/>
      <c r="D351" s="476"/>
      <c r="E351" s="476"/>
      <c r="F351" s="476"/>
      <c r="G351" s="476"/>
      <c r="H351" s="476"/>
      <c r="I351" s="476"/>
      <c r="J351" s="476"/>
      <c r="K351" s="476"/>
      <c r="M351" s="1841"/>
      <c r="N351" s="1841"/>
      <c r="O351" s="1881"/>
      <c r="P351" s="1881"/>
      <c r="Q351" s="1881"/>
      <c r="R351" s="1903"/>
      <c r="S351" s="1904"/>
      <c r="T351" s="1841"/>
      <c r="U351" s="1841"/>
      <c r="V351" s="1841"/>
      <c r="W351" s="1841"/>
      <c r="X351" s="1841"/>
      <c r="Y351" s="1841"/>
      <c r="Z351" s="1841"/>
      <c r="AA351" s="1841"/>
      <c r="AB351" s="1841"/>
      <c r="AC351" s="1841"/>
      <c r="AD351" s="1841"/>
      <c r="AE351" s="1841"/>
      <c r="AF351" s="1838"/>
      <c r="AG351" s="1838"/>
      <c r="AH351" s="476"/>
      <c r="AI351" s="476"/>
      <c r="AJ351" s="476"/>
      <c r="AK351" s="476"/>
      <c r="AL351" s="476"/>
      <c r="AM351" s="476"/>
      <c r="AN351" s="476"/>
      <c r="AO351" s="476"/>
    </row>
    <row r="352" spans="1:41" ht="19.899999999999999" customHeight="1">
      <c r="A352" s="709"/>
      <c r="B352" s="476"/>
      <c r="C352" s="476"/>
      <c r="D352" s="476"/>
      <c r="E352" s="476"/>
      <c r="F352" s="476"/>
      <c r="G352" s="476"/>
      <c r="H352" s="476"/>
      <c r="I352" s="476"/>
      <c r="J352" s="476"/>
      <c r="K352" s="476"/>
      <c r="M352" s="1838"/>
      <c r="N352" s="1838"/>
      <c r="O352" s="1838"/>
      <c r="P352" s="1838"/>
      <c r="Q352" s="1838"/>
      <c r="R352" s="1838"/>
      <c r="S352" s="1838"/>
      <c r="T352" s="1838"/>
      <c r="U352" s="1838"/>
      <c r="V352" s="1838"/>
      <c r="W352" s="1838"/>
      <c r="X352" s="1838"/>
      <c r="Y352" s="1838"/>
      <c r="Z352" s="1838"/>
      <c r="AA352" s="1838"/>
      <c r="AB352" s="1838"/>
      <c r="AC352" s="1838"/>
      <c r="AD352" s="1838"/>
      <c r="AE352" s="1838"/>
      <c r="AF352" s="1838"/>
      <c r="AG352" s="1838"/>
      <c r="AH352" s="476"/>
      <c r="AI352" s="476"/>
      <c r="AJ352" s="476"/>
      <c r="AK352" s="476"/>
      <c r="AL352" s="476"/>
      <c r="AM352" s="476"/>
      <c r="AN352" s="476"/>
      <c r="AO352" s="476"/>
    </row>
    <row r="353" spans="1:41" ht="19.899999999999999" customHeight="1">
      <c r="A353" s="709"/>
      <c r="B353" s="476"/>
      <c r="C353" s="476"/>
      <c r="D353" s="476"/>
      <c r="E353" s="476"/>
      <c r="F353" s="476"/>
      <c r="G353" s="476"/>
      <c r="H353" s="476"/>
      <c r="I353" s="476"/>
      <c r="J353" s="476"/>
      <c r="K353" s="476"/>
      <c r="M353" s="1838"/>
      <c r="N353" s="1838"/>
      <c r="O353" s="1838"/>
      <c r="P353" s="1838"/>
      <c r="Q353" s="1838"/>
      <c r="R353" s="1838"/>
      <c r="S353" s="1890"/>
      <c r="T353" s="1838"/>
      <c r="U353" s="1838"/>
      <c r="V353" s="1838"/>
      <c r="W353" s="1838"/>
      <c r="X353" s="1838"/>
      <c r="Y353" s="1838"/>
      <c r="Z353" s="1838"/>
      <c r="AA353" s="1838"/>
      <c r="AB353" s="1838"/>
      <c r="AC353" s="1838"/>
      <c r="AD353" s="1838"/>
      <c r="AE353" s="1838"/>
      <c r="AF353" s="1838"/>
      <c r="AG353" s="1838"/>
      <c r="AH353" s="476"/>
      <c r="AI353" s="476"/>
      <c r="AJ353" s="476"/>
      <c r="AK353" s="476"/>
      <c r="AL353" s="476"/>
      <c r="AM353" s="476"/>
      <c r="AN353" s="476"/>
      <c r="AO353" s="476"/>
    </row>
    <row r="354" spans="1:41" ht="19.899999999999999" customHeight="1">
      <c r="A354" s="709"/>
      <c r="B354" s="476"/>
      <c r="C354" s="476"/>
      <c r="D354" s="476"/>
      <c r="E354" s="476"/>
      <c r="F354" s="476"/>
      <c r="G354" s="476"/>
      <c r="H354" s="476"/>
      <c r="I354" s="476"/>
      <c r="J354" s="476"/>
      <c r="K354" s="476"/>
      <c r="M354" s="1838"/>
      <c r="N354" s="1838"/>
      <c r="O354" s="1838"/>
      <c r="P354" s="1838"/>
      <c r="Q354" s="1838"/>
      <c r="R354" s="1838"/>
      <c r="S354" s="1838"/>
      <c r="T354" s="1838"/>
      <c r="U354" s="1838"/>
      <c r="V354" s="1838"/>
      <c r="W354" s="1838"/>
      <c r="X354" s="1838"/>
      <c r="Y354" s="1838"/>
      <c r="Z354" s="1838"/>
      <c r="AA354" s="1838"/>
      <c r="AB354" s="1838"/>
      <c r="AC354" s="1838"/>
      <c r="AD354" s="1838"/>
      <c r="AE354" s="1838"/>
      <c r="AF354" s="1838"/>
      <c r="AG354" s="1838"/>
      <c r="AH354" s="476"/>
      <c r="AI354" s="476"/>
      <c r="AJ354" s="476"/>
      <c r="AK354" s="476"/>
      <c r="AL354" s="476"/>
      <c r="AM354" s="476"/>
      <c r="AN354" s="476"/>
      <c r="AO354" s="476"/>
    </row>
    <row r="355" spans="1:41" ht="19.899999999999999" customHeight="1">
      <c r="A355" s="709"/>
      <c r="B355" s="476"/>
      <c r="C355" s="476"/>
      <c r="D355" s="476"/>
      <c r="E355" s="476"/>
      <c r="F355" s="476"/>
      <c r="G355" s="476"/>
      <c r="H355" s="476"/>
      <c r="I355" s="476"/>
      <c r="J355" s="476"/>
      <c r="K355" s="476"/>
      <c r="M355" s="1905"/>
      <c r="N355" s="1841"/>
      <c r="O355" s="1841"/>
      <c r="P355" s="1841"/>
      <c r="Q355" s="1841"/>
      <c r="R355" s="1841"/>
      <c r="S355" s="1841"/>
      <c r="T355" s="1841"/>
      <c r="U355" s="1841"/>
      <c r="V355" s="1841"/>
      <c r="W355" s="1838"/>
      <c r="X355" s="1838"/>
      <c r="Y355" s="1838"/>
      <c r="Z355" s="1838"/>
      <c r="AA355" s="1838"/>
      <c r="AB355" s="1838"/>
      <c r="AC355" s="1838"/>
      <c r="AD355" s="1838"/>
      <c r="AE355" s="1838"/>
      <c r="AF355" s="1838"/>
      <c r="AG355" s="1838"/>
      <c r="AH355" s="476"/>
      <c r="AI355" s="476"/>
      <c r="AJ355" s="476"/>
      <c r="AK355" s="476"/>
      <c r="AL355" s="476"/>
      <c r="AM355" s="476"/>
      <c r="AN355" s="476"/>
      <c r="AO355" s="476"/>
    </row>
    <row r="356" spans="1:41" ht="19.899999999999999" customHeight="1">
      <c r="A356" s="709"/>
      <c r="B356" s="476"/>
      <c r="C356" s="476"/>
      <c r="D356" s="476"/>
      <c r="E356" s="476"/>
      <c r="F356" s="476"/>
      <c r="G356" s="476"/>
      <c r="H356" s="476"/>
      <c r="I356" s="476"/>
      <c r="J356" s="476"/>
      <c r="K356" s="476"/>
      <c r="M356" s="1841"/>
      <c r="N356" s="1841"/>
      <c r="O356" s="1841"/>
      <c r="P356" s="1841"/>
      <c r="Q356" s="1841"/>
      <c r="R356" s="1841"/>
      <c r="S356" s="1841"/>
      <c r="T356" s="1841"/>
      <c r="U356" s="1841"/>
      <c r="V356" s="1841"/>
      <c r="W356" s="1838"/>
      <c r="X356" s="1838"/>
      <c r="Y356" s="1838"/>
      <c r="Z356" s="1838"/>
      <c r="AA356" s="1838"/>
      <c r="AB356" s="1838"/>
      <c r="AC356" s="1838"/>
      <c r="AD356" s="1838"/>
      <c r="AE356" s="1838"/>
      <c r="AF356" s="1838"/>
      <c r="AG356" s="1838"/>
      <c r="AH356" s="476"/>
      <c r="AI356" s="476"/>
      <c r="AJ356" s="476"/>
      <c r="AK356" s="476"/>
      <c r="AL356" s="476"/>
      <c r="AM356" s="476"/>
      <c r="AN356" s="476"/>
      <c r="AO356" s="476"/>
    </row>
    <row r="357" spans="1:41" ht="19.899999999999999" customHeight="1">
      <c r="A357" s="709"/>
      <c r="B357" s="476"/>
      <c r="C357" s="476"/>
      <c r="D357" s="476"/>
      <c r="E357" s="476"/>
      <c r="F357" s="476"/>
      <c r="G357" s="476"/>
      <c r="H357" s="476"/>
      <c r="I357" s="476"/>
      <c r="J357" s="476"/>
      <c r="K357" s="476"/>
      <c r="M357" s="1841"/>
      <c r="N357" s="1906"/>
      <c r="O357" s="1906"/>
      <c r="P357" s="1900"/>
      <c r="Q357" s="1900"/>
      <c r="R357" s="1900"/>
      <c r="S357" s="1900"/>
      <c r="T357" s="1906"/>
      <c r="U357" s="1906"/>
      <c r="V357" s="1907"/>
      <c r="W357" s="1838"/>
      <c r="X357" s="1838"/>
      <c r="Y357" s="1838"/>
      <c r="Z357" s="1838"/>
      <c r="AA357" s="1838"/>
      <c r="AB357" s="1838"/>
      <c r="AC357" s="1838"/>
      <c r="AD357" s="1838"/>
      <c r="AE357" s="1838"/>
      <c r="AF357" s="1838"/>
      <c r="AG357" s="1838"/>
      <c r="AH357" s="476"/>
      <c r="AI357" s="476"/>
      <c r="AJ357" s="476"/>
      <c r="AK357" s="476"/>
      <c r="AL357" s="476"/>
      <c r="AM357" s="476"/>
      <c r="AN357" s="476"/>
      <c r="AO357" s="476"/>
    </row>
    <row r="358" spans="1:41" ht="19.899999999999999" customHeight="1">
      <c r="A358" s="709"/>
      <c r="B358" s="476"/>
      <c r="C358" s="476"/>
      <c r="D358" s="476"/>
      <c r="E358" s="476"/>
      <c r="F358" s="476"/>
      <c r="G358" s="476"/>
      <c r="H358" s="476"/>
      <c r="I358" s="476"/>
      <c r="J358" s="476"/>
      <c r="K358" s="476"/>
      <c r="M358" s="1841"/>
      <c r="N358" s="1906"/>
      <c r="O358" s="1906"/>
      <c r="P358" s="1900"/>
      <c r="Q358" s="1900"/>
      <c r="R358" s="1900"/>
      <c r="S358" s="1900"/>
      <c r="T358" s="1906"/>
      <c r="U358" s="1906"/>
      <c r="V358" s="1907"/>
      <c r="W358" s="1838"/>
      <c r="X358" s="1838"/>
      <c r="Y358" s="1838"/>
      <c r="Z358" s="1838"/>
      <c r="AA358" s="1838"/>
      <c r="AB358" s="1838"/>
      <c r="AC358" s="1838"/>
      <c r="AD358" s="1838"/>
      <c r="AE358" s="1838"/>
      <c r="AF358" s="1838"/>
      <c r="AG358" s="1838"/>
      <c r="AH358" s="476"/>
      <c r="AI358" s="476"/>
      <c r="AJ358" s="476"/>
      <c r="AK358" s="476"/>
      <c r="AL358" s="476"/>
      <c r="AM358" s="476"/>
      <c r="AN358" s="476"/>
      <c r="AO358" s="476"/>
    </row>
    <row r="359" spans="1:41" ht="19.899999999999999" customHeight="1">
      <c r="A359" s="709"/>
      <c r="B359" s="476"/>
      <c r="C359" s="476"/>
      <c r="D359" s="476"/>
      <c r="E359" s="476"/>
      <c r="F359" s="476"/>
      <c r="G359" s="476"/>
      <c r="H359" s="476"/>
      <c r="I359" s="476"/>
      <c r="J359" s="476"/>
      <c r="K359" s="476"/>
      <c r="M359" s="1905"/>
      <c r="N359" s="1841"/>
      <c r="O359" s="1841"/>
      <c r="P359" s="1841"/>
      <c r="Q359" s="1841"/>
      <c r="R359" s="1841"/>
      <c r="S359" s="1841"/>
      <c r="T359" s="1841"/>
      <c r="U359" s="1841"/>
      <c r="V359" s="1841"/>
      <c r="W359" s="1838"/>
      <c r="X359" s="1838"/>
      <c r="Y359" s="1838"/>
      <c r="Z359" s="1838"/>
      <c r="AA359" s="1838"/>
      <c r="AB359" s="1838"/>
      <c r="AC359" s="1838"/>
      <c r="AD359" s="1838"/>
      <c r="AE359" s="1838"/>
      <c r="AF359" s="1838"/>
      <c r="AG359" s="1838"/>
      <c r="AH359" s="476"/>
      <c r="AI359" s="476"/>
      <c r="AJ359" s="476"/>
      <c r="AK359" s="476"/>
      <c r="AL359" s="476"/>
      <c r="AM359" s="476"/>
      <c r="AN359" s="476"/>
      <c r="AO359" s="476"/>
    </row>
    <row r="360" spans="1:41" ht="19.899999999999999" customHeight="1">
      <c r="A360" s="709"/>
      <c r="B360" s="476"/>
      <c r="C360" s="476"/>
      <c r="D360" s="476"/>
      <c r="E360" s="476"/>
      <c r="F360" s="476"/>
      <c r="G360" s="476"/>
      <c r="H360" s="476"/>
      <c r="I360" s="476"/>
      <c r="J360" s="476"/>
      <c r="K360" s="476"/>
      <c r="M360" s="1841"/>
      <c r="N360" s="1841"/>
      <c r="O360" s="1841"/>
      <c r="P360" s="1841"/>
      <c r="Q360" s="1841"/>
      <c r="R360" s="1838"/>
      <c r="S360" s="1841"/>
      <c r="T360" s="1841"/>
      <c r="U360" s="1841"/>
      <c r="V360" s="1841"/>
      <c r="W360" s="1838"/>
      <c r="X360" s="1838"/>
      <c r="Y360" s="1838"/>
      <c r="Z360" s="1838"/>
      <c r="AA360" s="1838"/>
      <c r="AB360" s="1838"/>
      <c r="AC360" s="1838"/>
      <c r="AD360" s="1838"/>
      <c r="AE360" s="1838"/>
      <c r="AF360" s="1838"/>
      <c r="AG360" s="1838"/>
      <c r="AH360" s="476"/>
      <c r="AI360" s="476"/>
      <c r="AJ360" s="476"/>
      <c r="AK360" s="476"/>
      <c r="AL360" s="476"/>
      <c r="AM360" s="476"/>
      <c r="AN360" s="476"/>
      <c r="AO360" s="476"/>
    </row>
    <row r="361" spans="1:41" ht="19.899999999999999" customHeight="1">
      <c r="A361" s="709"/>
      <c r="B361" s="476"/>
      <c r="C361" s="476"/>
      <c r="D361" s="476"/>
      <c r="E361" s="476"/>
      <c r="F361" s="476"/>
      <c r="G361" s="476"/>
      <c r="H361" s="476"/>
      <c r="I361" s="476"/>
      <c r="J361" s="476"/>
      <c r="K361" s="476"/>
      <c r="M361" s="1841"/>
      <c r="N361" s="1906"/>
      <c r="O361" s="1906"/>
      <c r="P361" s="1906"/>
      <c r="Q361" s="1906"/>
      <c r="R361" s="1900"/>
      <c r="S361" s="1900"/>
      <c r="T361" s="1900"/>
      <c r="U361" s="1900"/>
      <c r="V361" s="1907"/>
      <c r="W361" s="1838"/>
      <c r="X361" s="1838"/>
      <c r="Y361" s="1838"/>
      <c r="Z361" s="1838"/>
      <c r="AA361" s="1838"/>
      <c r="AB361" s="1838"/>
      <c r="AC361" s="1838"/>
      <c r="AD361" s="1838"/>
      <c r="AE361" s="1838"/>
      <c r="AF361" s="1838"/>
      <c r="AG361" s="1838"/>
      <c r="AH361" s="476"/>
      <c r="AI361" s="476"/>
      <c r="AJ361" s="476"/>
      <c r="AK361" s="476"/>
      <c r="AL361" s="476"/>
      <c r="AM361" s="476"/>
      <c r="AN361" s="476"/>
      <c r="AO361" s="476"/>
    </row>
    <row r="362" spans="1:41" ht="19.899999999999999" customHeight="1">
      <c r="A362" s="709"/>
      <c r="B362" s="476"/>
      <c r="C362" s="476"/>
      <c r="D362" s="476"/>
      <c r="E362" s="476"/>
      <c r="F362" s="476"/>
      <c r="G362" s="476"/>
      <c r="H362" s="476"/>
      <c r="I362" s="476"/>
      <c r="J362" s="476"/>
      <c r="K362" s="476"/>
      <c r="M362" s="1905"/>
      <c r="N362" s="1841"/>
      <c r="O362" s="1841"/>
      <c r="P362" s="1841"/>
      <c r="Q362" s="1841"/>
      <c r="R362" s="1841"/>
      <c r="S362" s="1841"/>
      <c r="T362" s="1841"/>
      <c r="U362" s="1841"/>
      <c r="V362" s="1841"/>
      <c r="W362" s="1838"/>
      <c r="X362" s="1838"/>
      <c r="Y362" s="1838"/>
      <c r="Z362" s="1838"/>
      <c r="AA362" s="1838"/>
      <c r="AB362" s="1838"/>
      <c r="AC362" s="1838"/>
      <c r="AD362" s="1838"/>
      <c r="AE362" s="1838"/>
      <c r="AF362" s="1838"/>
      <c r="AG362" s="1838"/>
      <c r="AH362" s="476"/>
      <c r="AI362" s="476"/>
      <c r="AJ362" s="476"/>
      <c r="AK362" s="476"/>
      <c r="AL362" s="476"/>
      <c r="AM362" s="476"/>
      <c r="AN362" s="476"/>
      <c r="AO362" s="476"/>
    </row>
    <row r="363" spans="1:41" ht="19.899999999999999" customHeight="1">
      <c r="A363" s="709"/>
      <c r="B363" s="476"/>
      <c r="C363" s="476"/>
      <c r="D363" s="476"/>
      <c r="E363" s="476"/>
      <c r="F363" s="476"/>
      <c r="G363" s="476"/>
      <c r="H363" s="476"/>
      <c r="I363" s="476"/>
      <c r="J363" s="476"/>
      <c r="K363" s="476"/>
      <c r="M363" s="1841"/>
      <c r="N363" s="1841"/>
      <c r="O363" s="1841"/>
      <c r="P363" s="1841"/>
      <c r="Q363" s="1841"/>
      <c r="R363" s="1841"/>
      <c r="S363" s="1841"/>
      <c r="T363" s="1841"/>
      <c r="U363" s="1841"/>
      <c r="V363" s="1841"/>
      <c r="W363" s="1838"/>
      <c r="X363" s="1838"/>
      <c r="Y363" s="1838"/>
      <c r="Z363" s="1838"/>
      <c r="AA363" s="1838"/>
      <c r="AB363" s="1838"/>
      <c r="AC363" s="1838"/>
      <c r="AD363" s="1838"/>
      <c r="AE363" s="1838"/>
      <c r="AF363" s="1838"/>
      <c r="AG363" s="1838"/>
      <c r="AH363" s="476"/>
      <c r="AI363" s="476"/>
      <c r="AJ363" s="476"/>
      <c r="AK363" s="476"/>
      <c r="AL363" s="476"/>
      <c r="AM363" s="476"/>
      <c r="AN363" s="476"/>
      <c r="AO363" s="476"/>
    </row>
    <row r="364" spans="1:41" ht="19.899999999999999" customHeight="1">
      <c r="A364" s="709"/>
      <c r="B364" s="476"/>
      <c r="C364" s="476"/>
      <c r="D364" s="476"/>
      <c r="E364" s="476"/>
      <c r="F364" s="476"/>
      <c r="G364" s="476"/>
      <c r="H364" s="476"/>
      <c r="I364" s="476"/>
      <c r="J364" s="476"/>
      <c r="K364" s="476"/>
      <c r="M364" s="1841"/>
      <c r="N364" s="1906"/>
      <c r="O364" s="1906"/>
      <c r="P364" s="1906"/>
      <c r="Q364" s="1906"/>
      <c r="R364" s="1900"/>
      <c r="S364" s="1900"/>
      <c r="T364" s="1906"/>
      <c r="U364" s="1841"/>
      <c r="V364" s="1907"/>
      <c r="W364" s="1838"/>
      <c r="X364" s="1838"/>
      <c r="Y364" s="1838"/>
      <c r="Z364" s="1838"/>
      <c r="AA364" s="1838"/>
      <c r="AB364" s="1838"/>
      <c r="AC364" s="1838"/>
      <c r="AD364" s="1838"/>
      <c r="AE364" s="1838"/>
      <c r="AF364" s="1838"/>
      <c r="AG364" s="1838"/>
      <c r="AH364" s="476"/>
      <c r="AI364" s="476"/>
      <c r="AJ364" s="476"/>
      <c r="AK364" s="476"/>
      <c r="AL364" s="476"/>
      <c r="AM364" s="476"/>
      <c r="AN364" s="476"/>
      <c r="AO364" s="476"/>
    </row>
    <row r="365" spans="1:41" ht="19.899999999999999" customHeight="1">
      <c r="A365" s="709"/>
      <c r="B365" s="476"/>
      <c r="C365" s="476"/>
      <c r="D365" s="476"/>
      <c r="E365" s="476"/>
      <c r="F365" s="476"/>
      <c r="G365" s="476"/>
      <c r="H365" s="476"/>
      <c r="I365" s="476"/>
      <c r="J365" s="476"/>
      <c r="K365" s="476"/>
      <c r="M365" s="1838"/>
      <c r="N365" s="1838"/>
      <c r="O365" s="1838"/>
      <c r="P365" s="1838"/>
      <c r="Q365" s="1838"/>
      <c r="R365" s="1838"/>
      <c r="S365" s="1838"/>
      <c r="T365" s="1838"/>
      <c r="U365" s="1838"/>
      <c r="V365" s="1838"/>
      <c r="W365" s="1838"/>
      <c r="X365" s="1838"/>
      <c r="Y365" s="1838"/>
      <c r="Z365" s="1838"/>
      <c r="AA365" s="1838"/>
      <c r="AB365" s="1838"/>
      <c r="AC365" s="1838"/>
      <c r="AD365" s="1838"/>
      <c r="AE365" s="1838"/>
      <c r="AF365" s="1838"/>
      <c r="AG365" s="1838"/>
      <c r="AH365" s="476"/>
      <c r="AI365" s="476"/>
      <c r="AJ365" s="476"/>
      <c r="AK365" s="476"/>
      <c r="AL365" s="476"/>
      <c r="AM365" s="476"/>
      <c r="AN365" s="476"/>
      <c r="AO365" s="476"/>
    </row>
    <row r="366" spans="1:41" ht="19.899999999999999" customHeight="1">
      <c r="A366" s="709"/>
      <c r="B366" s="476"/>
      <c r="C366" s="476"/>
      <c r="D366" s="476"/>
      <c r="E366" s="476"/>
      <c r="F366" s="476"/>
      <c r="G366" s="476"/>
      <c r="H366" s="476"/>
      <c r="I366" s="476"/>
      <c r="J366" s="476"/>
      <c r="K366" s="476"/>
      <c r="M366" s="1838"/>
      <c r="N366" s="1908"/>
      <c r="O366" s="1908"/>
      <c r="P366" s="1908"/>
      <c r="Q366" s="1908"/>
      <c r="R366" s="1908"/>
      <c r="S366" s="1838"/>
      <c r="T366" s="1838"/>
      <c r="U366" s="1838"/>
      <c r="V366" s="1838"/>
      <c r="W366" s="1838"/>
      <c r="X366" s="1838"/>
      <c r="Y366" s="1838"/>
      <c r="Z366" s="1838"/>
      <c r="AA366" s="1838"/>
      <c r="AB366" s="1838"/>
      <c r="AC366" s="1838"/>
      <c r="AD366" s="1838"/>
      <c r="AE366" s="1838"/>
      <c r="AF366" s="1838"/>
      <c r="AG366" s="1838"/>
      <c r="AH366" s="476"/>
      <c r="AI366" s="476"/>
      <c r="AJ366" s="476"/>
      <c r="AK366" s="476"/>
      <c r="AL366" s="476"/>
      <c r="AM366" s="476"/>
      <c r="AN366" s="476"/>
      <c r="AO366" s="476"/>
    </row>
    <row r="367" spans="1:41" ht="19.899999999999999" customHeight="1">
      <c r="A367" s="709"/>
      <c r="B367" s="476"/>
      <c r="C367" s="476"/>
      <c r="D367" s="476"/>
      <c r="E367" s="476"/>
      <c r="F367" s="476"/>
      <c r="G367" s="476"/>
      <c r="H367" s="476"/>
      <c r="I367" s="476"/>
      <c r="J367" s="476"/>
      <c r="K367" s="476"/>
      <c r="M367" s="1838"/>
      <c r="N367" s="1838"/>
      <c r="O367" s="1838"/>
      <c r="P367" s="1838"/>
      <c r="Q367" s="1838"/>
      <c r="R367" s="1838"/>
      <c r="S367" s="1838"/>
      <c r="T367" s="1838"/>
      <c r="U367" s="1838"/>
      <c r="V367" s="1838"/>
      <c r="W367" s="1838"/>
      <c r="X367" s="1838"/>
      <c r="Y367" s="1838"/>
      <c r="Z367" s="1838"/>
      <c r="AA367" s="1838"/>
      <c r="AB367" s="1838"/>
      <c r="AC367" s="1838"/>
      <c r="AD367" s="1838"/>
      <c r="AE367" s="1838"/>
      <c r="AF367" s="1838"/>
      <c r="AG367" s="1838"/>
      <c r="AH367" s="476"/>
      <c r="AI367" s="476"/>
      <c r="AJ367" s="476"/>
      <c r="AK367" s="476"/>
      <c r="AL367" s="476"/>
      <c r="AM367" s="476"/>
      <c r="AN367" s="476"/>
      <c r="AO367" s="476"/>
    </row>
    <row r="368" spans="1:41" ht="19.899999999999999" customHeight="1">
      <c r="A368" s="709"/>
      <c r="B368" s="476"/>
      <c r="C368" s="476"/>
      <c r="D368" s="476"/>
      <c r="E368" s="476"/>
      <c r="F368" s="476"/>
      <c r="G368" s="476"/>
      <c r="H368" s="476"/>
      <c r="I368" s="476"/>
      <c r="J368" s="476"/>
      <c r="K368" s="476"/>
      <c r="M368" s="1838"/>
      <c r="N368" s="1838"/>
      <c r="O368" s="1838"/>
      <c r="P368" s="1838"/>
      <c r="Q368" s="1838"/>
      <c r="R368" s="1838"/>
      <c r="S368" s="1838"/>
      <c r="T368" s="1838"/>
      <c r="U368" s="1838"/>
      <c r="V368" s="1838"/>
      <c r="W368" s="1838"/>
      <c r="X368" s="1838"/>
      <c r="Y368" s="1838"/>
      <c r="Z368" s="1838"/>
      <c r="AA368" s="1838"/>
      <c r="AB368" s="1838"/>
      <c r="AC368" s="1838"/>
      <c r="AD368" s="1838"/>
      <c r="AE368" s="1838"/>
      <c r="AF368" s="1838"/>
      <c r="AG368" s="1838"/>
      <c r="AH368" s="476"/>
      <c r="AI368" s="476"/>
      <c r="AJ368" s="476"/>
      <c r="AK368" s="476"/>
      <c r="AL368" s="476"/>
      <c r="AM368" s="476"/>
      <c r="AN368" s="476"/>
      <c r="AO368" s="476"/>
    </row>
    <row r="369" spans="1:41" ht="19.899999999999999" customHeight="1">
      <c r="A369" s="709"/>
      <c r="B369" s="476"/>
      <c r="C369" s="476"/>
      <c r="D369" s="476"/>
      <c r="E369" s="476"/>
      <c r="F369" s="476"/>
      <c r="G369" s="476"/>
      <c r="H369" s="476"/>
      <c r="I369" s="476"/>
      <c r="J369" s="476"/>
      <c r="K369" s="476"/>
      <c r="M369" s="476"/>
      <c r="N369" s="476"/>
      <c r="O369" s="476"/>
      <c r="P369" s="476"/>
      <c r="Q369" s="476"/>
      <c r="R369" s="476"/>
      <c r="S369" s="476"/>
      <c r="T369" s="476"/>
      <c r="U369" s="476"/>
      <c r="V369" s="476"/>
      <c r="W369" s="476"/>
      <c r="X369" s="476"/>
      <c r="Y369" s="476"/>
      <c r="Z369" s="476"/>
      <c r="AA369" s="476"/>
      <c r="AB369" s="476"/>
      <c r="AC369" s="476"/>
      <c r="AD369" s="476"/>
      <c r="AE369" s="476"/>
      <c r="AF369" s="476"/>
      <c r="AG369" s="476"/>
      <c r="AH369" s="476"/>
      <c r="AI369" s="476"/>
      <c r="AJ369" s="476"/>
      <c r="AK369" s="476"/>
      <c r="AL369" s="476"/>
      <c r="AM369" s="476"/>
      <c r="AN369" s="476"/>
      <c r="AO369" s="476"/>
    </row>
    <row r="370" spans="1:41" ht="19.899999999999999" customHeight="1">
      <c r="A370" s="709"/>
      <c r="B370" s="476"/>
      <c r="C370" s="476"/>
      <c r="D370" s="476"/>
      <c r="E370" s="476"/>
      <c r="F370" s="476"/>
      <c r="G370" s="476"/>
      <c r="H370" s="476"/>
      <c r="I370" s="476"/>
      <c r="J370" s="476"/>
      <c r="K370" s="476"/>
      <c r="M370" s="476"/>
      <c r="N370" s="476"/>
      <c r="O370" s="476"/>
      <c r="P370" s="476"/>
      <c r="Q370" s="476"/>
      <c r="R370" s="476"/>
      <c r="S370" s="476"/>
      <c r="T370" s="476"/>
      <c r="U370" s="476"/>
      <c r="V370" s="476"/>
      <c r="W370" s="476"/>
      <c r="X370" s="476"/>
      <c r="Y370" s="476"/>
      <c r="Z370" s="476"/>
      <c r="AA370" s="476"/>
      <c r="AB370" s="476"/>
      <c r="AC370" s="476"/>
      <c r="AD370" s="476"/>
      <c r="AE370" s="476"/>
      <c r="AF370" s="476"/>
      <c r="AG370" s="476"/>
      <c r="AH370" s="476"/>
      <c r="AI370" s="476"/>
      <c r="AJ370" s="476"/>
      <c r="AK370" s="476"/>
      <c r="AL370" s="476"/>
      <c r="AM370" s="476"/>
      <c r="AN370" s="476"/>
      <c r="AO370" s="476"/>
    </row>
    <row r="371" spans="1:41" ht="19.899999999999999" customHeight="1">
      <c r="A371" s="709"/>
      <c r="B371" s="476"/>
      <c r="C371" s="476"/>
      <c r="D371" s="476"/>
      <c r="E371" s="476"/>
      <c r="F371" s="476"/>
      <c r="G371" s="476"/>
      <c r="H371" s="476"/>
      <c r="I371" s="476"/>
      <c r="J371" s="476"/>
      <c r="K371" s="476"/>
      <c r="L371" s="476"/>
      <c r="M371" s="476"/>
      <c r="N371" s="476"/>
      <c r="O371" s="476"/>
      <c r="P371" s="476"/>
      <c r="Q371" s="476"/>
      <c r="R371" s="476"/>
      <c r="S371" s="476"/>
      <c r="T371" s="476"/>
      <c r="U371" s="476"/>
      <c r="V371" s="476"/>
      <c r="W371" s="476"/>
      <c r="X371" s="476"/>
      <c r="Y371" s="476"/>
      <c r="Z371" s="476"/>
      <c r="AA371" s="476"/>
      <c r="AB371" s="476"/>
      <c r="AC371" s="476"/>
      <c r="AD371" s="476"/>
      <c r="AE371" s="476"/>
      <c r="AF371" s="476"/>
      <c r="AG371" s="476"/>
      <c r="AH371" s="476"/>
      <c r="AI371" s="476"/>
      <c r="AJ371" s="476"/>
      <c r="AK371" s="476"/>
      <c r="AL371" s="476"/>
      <c r="AM371" s="476"/>
      <c r="AN371" s="476"/>
      <c r="AO371" s="476"/>
    </row>
    <row r="372" spans="1:41" ht="19.899999999999999" customHeight="1">
      <c r="A372" s="709"/>
      <c r="B372" s="476"/>
      <c r="C372" s="476"/>
      <c r="D372" s="476"/>
      <c r="E372" s="476"/>
      <c r="F372" s="476"/>
      <c r="G372" s="476"/>
      <c r="H372" s="476"/>
      <c r="I372" s="476"/>
      <c r="J372" s="476"/>
      <c r="K372" s="476"/>
      <c r="L372" s="476"/>
      <c r="M372" s="476"/>
      <c r="N372" s="476"/>
      <c r="O372" s="476"/>
      <c r="P372" s="476"/>
      <c r="Q372" s="476"/>
      <c r="R372" s="476"/>
      <c r="S372" s="476"/>
      <c r="T372" s="476"/>
      <c r="U372" s="476"/>
      <c r="V372" s="476"/>
      <c r="W372" s="476"/>
      <c r="X372" s="476"/>
      <c r="Y372" s="476"/>
      <c r="Z372" s="476"/>
      <c r="AA372" s="476"/>
      <c r="AB372" s="476"/>
      <c r="AC372" s="476"/>
      <c r="AD372" s="476"/>
      <c r="AE372" s="476"/>
      <c r="AF372" s="476"/>
      <c r="AG372" s="476"/>
      <c r="AH372" s="476"/>
      <c r="AI372" s="476"/>
      <c r="AJ372" s="476"/>
      <c r="AK372" s="476"/>
      <c r="AL372" s="476"/>
      <c r="AM372" s="476"/>
      <c r="AN372" s="476"/>
      <c r="AO372" s="476"/>
    </row>
    <row r="373" spans="1:41" ht="19.899999999999999" customHeight="1">
      <c r="A373" s="709"/>
      <c r="B373" s="476"/>
      <c r="C373" s="476"/>
      <c r="D373" s="476"/>
      <c r="E373" s="476"/>
      <c r="F373" s="476"/>
      <c r="G373" s="476"/>
      <c r="H373" s="476"/>
      <c r="I373" s="476"/>
      <c r="J373" s="476"/>
      <c r="K373" s="476"/>
      <c r="L373" s="476"/>
      <c r="M373" s="476"/>
      <c r="N373" s="476"/>
      <c r="O373" s="476"/>
      <c r="P373" s="476"/>
      <c r="Q373" s="476"/>
      <c r="R373" s="476"/>
      <c r="S373" s="476"/>
      <c r="T373" s="476"/>
      <c r="U373" s="476"/>
      <c r="V373" s="476"/>
    </row>
    <row r="374" spans="1:41" ht="19.899999999999999" customHeight="1">
      <c r="A374" s="709"/>
      <c r="B374" s="476"/>
      <c r="C374" s="476"/>
      <c r="D374" s="476"/>
      <c r="E374" s="476"/>
      <c r="F374" s="476"/>
      <c r="G374" s="476"/>
      <c r="H374" s="476"/>
      <c r="I374" s="476"/>
      <c r="J374" s="476"/>
      <c r="K374" s="476"/>
      <c r="L374" s="476"/>
      <c r="M374" s="476"/>
      <c r="N374" s="476"/>
      <c r="O374" s="476"/>
      <c r="P374" s="476"/>
      <c r="Q374" s="476"/>
      <c r="R374" s="476"/>
      <c r="S374" s="476"/>
      <c r="T374" s="476"/>
      <c r="U374" s="476"/>
      <c r="V374" s="476"/>
    </row>
    <row r="375" spans="1:41" ht="19.899999999999999" customHeight="1">
      <c r="A375" s="709"/>
      <c r="B375" s="476"/>
      <c r="C375" s="476"/>
      <c r="D375" s="476"/>
      <c r="E375" s="476"/>
      <c r="F375" s="476"/>
      <c r="G375" s="476"/>
      <c r="H375" s="476"/>
      <c r="I375" s="476"/>
      <c r="J375" s="476"/>
      <c r="K375" s="476"/>
      <c r="L375" s="476"/>
      <c r="M375" s="476"/>
      <c r="N375" s="476"/>
      <c r="O375" s="476"/>
      <c r="P375" s="476"/>
      <c r="Q375" s="476"/>
      <c r="R375" s="476"/>
      <c r="S375" s="476"/>
      <c r="T375" s="476"/>
      <c r="U375" s="476"/>
      <c r="V375" s="476"/>
    </row>
    <row r="376" spans="1:41" ht="19.899999999999999" customHeight="1">
      <c r="A376" s="709"/>
      <c r="B376" s="476"/>
      <c r="C376" s="476"/>
      <c r="D376" s="476"/>
      <c r="E376" s="476"/>
      <c r="F376" s="476"/>
      <c r="G376" s="476"/>
      <c r="H376" s="476"/>
      <c r="I376" s="476"/>
      <c r="J376" s="476"/>
      <c r="K376" s="476"/>
      <c r="L376" s="476"/>
      <c r="M376" s="476"/>
      <c r="N376" s="476"/>
      <c r="O376" s="476"/>
      <c r="P376" s="476"/>
      <c r="Q376" s="476"/>
      <c r="R376" s="476"/>
      <c r="S376" s="476"/>
      <c r="T376" s="476"/>
      <c r="U376" s="476"/>
      <c r="V376" s="476"/>
    </row>
    <row r="377" spans="1:41" ht="19.899999999999999" customHeight="1">
      <c r="A377" s="709"/>
      <c r="B377" s="476"/>
      <c r="C377" s="476"/>
      <c r="D377" s="476"/>
      <c r="E377" s="476"/>
      <c r="F377" s="476"/>
      <c r="G377" s="476"/>
      <c r="H377" s="476"/>
      <c r="I377" s="476"/>
      <c r="J377" s="476"/>
      <c r="K377" s="476"/>
      <c r="L377" s="476"/>
      <c r="M377" s="476"/>
      <c r="N377" s="476"/>
      <c r="O377" s="476"/>
      <c r="P377" s="476"/>
      <c r="Q377" s="476"/>
      <c r="R377" s="476"/>
      <c r="S377" s="476"/>
      <c r="T377" s="476"/>
      <c r="U377" s="476"/>
      <c r="V377" s="476"/>
    </row>
    <row r="378" spans="1:41" ht="19.899999999999999" customHeight="1">
      <c r="A378" s="709"/>
      <c r="B378" s="476"/>
      <c r="C378" s="476"/>
      <c r="D378" s="476"/>
      <c r="E378" s="476"/>
      <c r="F378" s="476"/>
      <c r="G378" s="476"/>
      <c r="H378" s="476"/>
      <c r="I378" s="476"/>
      <c r="J378" s="476"/>
      <c r="K378" s="476"/>
      <c r="L378" s="476"/>
      <c r="M378" s="476"/>
      <c r="N378" s="476"/>
      <c r="O378" s="476"/>
      <c r="P378" s="476"/>
      <c r="Q378" s="476"/>
      <c r="R378" s="476"/>
      <c r="S378" s="476"/>
      <c r="T378" s="476"/>
      <c r="U378" s="476"/>
      <c r="V378" s="476"/>
    </row>
    <row r="379" spans="1:41" ht="19.899999999999999" customHeight="1">
      <c r="A379" s="709"/>
      <c r="B379" s="476"/>
      <c r="C379" s="476"/>
      <c r="D379" s="476"/>
      <c r="E379" s="476"/>
      <c r="F379" s="476"/>
      <c r="G379" s="476"/>
      <c r="H379" s="476"/>
      <c r="I379" s="476"/>
      <c r="J379" s="476"/>
      <c r="K379" s="476"/>
      <c r="L379" s="476"/>
      <c r="M379" s="476"/>
      <c r="N379" s="476"/>
      <c r="O379" s="476"/>
      <c r="P379" s="476"/>
      <c r="Q379" s="476"/>
      <c r="R379" s="476"/>
      <c r="S379" s="476"/>
      <c r="T379" s="476"/>
      <c r="U379" s="476"/>
      <c r="V379" s="476"/>
    </row>
    <row r="380" spans="1:41" ht="19.899999999999999" customHeight="1">
      <c r="A380" s="709"/>
      <c r="B380" s="476"/>
      <c r="C380" s="476"/>
      <c r="D380" s="476"/>
      <c r="E380" s="476"/>
      <c r="F380" s="476"/>
      <c r="G380" s="476"/>
      <c r="H380" s="476"/>
      <c r="I380" s="476"/>
      <c r="J380" s="476"/>
      <c r="K380" s="476"/>
      <c r="L380" s="476"/>
      <c r="M380" s="476"/>
      <c r="N380" s="476"/>
      <c r="O380" s="476"/>
      <c r="P380" s="476"/>
      <c r="Q380" s="476"/>
      <c r="R380" s="476"/>
      <c r="S380" s="476"/>
      <c r="T380" s="476"/>
      <c r="U380" s="476"/>
      <c r="V380" s="476"/>
    </row>
    <row r="381" spans="1:41" ht="19.899999999999999" customHeight="1">
      <c r="A381" s="709"/>
      <c r="B381" s="476"/>
      <c r="C381" s="476"/>
      <c r="D381" s="476"/>
      <c r="E381" s="476"/>
      <c r="F381" s="476"/>
      <c r="G381" s="476"/>
      <c r="H381" s="476"/>
      <c r="I381" s="476"/>
      <c r="J381" s="476"/>
      <c r="K381" s="476"/>
      <c r="L381" s="476"/>
      <c r="M381" s="476"/>
      <c r="N381" s="476"/>
      <c r="O381" s="476"/>
      <c r="P381" s="476"/>
      <c r="Q381" s="476"/>
      <c r="R381" s="476"/>
      <c r="S381" s="476"/>
      <c r="T381" s="476"/>
      <c r="U381" s="476"/>
      <c r="V381" s="476"/>
    </row>
    <row r="382" spans="1:41" ht="19.899999999999999" customHeight="1">
      <c r="A382" s="709"/>
      <c r="B382" s="476"/>
      <c r="C382" s="476"/>
      <c r="D382" s="476"/>
      <c r="E382" s="476"/>
      <c r="F382" s="476"/>
      <c r="G382" s="476"/>
      <c r="H382" s="476"/>
      <c r="I382" s="476"/>
      <c r="J382" s="476"/>
      <c r="K382" s="476"/>
      <c r="L382" s="476"/>
      <c r="M382" s="476"/>
      <c r="N382" s="476"/>
      <c r="O382" s="476"/>
      <c r="P382" s="476"/>
      <c r="Q382" s="476"/>
      <c r="R382" s="476"/>
      <c r="S382" s="476"/>
      <c r="T382" s="476"/>
      <c r="U382" s="476"/>
      <c r="V382" s="476"/>
    </row>
    <row r="383" spans="1:41" ht="19.899999999999999" customHeight="1">
      <c r="A383" s="709"/>
      <c r="B383" s="476"/>
      <c r="C383" s="476"/>
      <c r="D383" s="476"/>
      <c r="E383" s="476"/>
      <c r="F383" s="476"/>
      <c r="G383" s="476"/>
      <c r="H383" s="476"/>
      <c r="I383" s="476"/>
      <c r="J383" s="476"/>
      <c r="K383" s="476"/>
      <c r="L383" s="476"/>
      <c r="M383" s="476"/>
      <c r="N383" s="476"/>
      <c r="O383" s="476"/>
      <c r="P383" s="476"/>
      <c r="Q383" s="476"/>
      <c r="R383" s="476"/>
      <c r="S383" s="476"/>
      <c r="T383" s="476"/>
      <c r="U383" s="476"/>
      <c r="V383" s="476"/>
    </row>
    <row r="384" spans="1:41" ht="19.899999999999999" customHeight="1">
      <c r="A384" s="709"/>
      <c r="B384" s="476"/>
      <c r="C384" s="476"/>
      <c r="D384" s="476"/>
      <c r="E384" s="476"/>
      <c r="F384" s="476"/>
      <c r="G384" s="476"/>
      <c r="H384" s="476"/>
      <c r="I384" s="476"/>
      <c r="J384" s="476"/>
      <c r="K384" s="476"/>
      <c r="L384" s="476"/>
      <c r="M384" s="476"/>
      <c r="N384" s="476"/>
      <c r="O384" s="476"/>
      <c r="P384" s="476"/>
      <c r="Q384" s="476"/>
      <c r="R384" s="476"/>
      <c r="S384" s="476"/>
      <c r="T384" s="476"/>
      <c r="U384" s="476"/>
      <c r="V384" s="476"/>
    </row>
    <row r="385" spans="1:22" ht="19.899999999999999" customHeight="1">
      <c r="A385" s="709"/>
      <c r="B385" s="476"/>
      <c r="C385" s="476"/>
      <c r="D385" s="476"/>
      <c r="E385" s="476"/>
      <c r="F385" s="476"/>
      <c r="G385" s="476"/>
      <c r="H385" s="476"/>
      <c r="I385" s="476"/>
      <c r="J385" s="476"/>
      <c r="K385" s="476"/>
      <c r="L385" s="476"/>
      <c r="M385" s="476"/>
      <c r="N385" s="476"/>
      <c r="O385" s="476"/>
      <c r="P385" s="476"/>
      <c r="Q385" s="476"/>
      <c r="R385" s="476"/>
      <c r="S385" s="476"/>
      <c r="T385" s="476"/>
      <c r="U385" s="476"/>
      <c r="V385" s="476"/>
    </row>
    <row r="386" spans="1:22" ht="19.899999999999999" customHeight="1">
      <c r="A386" s="709"/>
      <c r="B386" s="476"/>
      <c r="C386" s="476"/>
      <c r="D386" s="476"/>
      <c r="E386" s="476"/>
      <c r="F386" s="476"/>
      <c r="G386" s="476"/>
      <c r="H386" s="476"/>
      <c r="I386" s="476"/>
      <c r="J386" s="476"/>
      <c r="K386" s="476"/>
      <c r="L386" s="476"/>
      <c r="M386" s="476"/>
      <c r="N386" s="476"/>
      <c r="O386" s="476"/>
      <c r="P386" s="476"/>
      <c r="Q386" s="476"/>
      <c r="R386" s="476"/>
      <c r="S386" s="476"/>
      <c r="T386" s="476"/>
      <c r="U386" s="476"/>
      <c r="V386" s="476"/>
    </row>
    <row r="387" spans="1:22" ht="19.899999999999999" customHeight="1">
      <c r="A387" s="709"/>
      <c r="B387" s="476"/>
      <c r="C387" s="476"/>
      <c r="D387" s="476"/>
      <c r="E387" s="476"/>
      <c r="F387" s="476"/>
      <c r="G387" s="476"/>
      <c r="H387" s="476"/>
      <c r="I387" s="476"/>
      <c r="J387" s="476"/>
      <c r="K387" s="476"/>
      <c r="L387" s="476"/>
      <c r="M387" s="476"/>
      <c r="N387" s="476"/>
      <c r="O387" s="476"/>
      <c r="P387" s="476"/>
      <c r="Q387" s="476"/>
      <c r="R387" s="476"/>
      <c r="S387" s="476"/>
      <c r="T387" s="476"/>
      <c r="U387" s="476"/>
      <c r="V387" s="476"/>
    </row>
    <row r="388" spans="1:22" ht="19.899999999999999" customHeight="1">
      <c r="A388" s="709"/>
      <c r="B388" s="476"/>
      <c r="C388" s="476"/>
      <c r="D388" s="476"/>
      <c r="E388" s="476"/>
      <c r="F388" s="476"/>
      <c r="G388" s="476"/>
      <c r="H388" s="476"/>
      <c r="I388" s="476"/>
      <c r="J388" s="476"/>
      <c r="K388" s="476"/>
      <c r="L388" s="476"/>
      <c r="M388" s="476"/>
      <c r="N388" s="476"/>
      <c r="O388" s="476"/>
      <c r="P388" s="476"/>
      <c r="Q388" s="476"/>
      <c r="R388" s="476"/>
      <c r="S388" s="476"/>
      <c r="T388" s="476"/>
      <c r="U388" s="476"/>
      <c r="V388" s="476"/>
    </row>
    <row r="389" spans="1:22" ht="19.899999999999999" customHeight="1">
      <c r="A389" s="709"/>
      <c r="B389" s="476"/>
      <c r="C389" s="476"/>
      <c r="D389" s="476"/>
      <c r="E389" s="476"/>
      <c r="F389" s="476"/>
      <c r="G389" s="476"/>
      <c r="H389" s="476"/>
      <c r="I389" s="476"/>
      <c r="J389" s="476"/>
      <c r="K389" s="476"/>
      <c r="L389" s="476"/>
      <c r="M389" s="476"/>
      <c r="N389" s="476"/>
      <c r="O389" s="476"/>
      <c r="P389" s="476"/>
      <c r="Q389" s="476"/>
      <c r="R389" s="476"/>
      <c r="S389" s="476"/>
      <c r="T389" s="476"/>
      <c r="U389" s="476"/>
      <c r="V389" s="476"/>
    </row>
    <row r="390" spans="1:22" ht="19.899999999999999" customHeight="1">
      <c r="A390" s="709"/>
      <c r="B390" s="476"/>
      <c r="C390" s="476"/>
      <c r="D390" s="476"/>
      <c r="E390" s="476"/>
      <c r="F390" s="476"/>
      <c r="G390" s="476"/>
      <c r="H390" s="476"/>
      <c r="I390" s="476"/>
      <c r="J390" s="476"/>
      <c r="K390" s="476"/>
      <c r="L390" s="476"/>
      <c r="M390" s="476"/>
      <c r="N390" s="476"/>
      <c r="O390" s="476"/>
      <c r="P390" s="476"/>
      <c r="Q390" s="476"/>
      <c r="R390" s="476"/>
      <c r="S390" s="476"/>
      <c r="T390" s="476"/>
      <c r="U390" s="476"/>
      <c r="V390" s="476"/>
    </row>
    <row r="391" spans="1:22" ht="19.899999999999999" customHeight="1">
      <c r="A391" s="709"/>
      <c r="B391" s="476"/>
      <c r="C391" s="476"/>
      <c r="D391" s="476"/>
      <c r="E391" s="476"/>
      <c r="F391" s="476"/>
      <c r="G391" s="476"/>
      <c r="H391" s="476"/>
      <c r="I391" s="476"/>
      <c r="J391" s="476"/>
      <c r="K391" s="476"/>
      <c r="L391" s="476"/>
      <c r="M391" s="476"/>
      <c r="N391" s="476"/>
      <c r="O391" s="476"/>
      <c r="P391" s="476"/>
      <c r="Q391" s="476"/>
      <c r="R391" s="476"/>
      <c r="S391" s="476"/>
      <c r="T391" s="476"/>
      <c r="U391" s="476"/>
      <c r="V391" s="476"/>
    </row>
    <row r="392" spans="1:22" ht="19.899999999999999" customHeight="1">
      <c r="A392" s="709"/>
      <c r="B392" s="476"/>
      <c r="C392" s="476"/>
      <c r="D392" s="476"/>
      <c r="E392" s="476"/>
      <c r="F392" s="476"/>
      <c r="G392" s="476"/>
      <c r="H392" s="476"/>
      <c r="I392" s="476"/>
      <c r="J392" s="476"/>
      <c r="K392" s="476"/>
      <c r="L392" s="476"/>
      <c r="M392" s="476"/>
      <c r="N392" s="476"/>
      <c r="O392" s="476"/>
      <c r="P392" s="476"/>
      <c r="Q392" s="476"/>
      <c r="R392" s="476"/>
      <c r="S392" s="476"/>
      <c r="T392" s="476"/>
      <c r="U392" s="476"/>
      <c r="V392" s="476"/>
    </row>
  </sheetData>
  <mergeCells count="72">
    <mergeCell ref="M313:M314"/>
    <mergeCell ref="S309:U309"/>
    <mergeCell ref="V309:X309"/>
    <mergeCell ref="Y309:Z309"/>
    <mergeCell ref="AA309:AB309"/>
    <mergeCell ref="AC309:AD309"/>
    <mergeCell ref="AE309:AF309"/>
    <mergeCell ref="A245:B245"/>
    <mergeCell ref="AA294:AC294"/>
    <mergeCell ref="N298:N300"/>
    <mergeCell ref="S308:X308"/>
    <mergeCell ref="Y308:AB308"/>
    <mergeCell ref="AC308:AF308"/>
    <mergeCell ref="J240:J241"/>
    <mergeCell ref="K240:K241"/>
    <mergeCell ref="J239:K239"/>
    <mergeCell ref="L187:L188"/>
    <mergeCell ref="F195:G195"/>
    <mergeCell ref="C219:C220"/>
    <mergeCell ref="D219:E219"/>
    <mergeCell ref="L219:L220"/>
    <mergeCell ref="M219:N219"/>
    <mergeCell ref="D220:E220"/>
    <mergeCell ref="M220:N220"/>
    <mergeCell ref="A164:C164"/>
    <mergeCell ref="A165:C165"/>
    <mergeCell ref="A166:C166"/>
    <mergeCell ref="B168:C168"/>
    <mergeCell ref="A176:B176"/>
    <mergeCell ref="A177:B177"/>
    <mergeCell ref="A140:B140"/>
    <mergeCell ref="A143:C143"/>
    <mergeCell ref="H144:I144"/>
    <mergeCell ref="Q144:R144"/>
    <mergeCell ref="H153:I153"/>
    <mergeCell ref="H163:I163"/>
    <mergeCell ref="H112:I112"/>
    <mergeCell ref="K112:L113"/>
    <mergeCell ref="A121:B121"/>
    <mergeCell ref="A125:B125"/>
    <mergeCell ref="A135:B135"/>
    <mergeCell ref="A139:B139"/>
    <mergeCell ref="A60:A62"/>
    <mergeCell ref="F73:G73"/>
    <mergeCell ref="H73:I73"/>
    <mergeCell ref="J73:K73"/>
    <mergeCell ref="B74:C74"/>
    <mergeCell ref="A110:B110"/>
    <mergeCell ref="A52:A54"/>
    <mergeCell ref="I55:J55"/>
    <mergeCell ref="I56:J56"/>
    <mergeCell ref="M56:P56"/>
    <mergeCell ref="A57:A59"/>
    <mergeCell ref="D29:E29"/>
    <mergeCell ref="H33:H34"/>
    <mergeCell ref="D36:E36"/>
    <mergeCell ref="D37:E37"/>
    <mergeCell ref="H17:H19"/>
    <mergeCell ref="N18:N19"/>
    <mergeCell ref="N20:N23"/>
    <mergeCell ref="D22:E22"/>
    <mergeCell ref="H25:H26"/>
    <mergeCell ref="I25:I26"/>
    <mergeCell ref="D6:E6"/>
    <mergeCell ref="A10:A11"/>
    <mergeCell ref="H12:H13"/>
    <mergeCell ref="I12:I13"/>
    <mergeCell ref="D14:E14"/>
    <mergeCell ref="P16:U16"/>
    <mergeCell ref="A1:B1"/>
    <mergeCell ref="A2:B2"/>
    <mergeCell ref="A4:B4"/>
  </mergeCells>
  <conditionalFormatting sqref="B181:F181">
    <cfRule type="expression" dxfId="23" priority="24">
      <formula>$M$180="NO"</formula>
    </cfRule>
  </conditionalFormatting>
  <conditionalFormatting sqref="B249:F249">
    <cfRule type="expression" dxfId="22" priority="23">
      <formula>$M$248="NO"</formula>
    </cfRule>
  </conditionalFormatting>
  <conditionalFormatting sqref="A140:F140">
    <cfRule type="expression" dxfId="21" priority="22">
      <formula>$M$140="NO"</formula>
    </cfRule>
  </conditionalFormatting>
  <conditionalFormatting sqref="A245:F245">
    <cfRule type="expression" dxfId="20" priority="21">
      <formula>$M$245="NO"</formula>
    </cfRule>
  </conditionalFormatting>
  <conditionalFormatting sqref="A177:F177">
    <cfRule type="expression" dxfId="19" priority="20">
      <formula>$M$177="NO"</formula>
    </cfRule>
  </conditionalFormatting>
  <conditionalFormatting sqref="C176 F176 H176 F244 H244">
    <cfRule type="expression" dxfId="18" priority="19">
      <formula>$M$176="NO"</formula>
    </cfRule>
  </conditionalFormatting>
  <conditionalFormatting sqref="A68:L68">
    <cfRule type="expression" dxfId="17" priority="18">
      <formula>$M$68="Chưa OK"</formula>
    </cfRule>
  </conditionalFormatting>
  <conditionalFormatting sqref="A176">
    <cfRule type="expression" dxfId="16" priority="17">
      <formula>#REF!="NO"</formula>
    </cfRule>
  </conditionalFormatting>
  <conditionalFormatting sqref="G176">
    <cfRule type="expression" dxfId="15" priority="16">
      <formula>#REF!="NO"</formula>
    </cfRule>
  </conditionalFormatting>
  <conditionalFormatting sqref="E176">
    <cfRule type="expression" dxfId="14" priority="15">
      <formula>#REF!="NO"</formula>
    </cfRule>
  </conditionalFormatting>
  <conditionalFormatting sqref="C244">
    <cfRule type="expression" dxfId="13" priority="14">
      <formula>$M$176="NO"</formula>
    </cfRule>
  </conditionalFormatting>
  <conditionalFormatting sqref="A244">
    <cfRule type="expression" dxfId="12" priority="13">
      <formula>#REF!="NO"</formula>
    </cfRule>
  </conditionalFormatting>
  <conditionalFormatting sqref="G244">
    <cfRule type="expression" dxfId="11" priority="12">
      <formula>#REF!="NO"</formula>
    </cfRule>
  </conditionalFormatting>
  <conditionalFormatting sqref="E244">
    <cfRule type="expression" dxfId="10" priority="11">
      <formula>#REF!="NO"</formula>
    </cfRule>
  </conditionalFormatting>
  <conditionalFormatting sqref="A244:L244">
    <cfRule type="expression" dxfId="9" priority="8">
      <formula>$N$244="Thép quá lớn"</formula>
    </cfRule>
    <cfRule type="expression" dxfId="8" priority="10">
      <formula>$M$244="NO"</formula>
    </cfRule>
  </conditionalFormatting>
  <conditionalFormatting sqref="A176:L176">
    <cfRule type="expression" dxfId="7" priority="9">
      <formula>$N$176="Thép lớn quá"</formula>
    </cfRule>
  </conditionalFormatting>
  <conditionalFormatting sqref="M110">
    <cfRule type="expression" dxfId="6" priority="7">
      <formula>$M$121="NO"</formula>
    </cfRule>
  </conditionalFormatting>
  <conditionalFormatting sqref="A110:L110">
    <cfRule type="expression" dxfId="5" priority="5">
      <formula>$M$110="NO"</formula>
    </cfRule>
  </conditionalFormatting>
  <conditionalFormatting sqref="M125">
    <cfRule type="expression" dxfId="4" priority="6">
      <formula>$M$121="NO"</formula>
    </cfRule>
  </conditionalFormatting>
  <conditionalFormatting sqref="A121:L121">
    <cfRule type="expression" dxfId="3" priority="4">
      <formula>$M$121="NO"</formula>
    </cfRule>
  </conditionalFormatting>
  <conditionalFormatting sqref="A125:L125">
    <cfRule type="expression" dxfId="2" priority="3">
      <formula>$M$125="NO"</formula>
    </cfRule>
  </conditionalFormatting>
  <conditionalFormatting sqref="A139:L139">
    <cfRule type="expression" dxfId="1" priority="2">
      <formula>$M$139="NO"</formula>
    </cfRule>
  </conditionalFormatting>
  <conditionalFormatting sqref="A135:L135">
    <cfRule type="expression" dxfId="0" priority="1">
      <formula>$M$135="NO"</formula>
    </cfRule>
  </conditionalFormatting>
  <dataValidations disablePrompts="1" count="6">
    <dataValidation type="list" allowBlank="1" showInputMessage="1" showErrorMessage="1" sqref="N3" xr:uid="{69A31090-4A28-45F0-B81A-839684CB8530}">
      <formula1>"TKCS,TKKT,TKBVTC"</formula1>
    </dataValidation>
    <dataValidation type="list" allowBlank="1" showInputMessage="1" showErrorMessage="1" sqref="E70" xr:uid="{4C2E2550-F6E5-463E-A2C9-0660D02D28C0}">
      <formula1>"M200,M250,M300,M350,M400"</formula1>
    </dataValidation>
    <dataValidation type="list" allowBlank="1" showInputMessage="1" showErrorMessage="1" sqref="C176 C244" xr:uid="{88780346-7E60-4347-8E1E-E798F771DCED}">
      <formula1>"12,14,16,18,20,22,25,28,30"</formula1>
    </dataValidation>
    <dataValidation type="list" allowBlank="1" showInputMessage="1" showErrorMessage="1" sqref="C139 C121 C125 C110 C135" xr:uid="{5FE35594-E5F2-4D83-BA90-96139D7CD8BE}">
      <formula1>"10,12,14,16"</formula1>
    </dataValidation>
    <dataValidation type="list" allowBlank="1" showInputMessage="1" showErrorMessage="1" sqref="C5" xr:uid="{E9A0A918-8414-4BED-A09E-12007213A128}">
      <formula1>"TKCS, TKBVTC"</formula1>
    </dataValidation>
    <dataValidation type="list" allowBlank="1" showInputMessage="1" showErrorMessage="1" errorTitle="Lỗi" error="Không có dữ liệu" sqref="L42" xr:uid="{669399D8-C3F0-402D-B5A4-3FD12D742383}">
      <formula1>"M36-250, M42-250, M48-250, M56, M64, M72, M80, M90"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2" fitToHeight="6" orientation="portrait" blackAndWhite="1" r:id="rId1"/>
  <headerFooter alignWithMargins="0">
    <oddFooter xml:space="preserve">&amp;C
&amp;R&amp;12&amp;Y </oddFooter>
  </headerFooter>
  <rowBreaks count="4" manualBreakCount="4">
    <brk id="51" max="11" man="1"/>
    <brk id="95" max="11" man="1"/>
    <brk id="140" max="11" man="1"/>
    <brk id="181" max="11" man="1"/>
  </row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5ECA2-F39C-42FC-AD27-4A6289C5F8A1}">
  <dimension ref="A1:AH107"/>
  <sheetViews>
    <sheetView zoomScaleNormal="100" workbookViewId="0">
      <selection activeCell="AH3" sqref="AH3"/>
    </sheetView>
  </sheetViews>
  <sheetFormatPr defaultColWidth="9.09765625" defaultRowHeight="13" outlineLevelRow="1"/>
  <cols>
    <col min="1" max="1" width="9.09765625" style="2"/>
    <col min="2" max="2" width="7.3984375" style="2" customWidth="1"/>
    <col min="3" max="3" width="3.09765625" style="2" customWidth="1"/>
    <col min="4" max="4" width="5.8984375" style="2" customWidth="1"/>
    <col min="5" max="5" width="3.09765625" style="10" customWidth="1"/>
    <col min="6" max="6" width="5" style="10" customWidth="1"/>
    <col min="7" max="7" width="2.8984375" style="10" customWidth="1"/>
    <col min="8" max="8" width="2.8984375" style="2" customWidth="1"/>
    <col min="9" max="9" width="3.3984375" style="2" customWidth="1"/>
    <col min="10" max="10" width="2.8984375" style="2" customWidth="1"/>
    <col min="11" max="11" width="4.09765625" style="2" customWidth="1"/>
    <col min="12" max="12" width="3.8984375" style="2" customWidth="1"/>
    <col min="13" max="13" width="11.8984375" style="2" customWidth="1"/>
    <col min="14" max="14" width="9.59765625" style="2" customWidth="1"/>
    <col min="15" max="15" width="12.296875" style="2" customWidth="1"/>
    <col min="16" max="16" width="12.8984375" style="2" customWidth="1"/>
    <col min="17" max="17" width="8.09765625" style="2" customWidth="1"/>
    <col min="18" max="18" width="12.59765625" style="2" customWidth="1"/>
    <col min="19" max="19" width="11.69921875" style="2" customWidth="1"/>
    <col min="20" max="20" width="12.69921875" style="2" customWidth="1"/>
    <col min="21" max="21" width="11" style="2" customWidth="1"/>
    <col min="22" max="22" width="9.69921875" style="2" bestFit="1" customWidth="1"/>
    <col min="23" max="23" width="11.59765625" style="2" customWidth="1"/>
    <col min="24" max="31" width="7.3984375" style="2" customWidth="1"/>
    <col min="32" max="16384" width="9.09765625" style="2"/>
  </cols>
  <sheetData>
    <row r="1" spans="2:34" ht="16.5" customHeight="1">
      <c r="D1" s="2">
        <f>(N1-N7-N4*2)/2</f>
        <v>3750</v>
      </c>
      <c r="F1" s="985"/>
      <c r="G1" s="983"/>
      <c r="M1" s="2" t="s">
        <v>1030</v>
      </c>
      <c r="N1" s="981">
        <f>'D122-42'!K11*1000</f>
        <v>12000</v>
      </c>
      <c r="O1" s="2" t="s">
        <v>53</v>
      </c>
      <c r="Q1" s="2">
        <f>'D122-42'!F103*1000</f>
        <v>75</v>
      </c>
      <c r="S1" s="2" t="s">
        <v>1031</v>
      </c>
      <c r="T1" s="1267">
        <f>'D122-42'!C132</f>
        <v>14</v>
      </c>
      <c r="U1" s="2">
        <f>'D122-42'!E132*10</f>
        <v>200</v>
      </c>
      <c r="V1" s="2" t="s">
        <v>1032</v>
      </c>
      <c r="Y1" s="893">
        <v>3</v>
      </c>
    </row>
    <row r="2" spans="2:34" ht="16.5" customHeight="1">
      <c r="D2" s="2">
        <f>(N2-N7-N4*2)/2</f>
        <v>2750</v>
      </c>
      <c r="M2" s="2" t="s">
        <v>1033</v>
      </c>
      <c r="N2" s="981">
        <f>'D122-42'!K10*1000</f>
        <v>10000</v>
      </c>
      <c r="O2" s="2" t="s">
        <v>1034</v>
      </c>
      <c r="Q2" s="981">
        <f>'D122-42'!K20*1000</f>
        <v>1000</v>
      </c>
      <c r="T2" s="1267">
        <f>'D122-42'!C107</f>
        <v>14</v>
      </c>
      <c r="U2" s="2">
        <f>'D122-42'!E107*10</f>
        <v>120</v>
      </c>
      <c r="V2" s="2" t="s">
        <v>1035</v>
      </c>
      <c r="Y2" s="893">
        <v>4</v>
      </c>
      <c r="Z2" s="85">
        <f>AD2</f>
        <v>45</v>
      </c>
      <c r="AA2" s="85"/>
      <c r="AB2" s="85">
        <f>ROUND((V7/2/Y2)*((W7+N15/4)/Y1),0)</f>
        <v>36</v>
      </c>
      <c r="AC2" s="85"/>
      <c r="AD2" s="85">
        <f>ROUND((V6/2/Y2)*(V7/2/Y2),0)</f>
        <v>45</v>
      </c>
    </row>
    <row r="3" spans="2:34" ht="16.5" customHeight="1">
      <c r="M3" s="2" t="s">
        <v>1036</v>
      </c>
      <c r="N3" s="2">
        <f>'D122-42'!K19*1000</f>
        <v>350</v>
      </c>
      <c r="O3" s="2" t="s">
        <v>610</v>
      </c>
      <c r="Q3" s="2">
        <f>'D122-42'!K23*1000</f>
        <v>700</v>
      </c>
      <c r="S3" s="2" t="s">
        <v>1037</v>
      </c>
      <c r="T3" s="1267">
        <f>'D122-42'!C173</f>
        <v>25</v>
      </c>
      <c r="U3" s="2">
        <f>'D122-42'!E173</f>
        <v>8</v>
      </c>
      <c r="Z3" s="85"/>
      <c r="AA3" s="85"/>
      <c r="AB3" s="85"/>
      <c r="AC3" s="85"/>
      <c r="AD3" s="85"/>
    </row>
    <row r="4" spans="2:34" ht="16.5" customHeight="1">
      <c r="K4" s="2" t="s">
        <v>1038</v>
      </c>
      <c r="M4" s="2" t="s">
        <v>1039</v>
      </c>
      <c r="N4" s="2">
        <f>'D122-42'!K16*1000</f>
        <v>500</v>
      </c>
      <c r="O4" s="2" t="s">
        <v>445</v>
      </c>
      <c r="Q4" s="2">
        <f>'D122-42'!K14*1000</f>
        <v>3500</v>
      </c>
      <c r="S4" s="2" t="s">
        <v>1040</v>
      </c>
      <c r="T4" s="1267">
        <f>'D122-42'!C241</f>
        <v>25</v>
      </c>
      <c r="U4" s="2">
        <f>'D122-42'!E241</f>
        <v>4</v>
      </c>
      <c r="Z4" s="85">
        <f>AD4</f>
        <v>49</v>
      </c>
      <c r="AA4" s="85"/>
      <c r="AB4" s="85">
        <f>ROUND((((W6+N15/4)/Y1)^2)-((N19/4/Y1)^2),0)</f>
        <v>37</v>
      </c>
      <c r="AC4" s="85"/>
      <c r="AD4" s="85">
        <f>ROUND((V6/2/Y2)*((W6+N15/4)/Y1),0)</f>
        <v>49</v>
      </c>
    </row>
    <row r="5" spans="2:34" ht="16.5" customHeight="1">
      <c r="M5" s="2" t="s">
        <v>1041</v>
      </c>
      <c r="N5" s="2">
        <f>'D122-42'!K17*1000</f>
        <v>1000</v>
      </c>
      <c r="O5" s="2" t="s">
        <v>448</v>
      </c>
      <c r="Q5" s="981">
        <f>'D122-42'!K21*1000</f>
        <v>350</v>
      </c>
      <c r="R5" s="365"/>
      <c r="S5" s="365" t="s">
        <v>1142</v>
      </c>
      <c r="U5" s="2">
        <f>U1*Y1</f>
        <v>600</v>
      </c>
      <c r="Z5" s="85"/>
      <c r="AA5" s="85"/>
      <c r="AB5" s="85"/>
      <c r="AC5" s="85"/>
      <c r="AD5" s="85"/>
    </row>
    <row r="6" spans="2:34" ht="16.5" customHeight="1">
      <c r="M6" s="2" t="s">
        <v>1042</v>
      </c>
      <c r="N6" s="2">
        <f>'D122-42'!N17</f>
        <v>4000</v>
      </c>
      <c r="O6" s="2" t="s">
        <v>1117</v>
      </c>
      <c r="Q6" s="2">
        <f>'D122-42'!K39*1000</f>
        <v>1000</v>
      </c>
      <c r="R6" s="365"/>
      <c r="S6" s="365"/>
      <c r="U6" s="2">
        <f>U2*Y2</f>
        <v>480</v>
      </c>
      <c r="V6" s="1268">
        <f>(ROUND((D1-Q1*2)/U2,0)+1)*2</f>
        <v>62</v>
      </c>
      <c r="W6" s="1268">
        <f>(ROUND(((N7-Q2)/2-Q1*2)/U1,0)+1)*2</f>
        <v>14</v>
      </c>
      <c r="Z6" s="85">
        <f>Z2</f>
        <v>45</v>
      </c>
      <c r="AA6" s="85"/>
      <c r="AB6" s="85">
        <f>AB2</f>
        <v>36</v>
      </c>
      <c r="AC6" s="85"/>
      <c r="AD6" s="85">
        <f>AD2</f>
        <v>45</v>
      </c>
    </row>
    <row r="7" spans="2:34" ht="16.5" customHeight="1">
      <c r="N7" s="2">
        <f>N6-N4</f>
        <v>3500</v>
      </c>
      <c r="O7" s="893"/>
      <c r="P7" s="893"/>
      <c r="R7" s="1416"/>
      <c r="S7" s="365"/>
      <c r="V7" s="1268">
        <f>(ROUND((D2-Q1*2)/U2,0)+1)*2</f>
        <v>46</v>
      </c>
      <c r="W7" s="1268">
        <f>(ROUND(((N7-Q2)/2-Q1*2)/U1,0)+1)*2</f>
        <v>14</v>
      </c>
    </row>
    <row r="8" spans="2:34" ht="16.5" customHeight="1" thickBot="1">
      <c r="R8" s="365"/>
      <c r="S8" s="365"/>
    </row>
    <row r="9" spans="2:34" ht="30" customHeight="1" thickBot="1">
      <c r="B9" s="1663" t="s">
        <v>1043</v>
      </c>
      <c r="C9" s="1664"/>
      <c r="D9" s="1664"/>
      <c r="E9" s="1664"/>
      <c r="F9" s="1664"/>
      <c r="G9" s="1664"/>
      <c r="H9" s="1664"/>
      <c r="I9" s="1664"/>
      <c r="J9" s="1664"/>
      <c r="K9" s="1664"/>
      <c r="L9" s="1664"/>
      <c r="M9" s="1664"/>
      <c r="N9" s="1664"/>
      <c r="O9" s="1664"/>
      <c r="P9" s="1665"/>
      <c r="Q9" s="1269"/>
      <c r="R9" s="1270"/>
      <c r="S9" s="1270"/>
      <c r="T9" s="1271"/>
      <c r="V9" s="2">
        <v>25</v>
      </c>
      <c r="W9" s="2">
        <v>22</v>
      </c>
      <c r="X9" s="2">
        <v>20</v>
      </c>
      <c r="Y9" s="2">
        <v>18</v>
      </c>
      <c r="Z9" s="2">
        <v>16</v>
      </c>
      <c r="AA9" s="2">
        <v>14</v>
      </c>
      <c r="AB9" s="2">
        <v>12</v>
      </c>
      <c r="AC9" s="2">
        <v>10</v>
      </c>
      <c r="AD9" s="2">
        <v>8</v>
      </c>
      <c r="AE9" s="2">
        <v>6</v>
      </c>
    </row>
    <row r="10" spans="2:34" ht="24.75" customHeight="1" thickBot="1">
      <c r="B10" s="1666" t="s">
        <v>500</v>
      </c>
      <c r="C10" s="1668" t="s">
        <v>1044</v>
      </c>
      <c r="D10" s="1668"/>
      <c r="E10" s="1668"/>
      <c r="F10" s="1668"/>
      <c r="G10" s="1668"/>
      <c r="H10" s="1668"/>
      <c r="I10" s="1668"/>
      <c r="J10" s="1668"/>
      <c r="K10" s="1670" t="s">
        <v>503</v>
      </c>
      <c r="L10" s="1670"/>
      <c r="M10" s="1670" t="s">
        <v>504</v>
      </c>
      <c r="N10" s="1670" t="s">
        <v>502</v>
      </c>
      <c r="O10" s="1672" t="s">
        <v>505</v>
      </c>
      <c r="P10" s="1674" t="s">
        <v>1045</v>
      </c>
      <c r="Q10" s="1676" t="s">
        <v>1046</v>
      </c>
      <c r="R10" s="1677"/>
      <c r="S10" s="1677"/>
      <c r="T10" s="1678"/>
      <c r="V10" s="2">
        <f t="shared" ref="V10:AE10" ca="1" si="0">+SUMIF($K$12:$L$107,V9,$O$12:$O$107)</f>
        <v>802.66000000000008</v>
      </c>
      <c r="W10" s="2">
        <f t="shared" ca="1" si="0"/>
        <v>0</v>
      </c>
      <c r="X10" s="2">
        <f t="shared" ca="1" si="0"/>
        <v>0</v>
      </c>
      <c r="Y10" s="2">
        <f t="shared" ca="1" si="0"/>
        <v>0</v>
      </c>
      <c r="Z10" s="2">
        <f t="shared" ca="1" si="0"/>
        <v>0</v>
      </c>
      <c r="AA10" s="2">
        <f t="shared" ca="1" si="0"/>
        <v>3235.36</v>
      </c>
      <c r="AB10" s="2">
        <f t="shared" ca="1" si="0"/>
        <v>0</v>
      </c>
      <c r="AC10" s="2">
        <f t="shared" ca="1" si="0"/>
        <v>860.17</v>
      </c>
      <c r="AD10" s="2">
        <f t="shared" ca="1" si="0"/>
        <v>164.16</v>
      </c>
      <c r="AE10" s="2">
        <f t="shared" ca="1" si="0"/>
        <v>0</v>
      </c>
    </row>
    <row r="11" spans="2:34" ht="46.5" customHeight="1" thickBot="1">
      <c r="B11" s="1667"/>
      <c r="C11" s="1669"/>
      <c r="D11" s="1669"/>
      <c r="E11" s="1669"/>
      <c r="F11" s="1669"/>
      <c r="G11" s="1669"/>
      <c r="H11" s="1669"/>
      <c r="I11" s="1669"/>
      <c r="J11" s="1669"/>
      <c r="K11" s="1671"/>
      <c r="L11" s="1671"/>
      <c r="M11" s="1671"/>
      <c r="N11" s="1671"/>
      <c r="O11" s="1673"/>
      <c r="P11" s="1675"/>
      <c r="Q11" s="1272" t="s">
        <v>503</v>
      </c>
      <c r="R11" s="1273" t="s">
        <v>514</v>
      </c>
      <c r="S11" s="1274" t="s">
        <v>511</v>
      </c>
      <c r="T11" s="1275" t="s">
        <v>1047</v>
      </c>
      <c r="V11" s="2">
        <f ca="1">+IF(V10=0,0,(MAX(U$11)+1))</f>
        <v>1</v>
      </c>
      <c r="W11" s="2">
        <f ca="1">+IF(W10=0,0,(MAX($V$11:V11)+1))</f>
        <v>0</v>
      </c>
      <c r="X11" s="2">
        <f ca="1">+IF(X10=0,0,(MAX($V$11:W11)+1))</f>
        <v>0</v>
      </c>
      <c r="Y11" s="2">
        <f ca="1">+IF(Y10=0,0,(MAX($V$11:X11)+1))</f>
        <v>0</v>
      </c>
      <c r="Z11" s="2">
        <f ca="1">+IF(Z10=0,0,(MAX($V$11:Y11)+1))</f>
        <v>0</v>
      </c>
      <c r="AA11" s="2">
        <f ca="1">+IF(AA10=0,0,(MAX($V$11:Z11)+1))</f>
        <v>2</v>
      </c>
      <c r="AB11" s="2">
        <f ca="1">+IF(AB10=0,0,(MAX($V$11:AA11)+1))</f>
        <v>0</v>
      </c>
      <c r="AC11" s="2">
        <f ca="1">+IF(AC10=0,0,(MAX($V$11:AB11)+1))</f>
        <v>3</v>
      </c>
      <c r="AD11" s="2">
        <f ca="1">+IF(AD10=0,0,(MAX($V$11:AC11)+1))</f>
        <v>4</v>
      </c>
      <c r="AE11" s="2">
        <f ca="1">+IF(AE10=0,0,(MAX($V$11:AD11)+1))</f>
        <v>0</v>
      </c>
    </row>
    <row r="12" spans="2:34" ht="9" customHeight="1">
      <c r="B12" s="1679">
        <f>+[1]Tra!I143</f>
        <v>1</v>
      </c>
      <c r="C12" s="1276"/>
      <c r="D12" s="1277"/>
      <c r="E12" s="1278"/>
      <c r="F12" s="1278"/>
      <c r="G12" s="1278"/>
      <c r="H12" s="1277"/>
      <c r="I12" s="1277"/>
      <c r="J12" s="1279"/>
      <c r="K12" s="1682">
        <f>T1</f>
        <v>14</v>
      </c>
      <c r="L12" s="1683"/>
      <c r="M12" s="1688">
        <f>D13</f>
        <v>9850</v>
      </c>
      <c r="N12" s="1691">
        <f>((ROUND((D1-Q1*2)/U2,0)+1)*2+(ROUND(((N7-Q2)/2-Q1*2)/U1,0)+1)*2)*2</f>
        <v>152</v>
      </c>
      <c r="O12" s="1694">
        <f>+ROUND(N12*M12/1000,2)</f>
        <v>1497.2</v>
      </c>
      <c r="P12" s="1697">
        <f>VLOOKUP(K12,'Bảng tra'!$A$19:$B$33,2)*'KL thep mong'!O12:O14</f>
        <v>1811.6120000000001</v>
      </c>
      <c r="Q12" s="1699">
        <f ca="1">+IF(COUNTIF($V$11:$AE$11,U13),HLOOKUP(U13,$V$11:$AE$12,2,0),"")</f>
        <v>25</v>
      </c>
      <c r="R12" s="1701">
        <f ca="1">+IF(Q12="","",SUMIF($K$12:$K$107,Q12,$O$12:$O$107))</f>
        <v>802.66000000000008</v>
      </c>
      <c r="S12" s="1702">
        <f ca="1">VLOOKUP(Q12,'Bảng tra'!$A$19:$B$33,2)*'KL thep mong'!R12</f>
        <v>3090.2410000000004</v>
      </c>
      <c r="T12" s="1732">
        <f ca="1">+SUM(S12:S38)</f>
        <v>7600.5946900000008</v>
      </c>
      <c r="V12" s="2">
        <f>+V9</f>
        <v>25</v>
      </c>
      <c r="W12" s="2">
        <f t="shared" ref="W12:AE12" si="1">+W9</f>
        <v>22</v>
      </c>
      <c r="X12" s="2">
        <f t="shared" si="1"/>
        <v>20</v>
      </c>
      <c r="Y12" s="2">
        <f t="shared" si="1"/>
        <v>18</v>
      </c>
      <c r="Z12" s="2">
        <f t="shared" si="1"/>
        <v>16</v>
      </c>
      <c r="AA12" s="2">
        <f t="shared" si="1"/>
        <v>14</v>
      </c>
      <c r="AB12" s="2">
        <f t="shared" si="1"/>
        <v>12</v>
      </c>
      <c r="AC12" s="2">
        <f t="shared" si="1"/>
        <v>10</v>
      </c>
      <c r="AD12" s="2">
        <f t="shared" si="1"/>
        <v>8</v>
      </c>
      <c r="AE12" s="2">
        <f t="shared" si="1"/>
        <v>6</v>
      </c>
    </row>
    <row r="13" spans="2:34" ht="16.5" customHeight="1" thickBot="1">
      <c r="B13" s="1680"/>
      <c r="C13" s="1280"/>
      <c r="D13" s="1704">
        <f>N2-Q1*2</f>
        <v>9850</v>
      </c>
      <c r="E13" s="1704"/>
      <c r="F13" s="1704"/>
      <c r="G13" s="1704"/>
      <c r="H13" s="1704"/>
      <c r="I13" s="1704"/>
      <c r="J13" s="1281"/>
      <c r="K13" s="1684"/>
      <c r="L13" s="1685"/>
      <c r="M13" s="1689"/>
      <c r="N13" s="1692"/>
      <c r="O13" s="1695"/>
      <c r="P13" s="1698"/>
      <c r="Q13" s="1700"/>
      <c r="R13" s="1503"/>
      <c r="S13" s="1703"/>
      <c r="T13" s="1733"/>
      <c r="U13" s="3">
        <v>1</v>
      </c>
      <c r="V13" s="1285">
        <f>+SUM(O12:O66)</f>
        <v>4130.37</v>
      </c>
      <c r="W13" s="981">
        <f ca="1">+SUM(R12:R28)</f>
        <v>5062.3500000000004</v>
      </c>
      <c r="AG13" s="1286">
        <f ca="1">Q12</f>
        <v>25</v>
      </c>
      <c r="AH13" s="2">
        <f ca="1">+IF(AG13="","",SUMIF($K$12:$K$107,AG13,$P$12:$P$107))</f>
        <v>3090.2410000000004</v>
      </c>
    </row>
    <row r="14" spans="2:34" ht="9" customHeight="1" thickTop="1">
      <c r="B14" s="1681"/>
      <c r="C14" s="1287"/>
      <c r="D14" s="1288"/>
      <c r="E14" s="1289"/>
      <c r="F14" s="1289"/>
      <c r="G14" s="1289"/>
      <c r="H14" s="1288"/>
      <c r="I14" s="1288"/>
      <c r="J14" s="1290"/>
      <c r="K14" s="1686"/>
      <c r="L14" s="1687"/>
      <c r="M14" s="1690"/>
      <c r="N14" s="1693"/>
      <c r="O14" s="1696"/>
      <c r="P14" s="1698"/>
      <c r="Q14" s="1700"/>
      <c r="R14" s="1503"/>
      <c r="S14" s="1703"/>
      <c r="T14" s="1733"/>
      <c r="U14" s="3"/>
    </row>
    <row r="15" spans="2:34" ht="17.25" customHeight="1" thickBot="1">
      <c r="B15" s="1680">
        <f>+[1]Tra!I144</f>
        <v>2</v>
      </c>
      <c r="C15" s="1291"/>
      <c r="D15" s="1705">
        <f>N2/2-Q2/2-Q1*2</f>
        <v>4350</v>
      </c>
      <c r="E15" s="1705"/>
      <c r="F15" s="1705"/>
      <c r="G15" s="1705"/>
      <c r="H15" s="1705"/>
      <c r="I15" s="1705"/>
      <c r="J15" s="1292"/>
      <c r="K15" s="1706">
        <f>T1</f>
        <v>14</v>
      </c>
      <c r="L15" s="1707"/>
      <c r="M15" s="1689">
        <f>+D15</f>
        <v>4350</v>
      </c>
      <c r="N15" s="1710">
        <f>(ROUND((Q2-Q1*2)/U1,0)+1)*4</f>
        <v>20</v>
      </c>
      <c r="O15" s="1695">
        <f>+ROUND(N15*M15/1000,2)</f>
        <v>87</v>
      </c>
      <c r="P15" s="1698">
        <f>VLOOKUP(K15,'Bảng tra'!$A$19:$B$33,2)*'KL thep mong'!O15</f>
        <v>105.27</v>
      </c>
      <c r="Q15" s="1700">
        <f ca="1">+IF(COUNTIF($V$11:$AE$11,U15),HLOOKUP(U15,$V$11:$AE$12,2,0),"")</f>
        <v>14</v>
      </c>
      <c r="R15" s="1503">
        <f ca="1">+IF(Q15="","",SUMIF($K$12:$K$107,Q15,$O$12:$O$107))</f>
        <v>3235.36</v>
      </c>
      <c r="S15" s="1703">
        <f ca="1">VLOOKUP(Q15,'Bảng tra'!$A$19:$B$33,2)*'KL thep mong'!R15</f>
        <v>3914.7856000000002</v>
      </c>
      <c r="T15" s="1733"/>
      <c r="U15" s="3">
        <v>2</v>
      </c>
      <c r="V15" s="1293">
        <v>12</v>
      </c>
      <c r="AG15" s="1286">
        <f ca="1">Q15</f>
        <v>14</v>
      </c>
      <c r="AH15" s="100">
        <f ca="1">+IF(AG15="","",SUMIF($K$12:$K$107,AG15,$P$12:$P$107))</f>
        <v>3914.7855999999997</v>
      </c>
    </row>
    <row r="16" spans="2:34" ht="9.75" customHeight="1" thickTop="1">
      <c r="B16" s="1681"/>
      <c r="C16" s="1287"/>
      <c r="D16" s="1288"/>
      <c r="E16" s="1289"/>
      <c r="F16" s="1289"/>
      <c r="G16" s="1289"/>
      <c r="H16" s="1288"/>
      <c r="I16" s="1288"/>
      <c r="J16" s="1290"/>
      <c r="K16" s="1708"/>
      <c r="L16" s="1709"/>
      <c r="M16" s="1690"/>
      <c r="N16" s="1692"/>
      <c r="O16" s="1696"/>
      <c r="P16" s="1698"/>
      <c r="Q16" s="1700"/>
      <c r="R16" s="1503"/>
      <c r="S16" s="1703"/>
      <c r="T16" s="1733"/>
      <c r="U16" s="3"/>
    </row>
    <row r="17" spans="1:34" ht="17.25" customHeight="1" thickBot="1">
      <c r="B17" s="1680">
        <v>3</v>
      </c>
      <c r="C17" s="1291"/>
      <c r="D17" s="1705">
        <f>N1-Q1*2</f>
        <v>11850</v>
      </c>
      <c r="E17" s="1705"/>
      <c r="F17" s="1705"/>
      <c r="G17" s="1705"/>
      <c r="H17" s="1705"/>
      <c r="I17" s="1705"/>
      <c r="J17" s="1292"/>
      <c r="K17" s="1711">
        <f>T1</f>
        <v>14</v>
      </c>
      <c r="L17" s="1712"/>
      <c r="M17" s="1689">
        <f>+D17</f>
        <v>11850</v>
      </c>
      <c r="N17" s="1710">
        <f>((ROUND((D2-Q1*2)/U2,0)+1)*2+(ROUND(((N7-Q2)/2-Q1*2)/U1,0)+1)*2)*2</f>
        <v>120</v>
      </c>
      <c r="O17" s="1695">
        <f>ROUND(N17*M17/1000,2)</f>
        <v>1422</v>
      </c>
      <c r="P17" s="1698">
        <f>VLOOKUP(K17,'Bảng tra'!$A$19:$B$33,2)*'KL thep mong'!O17</f>
        <v>1720.62</v>
      </c>
      <c r="Q17" s="1700">
        <f ca="1">+IF(COUNTIF($V$11:$AE$11,U17),HLOOKUP(U17,$V$11:$AE$12,2,0),"")</f>
        <v>10</v>
      </c>
      <c r="R17" s="1503">
        <f ca="1">+IF(Q17="","",SUMIF($K$12:$K$107,Q17,$O$12:$O$107))</f>
        <v>860.17</v>
      </c>
      <c r="S17" s="1703">
        <f ca="1">VLOOKUP(Q17,'Bảng tra'!$A$19:$B$33,2)*'KL thep mong'!R17</f>
        <v>530.72488999999996</v>
      </c>
      <c r="T17" s="1733"/>
      <c r="U17" s="3">
        <v>3</v>
      </c>
      <c r="V17" s="1286">
        <v>20</v>
      </c>
      <c r="AG17" s="1286">
        <f ca="1">Q17</f>
        <v>10</v>
      </c>
      <c r="AH17" s="2">
        <f ca="1">+IF(AG17="","",SUMIF($K$12:$K$107,AG17,$P$12:$P$107))</f>
        <v>530.72488999999996</v>
      </c>
    </row>
    <row r="18" spans="1:34" ht="9.75" customHeight="1" thickTop="1">
      <c r="B18" s="1681"/>
      <c r="C18" s="1287"/>
      <c r="D18" s="1288"/>
      <c r="E18" s="1289"/>
      <c r="F18" s="1289"/>
      <c r="G18" s="1289"/>
      <c r="H18" s="1288"/>
      <c r="I18" s="1288"/>
      <c r="J18" s="1290"/>
      <c r="K18" s="1686"/>
      <c r="L18" s="1687"/>
      <c r="M18" s="1690"/>
      <c r="N18" s="1692"/>
      <c r="O18" s="1696"/>
      <c r="P18" s="1698"/>
      <c r="Q18" s="1700"/>
      <c r="R18" s="1503"/>
      <c r="S18" s="1703"/>
      <c r="T18" s="1733"/>
      <c r="U18" s="3"/>
    </row>
    <row r="19" spans="1:34" ht="17.25" customHeight="1" thickBot="1">
      <c r="B19" s="1680">
        <v>4</v>
      </c>
      <c r="C19" s="1291"/>
      <c r="D19" s="1705">
        <f>N1/2-Q2/2-Q1*2</f>
        <v>5350</v>
      </c>
      <c r="E19" s="1705"/>
      <c r="F19" s="1705"/>
      <c r="G19" s="1705"/>
      <c r="H19" s="1705"/>
      <c r="I19" s="1705"/>
      <c r="J19" s="1292"/>
      <c r="K19" s="1711">
        <f>T1</f>
        <v>14</v>
      </c>
      <c r="L19" s="1712"/>
      <c r="M19" s="1689">
        <f>+D19</f>
        <v>5350</v>
      </c>
      <c r="N19" s="1710">
        <f>N15</f>
        <v>20</v>
      </c>
      <c r="O19" s="1695">
        <f>ROUND(N19*M19/1000,2)</f>
        <v>107</v>
      </c>
      <c r="P19" s="1698">
        <f>VLOOKUP(K19,'Bảng tra'!$A$19:$B$33,2)*'KL thep mong'!O19</f>
        <v>129.47</v>
      </c>
      <c r="Q19" s="1700">
        <f ca="1">+IF(COUNTIF($V$11:$AE$11,U19),HLOOKUP(U19,$V$11:$AE$12,2,0),"")</f>
        <v>8</v>
      </c>
      <c r="R19" s="1503">
        <f ca="1">+IF(Q19="","",SUMIF($K$12:$K$107,Q19,$O$12:$O$107))</f>
        <v>164.16</v>
      </c>
      <c r="S19" s="1703">
        <f ca="1">VLOOKUP(Q19,'Bảng tra'!$A$19:$B$33,2)*'KL thep mong'!R19</f>
        <v>64.843199999999996</v>
      </c>
      <c r="T19" s="1733"/>
      <c r="U19" s="3">
        <v>4</v>
      </c>
      <c r="V19" s="2">
        <v>0.03</v>
      </c>
      <c r="AG19" s="1286">
        <f ca="1">Q19</f>
        <v>8</v>
      </c>
      <c r="AH19" s="2">
        <f ca="1">+IF(AG19="","",SUMIF($K$12:$K$107,AG19,$P$12:$P$107))</f>
        <v>64.843199999999996</v>
      </c>
    </row>
    <row r="20" spans="1:34" ht="9.75" customHeight="1" thickTop="1">
      <c r="B20" s="1681"/>
      <c r="C20" s="1287"/>
      <c r="D20" s="1288"/>
      <c r="E20" s="1289"/>
      <c r="F20" s="1289"/>
      <c r="G20" s="1289"/>
      <c r="H20" s="1288"/>
      <c r="I20" s="1288"/>
      <c r="J20" s="1290"/>
      <c r="K20" s="1686"/>
      <c r="L20" s="1687"/>
      <c r="M20" s="1690"/>
      <c r="N20" s="1692"/>
      <c r="O20" s="1696"/>
      <c r="P20" s="1698"/>
      <c r="Q20" s="1700"/>
      <c r="R20" s="1503"/>
      <c r="S20" s="1703"/>
      <c r="T20" s="1733"/>
      <c r="U20" s="3"/>
    </row>
    <row r="21" spans="1:34" ht="17.25" customHeight="1" thickBot="1">
      <c r="A21" s="719"/>
      <c r="B21" s="1680">
        <v>5</v>
      </c>
      <c r="C21" s="1291"/>
      <c r="D21" s="1705">
        <f>ROUND(Q2*SQRT(2),-1)+800</f>
        <v>2210</v>
      </c>
      <c r="E21" s="1705"/>
      <c r="F21" s="1705"/>
      <c r="G21" s="1705"/>
      <c r="H21" s="1705"/>
      <c r="I21" s="1705"/>
      <c r="J21" s="1292"/>
      <c r="K21" s="1711">
        <f>K19</f>
        <v>14</v>
      </c>
      <c r="L21" s="1712"/>
      <c r="M21" s="1689">
        <f>+D21</f>
        <v>2210</v>
      </c>
      <c r="N21" s="1710">
        <f>IF(MOD(N19,8)=0,N19,ROUNDDOWN(N19/8,0)*8)</f>
        <v>16</v>
      </c>
      <c r="O21" s="1695">
        <f>+ROUND(N21*M21/1000,2)</f>
        <v>35.36</v>
      </c>
      <c r="P21" s="1698">
        <f>VLOOKUP(K21,'Bảng tra'!$A$19:$B$33,2)*'KL thep mong'!O21</f>
        <v>42.785599999999995</v>
      </c>
      <c r="Q21" s="1700" t="str">
        <f ca="1">+IF(COUNTIF($V$11:$AE$11,U21),HLOOKUP(U21,$V$11:$AE$12,2,0),"")</f>
        <v/>
      </c>
      <c r="R21" s="1503" t="str">
        <f ca="1">+IF(Q21="","",SUMIF($K$12:$K$107,Q21,$O$12:$O$107))</f>
        <v/>
      </c>
      <c r="S21" s="1703"/>
      <c r="T21" s="1733"/>
      <c r="U21" s="3">
        <v>5</v>
      </c>
      <c r="V21" s="1713">
        <f>[1]Tra!J147</f>
        <v>16</v>
      </c>
      <c r="W21" s="1714"/>
    </row>
    <row r="22" spans="1:34" ht="9.75" customHeight="1" thickTop="1">
      <c r="B22" s="1681"/>
      <c r="C22" s="1287"/>
      <c r="D22" s="1288"/>
      <c r="E22" s="1289"/>
      <c r="F22" s="1289"/>
      <c r="G22" s="1289"/>
      <c r="H22" s="1288"/>
      <c r="I22" s="1288"/>
      <c r="J22" s="1290"/>
      <c r="K22" s="1686"/>
      <c r="L22" s="1687"/>
      <c r="M22" s="1690"/>
      <c r="N22" s="1693"/>
      <c r="O22" s="1696"/>
      <c r="P22" s="1698"/>
      <c r="Q22" s="1700"/>
      <c r="R22" s="1503"/>
      <c r="S22" s="1703"/>
      <c r="T22" s="1733"/>
      <c r="V22" s="1715"/>
      <c r="W22" s="1716"/>
    </row>
    <row r="23" spans="1:34" ht="9.75" customHeight="1">
      <c r="B23" s="1294"/>
      <c r="C23" s="1295"/>
      <c r="D23" s="1296"/>
      <c r="E23" s="1297"/>
      <c r="F23" s="1297"/>
      <c r="G23" s="1297"/>
      <c r="H23" s="1296"/>
      <c r="I23" s="1296"/>
      <c r="J23" s="1298"/>
      <c r="K23" s="1717">
        <v>10</v>
      </c>
      <c r="L23" s="1718"/>
      <c r="M23" s="1723">
        <f>+D24+J24+C24</f>
        <v>372</v>
      </c>
      <c r="N23" s="1726">
        <f>SUM(Z2:AD6)</f>
        <v>387</v>
      </c>
      <c r="O23" s="1729">
        <f>ROUND(N23*M23/1000,2)</f>
        <v>143.96</v>
      </c>
      <c r="P23" s="1698">
        <f>VLOOKUP(K23,'Bảng tra'!$A$19:$B$33,2)*'KL thep mong'!O23</f>
        <v>88.82332000000001</v>
      </c>
      <c r="Q23" s="1283"/>
      <c r="R23" s="1263"/>
      <c r="S23" s="1284"/>
      <c r="T23" s="1733"/>
      <c r="V23" s="1299"/>
      <c r="W23" s="1299"/>
    </row>
    <row r="24" spans="1:34" ht="20.25" customHeight="1" thickBot="1">
      <c r="B24" s="1735">
        <v>6</v>
      </c>
      <c r="C24" s="1280">
        <v>100</v>
      </c>
      <c r="D24" s="1737">
        <f>N3-Q1*2-T1*2</f>
        <v>172</v>
      </c>
      <c r="E24" s="1704"/>
      <c r="F24" s="1704"/>
      <c r="G24" s="1704"/>
      <c r="H24" s="1704"/>
      <c r="I24" s="1738"/>
      <c r="J24" s="1300">
        <v>100</v>
      </c>
      <c r="K24" s="1719"/>
      <c r="L24" s="1720"/>
      <c r="M24" s="1724"/>
      <c r="N24" s="1727"/>
      <c r="O24" s="1730"/>
      <c r="P24" s="1698"/>
      <c r="Q24" s="1700" t="str">
        <f ca="1">+IF(COUNTIF($V$11:$AE$11,U24),HLOOKUP(U24,$V$11:$AE$12,2,0),"")</f>
        <v/>
      </c>
      <c r="R24" s="1503" t="str">
        <f ca="1">+IF(Q24="","",SUMIF($K$12:$K$66,Q24,$O$12:$O$66))</f>
        <v/>
      </c>
      <c r="S24" s="1703"/>
      <c r="T24" s="1733"/>
      <c r="U24" s="3">
        <v>6</v>
      </c>
      <c r="AH24" s="100">
        <f ca="1">SUM(AH13:AH20)</f>
        <v>7600.5946900000008</v>
      </c>
    </row>
    <row r="25" spans="1:34" ht="9.75" customHeight="1" thickTop="1">
      <c r="B25" s="1736"/>
      <c r="C25" s="1301"/>
      <c r="D25" s="1302"/>
      <c r="E25" s="1303"/>
      <c r="F25" s="1303"/>
      <c r="G25" s="1303"/>
      <c r="H25" s="1302"/>
      <c r="I25" s="1302"/>
      <c r="J25" s="1304"/>
      <c r="K25" s="1721"/>
      <c r="L25" s="1722"/>
      <c r="M25" s="1725"/>
      <c r="N25" s="1728"/>
      <c r="O25" s="1731"/>
      <c r="P25" s="1698"/>
      <c r="Q25" s="1700"/>
      <c r="R25" s="1503"/>
      <c r="S25" s="1703"/>
      <c r="T25" s="1733"/>
    </row>
    <row r="26" spans="1:34" ht="5.25" customHeight="1">
      <c r="B26" s="1305"/>
      <c r="C26" s="1306"/>
      <c r="D26" s="1307"/>
      <c r="E26" s="1308"/>
      <c r="F26" s="1308"/>
      <c r="G26" s="1308"/>
      <c r="H26" s="1307"/>
      <c r="I26" s="1307"/>
      <c r="J26" s="1309"/>
      <c r="K26" s="1717">
        <v>10</v>
      </c>
      <c r="L26" s="1718"/>
      <c r="M26" s="1723">
        <f>+D27+C27*2</f>
        <v>3247</v>
      </c>
      <c r="N26" s="1726">
        <f>4*4</f>
        <v>16</v>
      </c>
      <c r="O26" s="1729">
        <f>ROUND(N26*M26/1000,2)</f>
        <v>51.95</v>
      </c>
      <c r="P26" s="1698">
        <f>VLOOKUP(K26,'Bảng tra'!$A$19:$B$33,2)*'KL thep mong'!O26</f>
        <v>32.053150000000002</v>
      </c>
      <c r="Q26" s="1310"/>
      <c r="R26" s="390"/>
      <c r="S26" s="390"/>
      <c r="T26" s="1733"/>
    </row>
    <row r="27" spans="1:34" ht="28.5" customHeight="1" thickBot="1">
      <c r="B27" s="1735">
        <v>7</v>
      </c>
      <c r="C27" s="1280">
        <f>C40</f>
        <v>850</v>
      </c>
      <c r="D27" s="1737">
        <f>ROUND((SQRT(2*(N4*2+Q5)^2)/2-SQRT(2*Q1^2)-Q1)*2,0)</f>
        <v>1547</v>
      </c>
      <c r="E27" s="1704"/>
      <c r="F27" s="1704"/>
      <c r="G27" s="1704"/>
      <c r="H27" s="1704"/>
      <c r="I27" s="1738"/>
      <c r="J27" s="1300">
        <f>C27</f>
        <v>850</v>
      </c>
      <c r="K27" s="1719"/>
      <c r="L27" s="1720"/>
      <c r="M27" s="1724"/>
      <c r="N27" s="1727"/>
      <c r="O27" s="1730"/>
      <c r="P27" s="1698"/>
      <c r="Q27" s="1739"/>
      <c r="R27" s="1503"/>
      <c r="S27" s="1503"/>
      <c r="T27" s="1733"/>
      <c r="X27" s="100">
        <f>22.97+121.39+21.96+28.71+88.76+131.19+115.85+1961.37+31.26+316.69+52.42+295.49+346.6+47.59+263.55+314.66+54.94+46.8+37.48+47.29+41.19+95.66+995.95+86+1046.92</f>
        <v>6612.69</v>
      </c>
    </row>
    <row r="28" spans="1:34" ht="9.75" customHeight="1" thickTop="1" thickBot="1">
      <c r="B28" s="1736"/>
      <c r="C28" s="1301"/>
      <c r="D28" s="1302"/>
      <c r="E28" s="1303"/>
      <c r="F28" s="1303"/>
      <c r="G28" s="1303"/>
      <c r="H28" s="1302"/>
      <c r="I28" s="1302"/>
      <c r="J28" s="1304"/>
      <c r="K28" s="1721"/>
      <c r="L28" s="1722"/>
      <c r="M28" s="1725"/>
      <c r="N28" s="1728"/>
      <c r="O28" s="1731"/>
      <c r="P28" s="1698"/>
      <c r="Q28" s="1740"/>
      <c r="R28" s="1741"/>
      <c r="S28" s="1741"/>
      <c r="T28" s="1734"/>
    </row>
    <row r="29" spans="1:34" ht="17.25" hidden="1" customHeight="1">
      <c r="B29" s="1680" t="str">
        <f>+[1]Tra!I155</f>
        <v>5a</v>
      </c>
      <c r="C29" s="1291"/>
      <c r="D29" s="1742">
        <f>+[1]Tra!K155*1000</f>
        <v>5850</v>
      </c>
      <c r="E29" s="1742"/>
      <c r="F29" s="1742"/>
      <c r="G29" s="1742"/>
      <c r="H29" s="1742"/>
      <c r="I29" s="1742"/>
      <c r="J29" s="1292"/>
      <c r="K29" s="1743">
        <f>+[1]Tra!J155</f>
        <v>12</v>
      </c>
      <c r="L29" s="1745"/>
      <c r="M29" s="1689">
        <f>+D29</f>
        <v>5850</v>
      </c>
      <c r="N29" s="1747">
        <v>0</v>
      </c>
      <c r="O29" s="1695">
        <f>+N29*M29/1000</f>
        <v>0</v>
      </c>
      <c r="P29" s="1282" t="str">
        <f t="shared" ref="P29:P38" si="2">+IF(K28="","",ROUND(K28^2*3.14/4/1000000*7850*O28,2))</f>
        <v/>
      </c>
      <c r="Q29" s="390"/>
      <c r="R29" s="390"/>
      <c r="S29" s="390"/>
      <c r="T29" s="1311"/>
      <c r="U29" s="1312">
        <f>+[1]Tra!L155</f>
        <v>18</v>
      </c>
    </row>
    <row r="30" spans="1:34" ht="9.75" hidden="1" customHeight="1">
      <c r="B30" s="1681"/>
      <c r="C30" s="1287"/>
      <c r="D30" s="1288"/>
      <c r="E30" s="1289"/>
      <c r="F30" s="1289"/>
      <c r="G30" s="1289"/>
      <c r="H30" s="1288"/>
      <c r="I30" s="1288"/>
      <c r="J30" s="1290"/>
      <c r="K30" s="1744"/>
      <c r="L30" s="1746"/>
      <c r="M30" s="1690"/>
      <c r="N30" s="1748"/>
      <c r="O30" s="1696"/>
      <c r="P30" s="1282">
        <f t="shared" si="2"/>
        <v>0</v>
      </c>
      <c r="Q30" s="390"/>
      <c r="R30" s="390"/>
      <c r="S30" s="390"/>
      <c r="T30" s="1311"/>
    </row>
    <row r="31" spans="1:34" ht="17.25" hidden="1" customHeight="1">
      <c r="B31" s="1680" t="str">
        <f>+[1]Tra!I156</f>
        <v>5b</v>
      </c>
      <c r="C31" s="1291"/>
      <c r="D31" s="1742">
        <f>+[1]Tra!K156*1000</f>
        <v>1500</v>
      </c>
      <c r="E31" s="1742"/>
      <c r="F31" s="1742"/>
      <c r="G31" s="1742"/>
      <c r="H31" s="1742"/>
      <c r="I31" s="1742"/>
      <c r="J31" s="1292"/>
      <c r="K31" s="1743">
        <f>+[1]Tra!J156</f>
        <v>12</v>
      </c>
      <c r="L31" s="1745"/>
      <c r="M31" s="1689">
        <f>+D31</f>
        <v>1500</v>
      </c>
      <c r="N31" s="1747">
        <f>+[1]Tra!L156</f>
        <v>0</v>
      </c>
      <c r="O31" s="1695">
        <f>+N31*M31/1000</f>
        <v>0</v>
      </c>
      <c r="P31" s="1282" t="str">
        <f t="shared" si="2"/>
        <v/>
      </c>
      <c r="Q31" s="390"/>
      <c r="R31" s="390"/>
      <c r="S31" s="390"/>
      <c r="T31" s="1311"/>
    </row>
    <row r="32" spans="1:34" ht="9.75" hidden="1" customHeight="1">
      <c r="B32" s="1681"/>
      <c r="C32" s="1287"/>
      <c r="D32" s="1288"/>
      <c r="E32" s="1289"/>
      <c r="F32" s="1289"/>
      <c r="G32" s="1289"/>
      <c r="H32" s="1288"/>
      <c r="I32" s="1288"/>
      <c r="J32" s="1290"/>
      <c r="K32" s="1744"/>
      <c r="L32" s="1746"/>
      <c r="M32" s="1690"/>
      <c r="N32" s="1748"/>
      <c r="O32" s="1696"/>
      <c r="P32" s="1282">
        <f t="shared" si="2"/>
        <v>0</v>
      </c>
      <c r="Q32" s="390"/>
      <c r="R32" s="390"/>
      <c r="S32" s="390"/>
      <c r="T32" s="1311"/>
    </row>
    <row r="33" spans="1:23" ht="17.25" hidden="1" customHeight="1">
      <c r="B33" s="1680" t="str">
        <f>+[1]Tra!I157</f>
        <v>5c</v>
      </c>
      <c r="C33" s="1291"/>
      <c r="D33" s="1742">
        <f>+[1]Tra!K157*1000</f>
        <v>1500</v>
      </c>
      <c r="E33" s="1742"/>
      <c r="F33" s="1742"/>
      <c r="G33" s="1742"/>
      <c r="H33" s="1742"/>
      <c r="I33" s="1742"/>
      <c r="J33" s="1292"/>
      <c r="K33" s="1743">
        <f>+[1]Tra!J157</f>
        <v>12</v>
      </c>
      <c r="L33" s="1745"/>
      <c r="M33" s="1689">
        <f>+D33</f>
        <v>1500</v>
      </c>
      <c r="N33" s="1747">
        <f>+[1]Tra!L157</f>
        <v>0</v>
      </c>
      <c r="O33" s="1695">
        <f>+N33*M33/1000</f>
        <v>0</v>
      </c>
      <c r="P33" s="1282" t="str">
        <f t="shared" si="2"/>
        <v/>
      </c>
      <c r="Q33" s="390"/>
      <c r="R33" s="390"/>
      <c r="S33" s="390"/>
      <c r="T33" s="1311"/>
    </row>
    <row r="34" spans="1:23" ht="9.75" hidden="1" customHeight="1">
      <c r="B34" s="1681"/>
      <c r="C34" s="1287"/>
      <c r="D34" s="1288"/>
      <c r="E34" s="1289"/>
      <c r="F34" s="1289"/>
      <c r="G34" s="1289"/>
      <c r="H34" s="1288"/>
      <c r="I34" s="1288"/>
      <c r="J34" s="1290"/>
      <c r="K34" s="1744"/>
      <c r="L34" s="1746"/>
      <c r="M34" s="1690"/>
      <c r="N34" s="1748"/>
      <c r="O34" s="1696"/>
      <c r="P34" s="1282">
        <f t="shared" si="2"/>
        <v>0</v>
      </c>
      <c r="Q34" s="390"/>
      <c r="R34" s="390"/>
      <c r="S34" s="390"/>
      <c r="T34" s="1311"/>
    </row>
    <row r="35" spans="1:23" ht="17.25" hidden="1" customHeight="1">
      <c r="B35" s="1680" t="str">
        <f>+[1]Tra!I158</f>
        <v>5d</v>
      </c>
      <c r="C35" s="1291"/>
      <c r="D35" s="1742">
        <f>+[1]Tra!K158*1000</f>
        <v>0</v>
      </c>
      <c r="E35" s="1742"/>
      <c r="F35" s="1742"/>
      <c r="G35" s="1742"/>
      <c r="H35" s="1742"/>
      <c r="I35" s="1742"/>
      <c r="J35" s="1292"/>
      <c r="K35" s="1743">
        <f>+[1]Tra!J158</f>
        <v>12</v>
      </c>
      <c r="L35" s="1745"/>
      <c r="M35" s="1689">
        <f>+D35</f>
        <v>0</v>
      </c>
      <c r="N35" s="1747">
        <f>+[1]Tra!L158</f>
        <v>0</v>
      </c>
      <c r="O35" s="1695">
        <f>+N35*M35/1000</f>
        <v>0</v>
      </c>
      <c r="P35" s="1282" t="str">
        <f t="shared" si="2"/>
        <v/>
      </c>
      <c r="Q35" s="390"/>
      <c r="R35" s="390"/>
      <c r="S35" s="390"/>
      <c r="T35" s="1311"/>
    </row>
    <row r="36" spans="1:23" ht="9.75" hidden="1" customHeight="1">
      <c r="B36" s="1681"/>
      <c r="C36" s="1287"/>
      <c r="D36" s="1288"/>
      <c r="E36" s="1289"/>
      <c r="F36" s="1289"/>
      <c r="G36" s="1289"/>
      <c r="H36" s="1288"/>
      <c r="I36" s="1288"/>
      <c r="J36" s="1290"/>
      <c r="K36" s="1744"/>
      <c r="L36" s="1746"/>
      <c r="M36" s="1690"/>
      <c r="N36" s="1748"/>
      <c r="O36" s="1696"/>
      <c r="P36" s="1282">
        <f t="shared" si="2"/>
        <v>0</v>
      </c>
      <c r="Q36" s="390"/>
      <c r="R36" s="390"/>
      <c r="S36" s="390"/>
      <c r="T36" s="1311"/>
    </row>
    <row r="37" spans="1:23" ht="17.25" hidden="1" customHeight="1">
      <c r="B37" s="1680" t="str">
        <f>+[1]Tra!I159</f>
        <v>5e</v>
      </c>
      <c r="C37" s="1291"/>
      <c r="D37" s="1742">
        <f>+[1]Tra!K159*1000</f>
        <v>1000</v>
      </c>
      <c r="E37" s="1742"/>
      <c r="F37" s="1742"/>
      <c r="G37" s="1742"/>
      <c r="H37" s="1742"/>
      <c r="I37" s="1742"/>
      <c r="J37" s="1292"/>
      <c r="K37" s="1743">
        <f>+[1]Tra!J159</f>
        <v>12</v>
      </c>
      <c r="L37" s="1745"/>
      <c r="M37" s="1689">
        <f>+[1]Tra!K159*1000</f>
        <v>1000</v>
      </c>
      <c r="N37" s="1747">
        <f>+[1]Tra!L159</f>
        <v>0</v>
      </c>
      <c r="O37" s="1695">
        <f>+N37*M37/1000</f>
        <v>0</v>
      </c>
      <c r="P37" s="1282" t="str">
        <f t="shared" si="2"/>
        <v/>
      </c>
      <c r="Q37" s="390"/>
      <c r="R37" s="390"/>
      <c r="S37" s="390"/>
      <c r="T37" s="1311"/>
    </row>
    <row r="38" spans="1:23" ht="9.75" hidden="1" customHeight="1">
      <c r="B38" s="1681"/>
      <c r="C38" s="1287"/>
      <c r="D38" s="1288"/>
      <c r="E38" s="1289"/>
      <c r="F38" s="1289"/>
      <c r="G38" s="1289"/>
      <c r="H38" s="1288"/>
      <c r="I38" s="1288"/>
      <c r="J38" s="1290"/>
      <c r="K38" s="1744"/>
      <c r="L38" s="1746"/>
      <c r="M38" s="1690"/>
      <c r="N38" s="1748"/>
      <c r="O38" s="1696"/>
      <c r="P38" s="1282">
        <f t="shared" si="2"/>
        <v>0</v>
      </c>
      <c r="Q38" s="390"/>
      <c r="R38" s="390"/>
      <c r="S38" s="390"/>
      <c r="T38" s="1311"/>
    </row>
    <row r="39" spans="1:23" ht="9.75" customHeight="1" thickBot="1">
      <c r="B39" s="1305"/>
      <c r="C39" s="1306"/>
      <c r="D39" s="1307"/>
      <c r="E39" s="1308"/>
      <c r="F39" s="1308"/>
      <c r="G39" s="1308"/>
      <c r="H39" s="1307"/>
      <c r="I39" s="1307"/>
      <c r="J39" s="1309"/>
      <c r="K39" s="1717">
        <v>10</v>
      </c>
      <c r="L39" s="1718"/>
      <c r="M39" s="1723">
        <f>+D40+C40*2</f>
        <v>2752</v>
      </c>
      <c r="N39" s="1726">
        <f>ROUNDDOWN((D40+Q1*2)/300-1,0)*8</f>
        <v>24</v>
      </c>
      <c r="O39" s="1729">
        <f>ROUND(N39*M39/1000,2)</f>
        <v>66.05</v>
      </c>
      <c r="P39" s="1698">
        <f>VLOOKUP(K39,'Bảng tra'!$A$19:$B$33,2)*'KL thep mong'!O39</f>
        <v>40.752849999999995</v>
      </c>
      <c r="Q39" s="390"/>
      <c r="R39" s="390"/>
      <c r="S39" s="390"/>
      <c r="T39" s="1311"/>
    </row>
    <row r="40" spans="1:23" ht="28.5" customHeight="1" thickBot="1">
      <c r="B40" s="1735">
        <v>8</v>
      </c>
      <c r="C40" s="1280">
        <f>N5-Q1*2</f>
        <v>850</v>
      </c>
      <c r="D40" s="1737">
        <f>ROUND((SQRT(2*(N4+Q5)^2)/2-Q1)*2,0)</f>
        <v>1052</v>
      </c>
      <c r="E40" s="1704"/>
      <c r="F40" s="1704"/>
      <c r="G40" s="1704"/>
      <c r="H40" s="1704"/>
      <c r="I40" s="1738"/>
      <c r="J40" s="1300">
        <f>C40</f>
        <v>850</v>
      </c>
      <c r="K40" s="1719"/>
      <c r="L40" s="1720"/>
      <c r="M40" s="1724"/>
      <c r="N40" s="1727"/>
      <c r="O40" s="1730"/>
      <c r="P40" s="1698"/>
      <c r="Q40" s="1749" t="s">
        <v>1048</v>
      </c>
      <c r="R40" s="1749"/>
      <c r="S40" s="1749"/>
      <c r="T40" s="1750"/>
      <c r="V40" s="1313">
        <f ca="1">Q12</f>
        <v>25</v>
      </c>
      <c r="W40" s="1314">
        <f ca="1">ROUND(SUMIF($K$12:$K$107,V40,$P$12:$P$107),2)</f>
        <v>3090.24</v>
      </c>
    </row>
    <row r="41" spans="1:23" ht="9.75" customHeight="1" thickTop="1">
      <c r="B41" s="1736"/>
      <c r="C41" s="1301"/>
      <c r="D41" s="1302"/>
      <c r="E41" s="1303"/>
      <c r="F41" s="1303"/>
      <c r="G41" s="1303"/>
      <c r="H41" s="1302"/>
      <c r="I41" s="1302"/>
      <c r="J41" s="1304"/>
      <c r="K41" s="1721"/>
      <c r="L41" s="1722"/>
      <c r="M41" s="1725"/>
      <c r="N41" s="1728"/>
      <c r="O41" s="1731"/>
      <c r="P41" s="1698"/>
      <c r="Q41" s="1315"/>
      <c r="R41" s="1315"/>
      <c r="S41" s="1315"/>
      <c r="T41" s="1316"/>
      <c r="V41" s="1317"/>
      <c r="W41" s="1317"/>
    </row>
    <row r="42" spans="1:23" ht="9.75" customHeight="1">
      <c r="B42" s="1305"/>
      <c r="C42" s="1306"/>
      <c r="D42" s="1307"/>
      <c r="E42" s="1308"/>
      <c r="F42" s="1308"/>
      <c r="G42" s="1308"/>
      <c r="H42" s="1307"/>
      <c r="I42" s="1307"/>
      <c r="J42" s="1309"/>
      <c r="K42" s="1717">
        <v>10</v>
      </c>
      <c r="L42" s="1718"/>
      <c r="M42" s="1751">
        <f>+D44*4+H43*2</f>
        <v>4328</v>
      </c>
      <c r="N42" s="1726">
        <f>ROUNDDOWN((N5-N3)/200+1,0)*4</f>
        <v>16</v>
      </c>
      <c r="O42" s="1752">
        <f>ROUND(N42*M42/1000,2)</f>
        <v>69.25</v>
      </c>
      <c r="P42" s="1698">
        <f>VLOOKUP(K42,'Bảng tra'!$A$19:$B$33,2)*'KL thep mong'!O42</f>
        <v>42.727249999999998</v>
      </c>
      <c r="Q42" s="1315"/>
      <c r="R42" s="1315"/>
      <c r="S42" s="1315"/>
      <c r="T42" s="1316"/>
      <c r="V42" s="1317"/>
      <c r="W42" s="1317"/>
    </row>
    <row r="43" spans="1:23" ht="12.75" customHeight="1" thickBot="1">
      <c r="B43" s="1294"/>
      <c r="C43" s="1295"/>
      <c r="D43" s="1318"/>
      <c r="E43" s="1319"/>
      <c r="F43" s="1319"/>
      <c r="G43" s="1320"/>
      <c r="H43" s="1318">
        <v>60</v>
      </c>
      <c r="I43" s="1296"/>
      <c r="J43" s="1298"/>
      <c r="K43" s="1719"/>
      <c r="L43" s="1720"/>
      <c r="M43" s="1689"/>
      <c r="N43" s="1727"/>
      <c r="O43" s="1695"/>
      <c r="P43" s="1698"/>
      <c r="Q43" s="1315"/>
      <c r="R43" s="1315"/>
      <c r="S43" s="1315"/>
      <c r="T43" s="1316"/>
      <c r="V43" s="1317"/>
      <c r="W43" s="1317"/>
    </row>
    <row r="44" spans="1:23" ht="27.75" customHeight="1" thickTop="1" thickBot="1">
      <c r="A44" s="719"/>
      <c r="B44" s="1735">
        <v>9</v>
      </c>
      <c r="C44" s="1295"/>
      <c r="D44" s="1300">
        <f>D40</f>
        <v>1052</v>
      </c>
      <c r="E44" s="1753">
        <f>D44</f>
        <v>1052</v>
      </c>
      <c r="F44" s="1754"/>
      <c r="G44" s="1754"/>
      <c r="H44" s="1321"/>
      <c r="I44" s="1296"/>
      <c r="J44" s="1298"/>
      <c r="K44" s="1719"/>
      <c r="L44" s="1720"/>
      <c r="M44" s="1689"/>
      <c r="N44" s="1727"/>
      <c r="O44" s="1695"/>
      <c r="P44" s="1698"/>
      <c r="Q44" s="1322" t="s">
        <v>1049</v>
      </c>
      <c r="R44" s="1323" t="str">
        <f>+[1]Tra!G137&amp;" thanh"</f>
        <v>6 thanh</v>
      </c>
      <c r="S44" s="1322" t="s">
        <v>1050</v>
      </c>
      <c r="T44" s="1324" t="str">
        <f>+[1]Tra!H137&amp;" thanh"</f>
        <v>5 thanh</v>
      </c>
      <c r="V44" s="1313">
        <f ca="1">Q15</f>
        <v>14</v>
      </c>
      <c r="W44" s="1314">
        <f ca="1">ROUND(SUMIF($K$12:$K$107,V44,$P$12:$P$107),2)</f>
        <v>3914.79</v>
      </c>
    </row>
    <row r="45" spans="1:23" ht="9.75" customHeight="1" thickTop="1">
      <c r="B45" s="1736"/>
      <c r="C45" s="1301"/>
      <c r="D45" s="1302"/>
      <c r="E45" s="1303"/>
      <c r="F45" s="1303"/>
      <c r="G45" s="1303"/>
      <c r="H45" s="1302"/>
      <c r="I45" s="1302"/>
      <c r="J45" s="1304"/>
      <c r="K45" s="1721"/>
      <c r="L45" s="1722"/>
      <c r="M45" s="1690"/>
      <c r="N45" s="1728"/>
      <c r="O45" s="1696"/>
      <c r="P45" s="1698"/>
      <c r="Q45" s="1315"/>
      <c r="R45" s="1315"/>
      <c r="S45" s="1315"/>
      <c r="T45" s="1316"/>
      <c r="V45" s="1317"/>
      <c r="W45" s="1317"/>
    </row>
    <row r="46" spans="1:23" ht="7.5" customHeight="1">
      <c r="B46" s="1756">
        <v>10</v>
      </c>
      <c r="C46" s="1325"/>
      <c r="D46" s="1318"/>
      <c r="E46" s="1319"/>
      <c r="F46" s="1319"/>
      <c r="G46" s="1319"/>
      <c r="H46" s="1318"/>
      <c r="I46" s="1318"/>
      <c r="J46" s="1281"/>
      <c r="K46" s="1711">
        <f>T3</f>
        <v>25</v>
      </c>
      <c r="L46" s="1712"/>
      <c r="M46" s="1751">
        <f>+J47+D47+C47</f>
        <v>9850</v>
      </c>
      <c r="N46" s="1710">
        <f>IF(MOD(U3,4)=0,U3/2*4,(INT(U3/2)+1)*4)</f>
        <v>16</v>
      </c>
      <c r="O46" s="1752">
        <f>ROUND(N46*M46/1000,2)</f>
        <v>157.6</v>
      </c>
      <c r="P46" s="1698">
        <f>VLOOKUP(K46,'Bảng tra'!$A$19:$B$33,2)*'KL thep mong'!O46</f>
        <v>606.76</v>
      </c>
      <c r="Q46" s="1315"/>
      <c r="R46" s="1315"/>
      <c r="S46" s="1315"/>
      <c r="T46" s="1316"/>
      <c r="V46" s="1317"/>
      <c r="W46" s="1317"/>
    </row>
    <row r="47" spans="1:23" ht="17.25" customHeight="1" thickBot="1">
      <c r="B47" s="1680"/>
      <c r="C47" s="1280"/>
      <c r="D47" s="1704">
        <f>D13</f>
        <v>9850</v>
      </c>
      <c r="E47" s="1704"/>
      <c r="F47" s="1704"/>
      <c r="G47" s="1704"/>
      <c r="H47" s="1704"/>
      <c r="I47" s="1704"/>
      <c r="J47" s="1326"/>
      <c r="K47" s="1684"/>
      <c r="L47" s="1685"/>
      <c r="M47" s="1689"/>
      <c r="N47" s="1692"/>
      <c r="O47" s="1695"/>
      <c r="P47" s="1698"/>
      <c r="Q47" s="1322" t="s">
        <v>1051</v>
      </c>
      <c r="R47" s="1323" t="str">
        <f>+[1]Tra!J137&amp;" thanh"</f>
        <v>11 thanh</v>
      </c>
      <c r="S47" s="1322" t="s">
        <v>1052</v>
      </c>
      <c r="T47" s="1324" t="str">
        <f>+[1]Tra!K137&amp;" thanh"</f>
        <v>5 thanh</v>
      </c>
      <c r="V47" s="1313">
        <f ca="1">Q17</f>
        <v>10</v>
      </c>
      <c r="W47" s="1314">
        <f ca="1">ROUND(SUMIF($K$12:$K$107,V47,$P$12:$P$107),2)</f>
        <v>530.72</v>
      </c>
    </row>
    <row r="48" spans="1:23" ht="7.5" customHeight="1" thickTop="1">
      <c r="B48" s="1681"/>
      <c r="C48" s="1287"/>
      <c r="D48" s="1288"/>
      <c r="E48" s="1289"/>
      <c r="F48" s="1289"/>
      <c r="G48" s="1289"/>
      <c r="H48" s="1288"/>
      <c r="I48" s="1288"/>
      <c r="J48" s="1290"/>
      <c r="K48" s="1686"/>
      <c r="L48" s="1687"/>
      <c r="M48" s="1690"/>
      <c r="N48" s="1693"/>
      <c r="O48" s="1696"/>
      <c r="P48" s="1698"/>
      <c r="Q48" s="1315"/>
      <c r="R48" s="1315"/>
      <c r="S48" s="1315"/>
      <c r="T48" s="1316"/>
      <c r="V48" s="1317"/>
      <c r="W48" s="1317"/>
    </row>
    <row r="49" spans="1:24" ht="8.25" customHeight="1">
      <c r="B49" s="1756">
        <f>IF(N49&lt;&gt;0,B46+1,0)</f>
        <v>11</v>
      </c>
      <c r="C49" s="1291"/>
      <c r="D49" s="1327"/>
      <c r="E49" s="1328"/>
      <c r="F49" s="1328"/>
      <c r="G49" s="1328"/>
      <c r="H49" s="1327"/>
      <c r="I49" s="1327"/>
      <c r="J49" s="1292"/>
      <c r="K49" s="1711">
        <f>K46</f>
        <v>25</v>
      </c>
      <c r="L49" s="1712"/>
      <c r="M49" s="1761">
        <f>D50</f>
        <v>7250</v>
      </c>
      <c r="N49" s="1767">
        <f>U3*4-N46</f>
        <v>16</v>
      </c>
      <c r="O49" s="1763">
        <f>ROUND(N49*M49/1000,2)</f>
        <v>116</v>
      </c>
      <c r="P49" s="1698">
        <f>VLOOKUP(K49,'Bảng tra'!$A$19:$B$33,2)*'KL thep mong'!O49</f>
        <v>446.6</v>
      </c>
      <c r="T49" s="1329"/>
      <c r="V49" s="1317"/>
      <c r="W49" s="1317"/>
    </row>
    <row r="50" spans="1:24" ht="14.25" customHeight="1" thickBot="1">
      <c r="B50" s="1680"/>
      <c r="C50" s="1325"/>
      <c r="D50" s="1704">
        <f>+D47-ROUNDDOWN(MIN(D1,D2)/2,-2)*2</f>
        <v>7250</v>
      </c>
      <c r="E50" s="1704"/>
      <c r="F50" s="1704"/>
      <c r="G50" s="1704"/>
      <c r="H50" s="1704"/>
      <c r="I50" s="1704"/>
      <c r="J50" s="1281"/>
      <c r="K50" s="1684"/>
      <c r="L50" s="1685"/>
      <c r="M50" s="1761"/>
      <c r="N50" s="1767"/>
      <c r="O50" s="1763"/>
      <c r="P50" s="1698"/>
      <c r="Q50" s="1322" t="s">
        <v>1053</v>
      </c>
      <c r="R50" s="1323" t="str">
        <f>+[1]Tra!I137&amp;" thanh"</f>
        <v>5 thanh</v>
      </c>
      <c r="T50" s="1329"/>
    </row>
    <row r="51" spans="1:24" ht="6.75" customHeight="1" thickTop="1">
      <c r="B51" s="1681"/>
      <c r="C51" s="1287"/>
      <c r="D51" s="1288"/>
      <c r="E51" s="1289"/>
      <c r="F51" s="1289"/>
      <c r="G51" s="1289"/>
      <c r="H51" s="1288"/>
      <c r="I51" s="1288"/>
      <c r="J51" s="1290"/>
      <c r="K51" s="1686"/>
      <c r="L51" s="1687"/>
      <c r="M51" s="1761"/>
      <c r="N51" s="1767"/>
      <c r="O51" s="1763"/>
      <c r="P51" s="1755"/>
      <c r="Q51" s="1264"/>
      <c r="R51" s="1330"/>
      <c r="S51" s="1264"/>
      <c r="T51" s="1331"/>
      <c r="V51" s="1317"/>
      <c r="W51" s="1317"/>
    </row>
    <row r="52" spans="1:24" ht="8.25" hidden="1" customHeight="1">
      <c r="B52" s="1756" t="str">
        <f>+[1]Tra!I164</f>
        <v>9a</v>
      </c>
      <c r="C52" s="1291"/>
      <c r="D52" s="1327"/>
      <c r="E52" s="1328"/>
      <c r="F52" s="1328"/>
      <c r="G52" s="1328"/>
      <c r="H52" s="1327"/>
      <c r="I52" s="1327"/>
      <c r="J52" s="1292"/>
      <c r="K52" s="1757">
        <f>+[1]Tra!J164</f>
        <v>10</v>
      </c>
      <c r="L52" s="1758"/>
      <c r="M52" s="1761">
        <f>+(E54*2+D54*2+H53*2)</f>
        <v>2560</v>
      </c>
      <c r="N52" s="1762">
        <f>+[1]Tra!L164</f>
        <v>0</v>
      </c>
      <c r="O52" s="1763">
        <f>+N52*M52/1000</f>
        <v>0</v>
      </c>
      <c r="P52" s="1332"/>
      <c r="Q52" s="390"/>
      <c r="R52" s="424"/>
      <c r="S52" s="390"/>
      <c r="T52" s="1311"/>
      <c r="V52" s="1317"/>
      <c r="W52" s="1317"/>
    </row>
    <row r="53" spans="1:24" ht="12" hidden="1" customHeight="1">
      <c r="B53" s="1680"/>
      <c r="C53" s="1325"/>
      <c r="D53" s="1318"/>
      <c r="E53" s="1319"/>
      <c r="F53" s="1319"/>
      <c r="G53" s="1319"/>
      <c r="H53" s="1287">
        <v>60</v>
      </c>
      <c r="I53" s="1318"/>
      <c r="J53" s="1281"/>
      <c r="K53" s="1743"/>
      <c r="L53" s="1759"/>
      <c r="M53" s="1761"/>
      <c r="N53" s="1762"/>
      <c r="O53" s="1763"/>
      <c r="P53" s="1332"/>
      <c r="Q53" s="390"/>
      <c r="R53" s="424"/>
      <c r="S53" s="390"/>
      <c r="T53" s="1311"/>
      <c r="V53" s="1317"/>
      <c r="W53" s="1317"/>
    </row>
    <row r="54" spans="1:24" ht="21.75" hidden="1" customHeight="1">
      <c r="A54" s="2" t="s">
        <v>1054</v>
      </c>
      <c r="B54" s="1680"/>
      <c r="C54" s="1333"/>
      <c r="D54" s="1300">
        <f>+[1]Tra!N164*1000</f>
        <v>350</v>
      </c>
      <c r="E54" s="1764">
        <f>+[1]Tra!O164*1000</f>
        <v>870</v>
      </c>
      <c r="F54" s="1765"/>
      <c r="G54" s="1766"/>
      <c r="H54" s="1318"/>
      <c r="I54" s="1318"/>
      <c r="J54" s="1281"/>
      <c r="K54" s="1743"/>
      <c r="L54" s="1759"/>
      <c r="M54" s="1761"/>
      <c r="N54" s="1762"/>
      <c r="O54" s="1763"/>
      <c r="P54" s="1332"/>
      <c r="Q54" s="390"/>
      <c r="R54" s="424"/>
      <c r="S54" s="390"/>
      <c r="T54" s="1311"/>
      <c r="V54" s="1317"/>
      <c r="W54" s="1317">
        <f>112/4/2</f>
        <v>14</v>
      </c>
    </row>
    <row r="55" spans="1:24" ht="6.75" hidden="1" customHeight="1">
      <c r="B55" s="1681"/>
      <c r="C55" s="1287"/>
      <c r="D55" s="1288"/>
      <c r="E55" s="1289"/>
      <c r="F55" s="1289"/>
      <c r="G55" s="1289"/>
      <c r="H55" s="1288"/>
      <c r="I55" s="1288"/>
      <c r="J55" s="1290"/>
      <c r="K55" s="1744"/>
      <c r="L55" s="1760"/>
      <c r="M55" s="1761"/>
      <c r="N55" s="1762"/>
      <c r="O55" s="1763"/>
      <c r="P55" s="1332"/>
      <c r="Q55" s="390"/>
      <c r="R55" s="424"/>
      <c r="S55" s="390"/>
      <c r="T55" s="1311"/>
      <c r="V55" s="1317"/>
      <c r="W55" s="1317"/>
    </row>
    <row r="56" spans="1:24" ht="12.75" hidden="1" customHeight="1">
      <c r="B56" s="1756" t="str">
        <f>+[1]Tra!I165</f>
        <v>9b</v>
      </c>
      <c r="C56" s="1334">
        <v>60</v>
      </c>
      <c r="D56" s="1769">
        <f>+[1]Tra!N165*1000</f>
        <v>510</v>
      </c>
      <c r="E56" s="1769"/>
      <c r="F56" s="1769"/>
      <c r="G56" s="1769"/>
      <c r="H56" s="1769"/>
      <c r="I56" s="1769"/>
      <c r="J56" s="1335">
        <v>60</v>
      </c>
      <c r="K56" s="1757">
        <f>+[1]Tra!J165</f>
        <v>10</v>
      </c>
      <c r="L56" s="1758"/>
      <c r="M56" s="1761">
        <f>+D56+J56*2</f>
        <v>630</v>
      </c>
      <c r="N56" s="1762">
        <f>+[1]Tra!L165</f>
        <v>0</v>
      </c>
      <c r="O56" s="1763">
        <f>+N56*M56/1000</f>
        <v>0</v>
      </c>
      <c r="P56" s="1332"/>
      <c r="Q56" s="390"/>
      <c r="R56" s="424"/>
      <c r="S56" s="390"/>
      <c r="T56" s="1311"/>
      <c r="V56" s="1317"/>
      <c r="W56" s="1317"/>
    </row>
    <row r="57" spans="1:24" ht="13.5" hidden="1" customHeight="1">
      <c r="B57" s="1681"/>
      <c r="C57" s="1287"/>
      <c r="D57" s="1770"/>
      <c r="E57" s="1770"/>
      <c r="F57" s="1770"/>
      <c r="G57" s="1770"/>
      <c r="H57" s="1770"/>
      <c r="I57" s="1770"/>
      <c r="J57" s="1290"/>
      <c r="K57" s="1744"/>
      <c r="L57" s="1760"/>
      <c r="M57" s="1761"/>
      <c r="N57" s="1762"/>
      <c r="O57" s="1763"/>
      <c r="P57" s="1332"/>
      <c r="Q57" s="390"/>
      <c r="R57" s="424"/>
      <c r="S57" s="390"/>
      <c r="T57" s="1311"/>
      <c r="V57" s="1317"/>
      <c r="W57" s="1317"/>
    </row>
    <row r="58" spans="1:24" ht="6" customHeight="1">
      <c r="B58" s="1756">
        <f>B49+1</f>
        <v>12</v>
      </c>
      <c r="C58" s="1291"/>
      <c r="D58" s="1327"/>
      <c r="E58" s="1328"/>
      <c r="F58" s="1328"/>
      <c r="G58" s="1328"/>
      <c r="H58" s="1327"/>
      <c r="I58" s="1327"/>
      <c r="J58" s="1292"/>
      <c r="K58" s="1711">
        <f>K12</f>
        <v>14</v>
      </c>
      <c r="L58" s="1712"/>
      <c r="M58" s="1761">
        <f>D59</f>
        <v>9850</v>
      </c>
      <c r="N58" s="1710">
        <f>IF(N5-Q1*2&gt;1600,12,IF(N5-Q1*2&gt;1000,8,4))</f>
        <v>4</v>
      </c>
      <c r="O58" s="1768">
        <f>ROUND(N58*M58/1000,2)</f>
        <v>39.4</v>
      </c>
      <c r="P58" s="1698">
        <f>VLOOKUP(K58,'Bảng tra'!$A$19:$B$33,2)*'KL thep mong'!O58</f>
        <v>47.673999999999999</v>
      </c>
      <c r="Q58" s="1771" t="s">
        <v>1055</v>
      </c>
      <c r="R58" s="1771"/>
      <c r="S58" s="1771"/>
      <c r="T58" s="1772"/>
      <c r="V58" s="1317"/>
      <c r="W58" s="1317"/>
    </row>
    <row r="59" spans="1:24" ht="17.25" customHeight="1" thickBot="1">
      <c r="B59" s="1680"/>
      <c r="C59" s="1325"/>
      <c r="D59" s="1704">
        <f>D47</f>
        <v>9850</v>
      </c>
      <c r="E59" s="1704"/>
      <c r="F59" s="1704"/>
      <c r="G59" s="1704"/>
      <c r="H59" s="1704"/>
      <c r="I59" s="1704"/>
      <c r="J59" s="1281"/>
      <c r="K59" s="1684"/>
      <c r="L59" s="1685"/>
      <c r="M59" s="1761"/>
      <c r="N59" s="1692"/>
      <c r="O59" s="1768"/>
      <c r="P59" s="1698"/>
      <c r="Q59" s="1773"/>
      <c r="R59" s="1773"/>
      <c r="S59" s="1773"/>
      <c r="T59" s="1774"/>
      <c r="V59" s="1313">
        <f ca="1">Q19</f>
        <v>8</v>
      </c>
      <c r="W59" s="1314">
        <f ca="1">ROUND(SUMIF($K$12:$K$107,V59,$P$12:$P$107),2)</f>
        <v>64.84</v>
      </c>
    </row>
    <row r="60" spans="1:24" ht="8.15" customHeight="1" thickTop="1">
      <c r="B60" s="1680"/>
      <c r="C60" s="1287"/>
      <c r="D60" s="1336"/>
      <c r="E60" s="1337"/>
      <c r="F60" s="1338"/>
      <c r="G60" s="1339"/>
      <c r="H60" s="1336"/>
      <c r="I60" s="1288"/>
      <c r="J60" s="1290"/>
      <c r="K60" s="1684"/>
      <c r="L60" s="1685"/>
      <c r="M60" s="1761"/>
      <c r="N60" s="1692"/>
      <c r="O60" s="1768"/>
      <c r="P60" s="1698"/>
      <c r="Q60" s="390"/>
      <c r="R60" s="1322" t="s">
        <v>1056</v>
      </c>
      <c r="S60" s="1315" t="str">
        <f>N6/1000&amp;"(m)"</f>
        <v>4(m)</v>
      </c>
      <c r="T60" s="1311"/>
    </row>
    <row r="61" spans="1:24" ht="6" customHeight="1">
      <c r="B61" s="1756">
        <f>MAX(B46+1,B58+1)</f>
        <v>13</v>
      </c>
      <c r="C61" s="1325"/>
      <c r="D61" s="1318"/>
      <c r="E61" s="1319"/>
      <c r="F61" s="1319"/>
      <c r="G61" s="1319"/>
      <c r="H61" s="1318"/>
      <c r="I61" s="1318"/>
      <c r="J61" s="1281"/>
      <c r="K61" s="1711">
        <f>K46</f>
        <v>25</v>
      </c>
      <c r="L61" s="1712"/>
      <c r="M61" s="1761">
        <f>D62</f>
        <v>11850</v>
      </c>
      <c r="N61" s="1710">
        <f>N46</f>
        <v>16</v>
      </c>
      <c r="O61" s="1768">
        <f>ROUND(N61*M61/1000,2)</f>
        <v>189.6</v>
      </c>
      <c r="P61" s="1698">
        <f>VLOOKUP(K61,'Bảng tra'!$A$19:$B$33,2)*'KL thep mong'!O61</f>
        <v>729.96</v>
      </c>
      <c r="Q61" s="1588" t="s">
        <v>1057</v>
      </c>
      <c r="R61" s="1775" t="str">
        <f>+'[1]D122-38'!K9&amp;'[1]D122-38'!L9</f>
        <v>6(m)</v>
      </c>
      <c r="S61" s="1588" t="s">
        <v>1058</v>
      </c>
      <c r="T61" s="1776" t="str">
        <f>+'[1]D122-38'!K10&amp;'[1]D122-38'!L10</f>
        <v>8(m)</v>
      </c>
    </row>
    <row r="62" spans="1:24" ht="20.25" customHeight="1" thickBot="1">
      <c r="B62" s="1680"/>
      <c r="C62" s="1280"/>
      <c r="D62" s="1704">
        <f>D17</f>
        <v>11850</v>
      </c>
      <c r="E62" s="1704"/>
      <c r="F62" s="1704"/>
      <c r="G62" s="1704"/>
      <c r="H62" s="1704"/>
      <c r="I62" s="1704"/>
      <c r="J62" s="1326"/>
      <c r="K62" s="1684"/>
      <c r="L62" s="1685"/>
      <c r="M62" s="1761"/>
      <c r="N62" s="1692"/>
      <c r="O62" s="1768"/>
      <c r="P62" s="1698"/>
      <c r="Q62" s="1588"/>
      <c r="R62" s="1775"/>
      <c r="S62" s="1588"/>
      <c r="T62" s="1776"/>
      <c r="W62" s="1317">
        <f ca="1">W40+W44+W47+W59</f>
        <v>7600.59</v>
      </c>
      <c r="X62" s="2" t="s">
        <v>1059</v>
      </c>
    </row>
    <row r="63" spans="1:24" ht="8.15" customHeight="1" thickTop="1">
      <c r="B63" s="1680"/>
      <c r="C63" s="1287"/>
      <c r="D63" s="1288"/>
      <c r="E63" s="1289"/>
      <c r="F63" s="1289"/>
      <c r="G63" s="1289"/>
      <c r="H63" s="1288"/>
      <c r="I63" s="1288"/>
      <c r="J63" s="1290"/>
      <c r="K63" s="1684"/>
      <c r="L63" s="1685"/>
      <c r="M63" s="1761"/>
      <c r="N63" s="1692"/>
      <c r="O63" s="1768"/>
      <c r="P63" s="1698"/>
      <c r="Q63" s="1264" t="s">
        <v>1060</v>
      </c>
      <c r="R63" s="424" t="str">
        <f>+('[1]D122-38'!K27+'[1]D122-38'!B25/2)&amp;"m"</f>
        <v>2.4m</v>
      </c>
      <c r="S63" s="1264" t="s">
        <v>1061</v>
      </c>
      <c r="T63" s="1316" t="str">
        <f>+('[1]D122-38'!K25+'[1]D122-38'!B25/2)&amp;"m"</f>
        <v>1.4m</v>
      </c>
    </row>
    <row r="64" spans="1:24" ht="8.15" customHeight="1">
      <c r="B64" s="1756">
        <f>IF(N64&lt;&gt;0,B61+1,0)</f>
        <v>14</v>
      </c>
      <c r="C64" s="1334"/>
      <c r="D64" s="1340"/>
      <c r="E64" s="1340"/>
      <c r="F64" s="1340"/>
      <c r="G64" s="1340"/>
      <c r="H64" s="1340"/>
      <c r="I64" s="1340"/>
      <c r="J64" s="1335"/>
      <c r="K64" s="1711">
        <f>K61</f>
        <v>25</v>
      </c>
      <c r="L64" s="1712"/>
      <c r="M64" s="1761">
        <f>+D65+J64*2</f>
        <v>9250</v>
      </c>
      <c r="N64" s="1767">
        <f>N49</f>
        <v>16</v>
      </c>
      <c r="O64" s="1768">
        <f>ROUND(N64*M64/1000,2)</f>
        <v>148</v>
      </c>
      <c r="P64" s="1698">
        <f>VLOOKUP(K64,'Bảng tra'!$A$19:$B$33,2)*'KL thep mong'!O64</f>
        <v>569.80000000000007</v>
      </c>
      <c r="Q64" s="390"/>
      <c r="R64" s="390"/>
      <c r="S64" s="1322" t="s">
        <v>1062</v>
      </c>
      <c r="T64" s="1316" t="str">
        <f>Q4/1000&amp;"(m)"</f>
        <v>3.5(m)</v>
      </c>
    </row>
    <row r="65" spans="2:20" ht="12.75" customHeight="1" thickBot="1">
      <c r="B65" s="1680"/>
      <c r="C65" s="1341"/>
      <c r="D65" s="1704">
        <f>D62-ROUNDDOWN(MIN(D1,D2)/2,-2)*2</f>
        <v>9250</v>
      </c>
      <c r="E65" s="1704"/>
      <c r="F65" s="1704"/>
      <c r="G65" s="1704"/>
      <c r="H65" s="1704"/>
      <c r="I65" s="1704"/>
      <c r="J65" s="1342"/>
      <c r="K65" s="1684"/>
      <c r="L65" s="1685"/>
      <c r="M65" s="1751"/>
      <c r="N65" s="1710"/>
      <c r="O65" s="1768"/>
      <c r="P65" s="1698"/>
      <c r="Q65" s="390"/>
      <c r="R65" s="390"/>
      <c r="S65" s="1322"/>
      <c r="T65" s="1316"/>
    </row>
    <row r="66" spans="2:20" ht="8.15" customHeight="1" thickTop="1">
      <c r="B66" s="1681"/>
      <c r="C66" s="1287"/>
      <c r="D66" s="1343"/>
      <c r="E66" s="1343"/>
      <c r="F66" s="1343"/>
      <c r="G66" s="1343"/>
      <c r="H66" s="1343"/>
      <c r="I66" s="1343"/>
      <c r="J66" s="1290"/>
      <c r="K66" s="1686"/>
      <c r="L66" s="1687"/>
      <c r="M66" s="1761"/>
      <c r="N66" s="1767"/>
      <c r="O66" s="1768"/>
      <c r="P66" s="1698"/>
      <c r="Q66" s="1344"/>
      <c r="R66" s="1344"/>
      <c r="S66" s="1344"/>
      <c r="T66" s="1345"/>
    </row>
    <row r="67" spans="2:20" ht="8.15" customHeight="1">
      <c r="B67" s="1756">
        <f>B64+1</f>
        <v>15</v>
      </c>
      <c r="C67" s="1291"/>
      <c r="D67" s="1327"/>
      <c r="E67" s="1328"/>
      <c r="F67" s="1328"/>
      <c r="G67" s="1328"/>
      <c r="H67" s="1327"/>
      <c r="I67" s="1327"/>
      <c r="J67" s="1292"/>
      <c r="K67" s="1711">
        <f>K58</f>
        <v>14</v>
      </c>
      <c r="L67" s="1712"/>
      <c r="M67" s="1751">
        <f>+J68+D68+C68</f>
        <v>11850</v>
      </c>
      <c r="N67" s="1710">
        <f>N58</f>
        <v>4</v>
      </c>
      <c r="O67" s="1768">
        <f>ROUND(N67*M67/1000,2)</f>
        <v>47.4</v>
      </c>
      <c r="P67" s="1698">
        <f>VLOOKUP(K67,'Bảng tra'!$A$19:$B$33,2)*'KL thep mong'!O67</f>
        <v>57.353999999999999</v>
      </c>
      <c r="Q67" s="1346"/>
      <c r="R67" s="1346"/>
      <c r="S67" s="1346"/>
      <c r="T67" s="1347"/>
    </row>
    <row r="68" spans="2:20" ht="15.75" customHeight="1" thickBot="1">
      <c r="B68" s="1680"/>
      <c r="C68" s="1280"/>
      <c r="D68" s="1704">
        <f>D62</f>
        <v>11850</v>
      </c>
      <c r="E68" s="1704"/>
      <c r="F68" s="1704"/>
      <c r="G68" s="1704"/>
      <c r="H68" s="1704"/>
      <c r="I68" s="1704"/>
      <c r="J68" s="1300"/>
      <c r="K68" s="1684"/>
      <c r="L68" s="1685"/>
      <c r="M68" s="1689"/>
      <c r="N68" s="1692"/>
      <c r="O68" s="1768"/>
      <c r="P68" s="1698"/>
      <c r="Q68" s="1346"/>
      <c r="R68" s="1346"/>
      <c r="S68" s="1346"/>
      <c r="T68" s="1347"/>
    </row>
    <row r="69" spans="2:20" ht="8.15" customHeight="1" thickTop="1" thickBot="1">
      <c r="B69" s="1681"/>
      <c r="C69" s="1287"/>
      <c r="D69" s="1288"/>
      <c r="E69" s="1289"/>
      <c r="F69" s="1289"/>
      <c r="G69" s="1289"/>
      <c r="H69" s="1288"/>
      <c r="I69" s="1288"/>
      <c r="J69" s="1290"/>
      <c r="K69" s="1686"/>
      <c r="L69" s="1687"/>
      <c r="M69" s="1690"/>
      <c r="N69" s="1693"/>
      <c r="O69" s="1768"/>
      <c r="P69" s="1698"/>
      <c r="Q69" s="1348"/>
      <c r="R69" s="1348"/>
      <c r="S69" s="1348"/>
      <c r="T69" s="1349"/>
    </row>
    <row r="70" spans="2:20" ht="7.5" customHeight="1">
      <c r="B70" s="1735">
        <f>MAX(B61+1,B64+1,B67+1)</f>
        <v>16</v>
      </c>
      <c r="C70" s="1295"/>
      <c r="D70" s="1296"/>
      <c r="E70" s="1297"/>
      <c r="F70" s="1297"/>
      <c r="G70" s="1297"/>
      <c r="H70" s="1296"/>
      <c r="I70" s="1296"/>
      <c r="J70" s="1298"/>
      <c r="K70" s="1719">
        <v>10</v>
      </c>
      <c r="L70" s="1720"/>
      <c r="M70" s="1724">
        <f>D72*2+E72*2+H71*2</f>
        <v>2520</v>
      </c>
      <c r="N70" s="1710">
        <f>(ROUND((N1-Q1*2-Q5*4)/200,0)+1)*2+(ROUND((N2-Q1*2-Q5*4)/200,0)+1)*2</f>
        <v>192</v>
      </c>
      <c r="O70" s="1777">
        <f>ROUND(N70*M70/1000,2)</f>
        <v>483.84</v>
      </c>
      <c r="P70" s="1698">
        <f>VLOOKUP(K70,'Bảng tra'!$A$19:$B$33,2)*'KL thep mong'!O70</f>
        <v>298.52927999999997</v>
      </c>
      <c r="Q70" s="1346"/>
      <c r="R70" s="1346"/>
      <c r="S70" s="1346"/>
      <c r="T70" s="1346"/>
    </row>
    <row r="71" spans="2:20" ht="13.5" customHeight="1" thickBot="1">
      <c r="B71" s="1735"/>
      <c r="C71" s="1295"/>
      <c r="D71" s="1318"/>
      <c r="E71" s="1319"/>
      <c r="F71" s="1319"/>
      <c r="G71" s="1320"/>
      <c r="H71" s="1318">
        <v>60</v>
      </c>
      <c r="I71" s="1296"/>
      <c r="J71" s="1298"/>
      <c r="K71" s="1719"/>
      <c r="L71" s="1720"/>
      <c r="M71" s="1724"/>
      <c r="N71" s="1692"/>
      <c r="O71" s="1777"/>
      <c r="P71" s="1698"/>
      <c r="Q71" s="1346"/>
      <c r="R71" s="1346"/>
      <c r="S71" s="1346"/>
      <c r="T71" s="1346"/>
    </row>
    <row r="72" spans="2:20" ht="24" customHeight="1" thickTop="1" thickBot="1">
      <c r="B72" s="1735"/>
      <c r="C72" s="1295"/>
      <c r="D72" s="1300">
        <f>N4-Q1*2</f>
        <v>350</v>
      </c>
      <c r="E72" s="1753">
        <f>N5-Q1*2</f>
        <v>850</v>
      </c>
      <c r="F72" s="1754"/>
      <c r="G72" s="1754"/>
      <c r="H72" s="1321"/>
      <c r="I72" s="1296"/>
      <c r="J72" s="1298"/>
      <c r="K72" s="1719"/>
      <c r="L72" s="1720"/>
      <c r="M72" s="1724"/>
      <c r="N72" s="1692"/>
      <c r="O72" s="1777"/>
      <c r="P72" s="1698"/>
    </row>
    <row r="73" spans="2:20" ht="8.25" customHeight="1" thickTop="1">
      <c r="B73" s="1736"/>
      <c r="C73" s="1301"/>
      <c r="D73" s="1302"/>
      <c r="E73" s="1303"/>
      <c r="F73" s="1303"/>
      <c r="G73" s="1303"/>
      <c r="H73" s="1302"/>
      <c r="I73" s="1302"/>
      <c r="J73" s="1304"/>
      <c r="K73" s="1721"/>
      <c r="L73" s="1722"/>
      <c r="M73" s="1725"/>
      <c r="N73" s="1693"/>
      <c r="O73" s="1777"/>
      <c r="P73" s="1698"/>
    </row>
    <row r="74" spans="2:20" ht="12.75" customHeight="1">
      <c r="B74" s="1756">
        <f>B70+1</f>
        <v>17</v>
      </c>
      <c r="C74" s="1334">
        <v>60</v>
      </c>
      <c r="D74" s="1340"/>
      <c r="E74" s="1340"/>
      <c r="F74" s="1340"/>
      <c r="G74" s="1340"/>
      <c r="H74" s="1340"/>
      <c r="I74" s="1340"/>
      <c r="J74" s="1335">
        <v>60</v>
      </c>
      <c r="K74" s="1711">
        <v>10</v>
      </c>
      <c r="L74" s="1712"/>
      <c r="M74" s="1761">
        <f>+D75+J74*2</f>
        <v>470</v>
      </c>
      <c r="N74" s="1710">
        <f>IF(N67=4,N70/2,IF(N67=8,N70,N70*3/2))</f>
        <v>96</v>
      </c>
      <c r="O74" s="1768">
        <f>ROUND(N74*M74/1000,2)</f>
        <v>45.12</v>
      </c>
      <c r="P74" s="1698">
        <f>VLOOKUP(K74,'Bảng tra'!$A$19:$B$33,2)*'KL thep mong'!O74</f>
        <v>27.839039999999997</v>
      </c>
    </row>
    <row r="75" spans="2:20" ht="12.75" customHeight="1" thickBot="1">
      <c r="B75" s="1680"/>
      <c r="C75" s="1341"/>
      <c r="D75" s="1778">
        <f>N4-Q1*2</f>
        <v>350</v>
      </c>
      <c r="E75" s="1779"/>
      <c r="F75" s="1779"/>
      <c r="G75" s="1779"/>
      <c r="H75" s="1779"/>
      <c r="I75" s="1780"/>
      <c r="J75" s="1342"/>
      <c r="K75" s="1684"/>
      <c r="L75" s="1685"/>
      <c r="M75" s="1751"/>
      <c r="N75" s="1692"/>
      <c r="O75" s="1768"/>
      <c r="P75" s="1698"/>
    </row>
    <row r="76" spans="2:20" ht="5.25" customHeight="1">
      <c r="B76" s="1681"/>
      <c r="C76" s="1287"/>
      <c r="D76" s="1343"/>
      <c r="E76" s="1343"/>
      <c r="F76" s="1343"/>
      <c r="G76" s="1343"/>
      <c r="H76" s="1343"/>
      <c r="I76" s="1343"/>
      <c r="J76" s="1290"/>
      <c r="K76" s="1686"/>
      <c r="L76" s="1687"/>
      <c r="M76" s="1761"/>
      <c r="N76" s="1693"/>
      <c r="O76" s="1768"/>
      <c r="P76" s="1698"/>
    </row>
    <row r="77" spans="2:20" ht="12.75" hidden="1" customHeight="1" outlineLevel="1">
      <c r="B77" s="1756">
        <f>IF(N77&lt;&gt;0,B74+1,0)</f>
        <v>0</v>
      </c>
      <c r="C77" s="1334">
        <v>60</v>
      </c>
      <c r="D77" s="1340"/>
      <c r="E77" s="1340"/>
      <c r="F77" s="1340"/>
      <c r="G77" s="1340"/>
      <c r="H77" s="1340"/>
      <c r="I77" s="1340"/>
      <c r="J77" s="1335">
        <v>60</v>
      </c>
      <c r="K77" s="1711">
        <v>10</v>
      </c>
      <c r="L77" s="1712"/>
      <c r="M77" s="1761">
        <f>+D78+J77*2</f>
        <v>970</v>
      </c>
      <c r="N77" s="1710">
        <f>IF(N4&gt;600,IF(MOD(U3,2)=0,N70/2*2,N70/2),0)</f>
        <v>0</v>
      </c>
      <c r="O77" s="1768">
        <f>ROUND(N77*M77/1000,2)</f>
        <v>0</v>
      </c>
      <c r="P77" s="1698">
        <f>VLOOKUP(K77,'Bảng tra'!$A$19:$B$33,2)*'KL thep mong'!O77</f>
        <v>0</v>
      </c>
      <c r="Q77" s="719"/>
    </row>
    <row r="78" spans="2:20" ht="12.75" hidden="1" customHeight="1" outlineLevel="1" thickBot="1">
      <c r="B78" s="1680"/>
      <c r="C78" s="1341"/>
      <c r="D78" s="1778">
        <f>N5-Q1*2</f>
        <v>850</v>
      </c>
      <c r="E78" s="1779"/>
      <c r="F78" s="1779"/>
      <c r="G78" s="1779"/>
      <c r="H78" s="1779"/>
      <c r="I78" s="1780"/>
      <c r="J78" s="1342"/>
      <c r="K78" s="1684"/>
      <c r="L78" s="1685"/>
      <c r="M78" s="1751"/>
      <c r="N78" s="1692"/>
      <c r="O78" s="1768"/>
      <c r="P78" s="1698"/>
      <c r="Q78" s="719">
        <v>376</v>
      </c>
    </row>
    <row r="79" spans="2:20" ht="5.25" hidden="1" customHeight="1" outlineLevel="1">
      <c r="B79" s="1681"/>
      <c r="C79" s="1287"/>
      <c r="D79" s="1343"/>
      <c r="E79" s="1343"/>
      <c r="F79" s="1343"/>
      <c r="G79" s="1343"/>
      <c r="H79" s="1343"/>
      <c r="I79" s="1343"/>
      <c r="J79" s="1290"/>
      <c r="K79" s="1686"/>
      <c r="L79" s="1687"/>
      <c r="M79" s="1761"/>
      <c r="N79" s="1693"/>
      <c r="O79" s="1768"/>
      <c r="P79" s="1698"/>
      <c r="Q79" s="719"/>
    </row>
    <row r="80" spans="2:20" ht="8.15" customHeight="1" collapsed="1">
      <c r="B80" s="1756">
        <f>MAX(B74+1,B77+1)</f>
        <v>18</v>
      </c>
      <c r="C80" s="1291"/>
      <c r="D80" s="1327"/>
      <c r="E80" s="1328"/>
      <c r="F80" s="1328"/>
      <c r="G80" s="1328"/>
      <c r="H80" s="1327"/>
      <c r="I80" s="1327"/>
      <c r="J80" s="1292"/>
      <c r="K80" s="1711">
        <f>T4</f>
        <v>25</v>
      </c>
      <c r="L80" s="1712"/>
      <c r="M80" s="1751">
        <f>+J81+D81+C81</f>
        <v>3822</v>
      </c>
      <c r="N80" s="1710">
        <f>(U4*2+(U4-2)*2)*4</f>
        <v>48</v>
      </c>
      <c r="O80" s="1768">
        <f>ROUND(N80*M80/1000,2)</f>
        <v>183.46</v>
      </c>
      <c r="P80" s="1698">
        <f>VLOOKUP(K80,'Bảng tra'!$A$19:$B$33,2)*'KL thep mong'!O80</f>
        <v>706.32100000000003</v>
      </c>
    </row>
    <row r="81" spans="2:16" ht="23.25" customHeight="1" thickBot="1">
      <c r="B81" s="1680"/>
      <c r="C81" s="1280">
        <v>500</v>
      </c>
      <c r="D81" s="1781">
        <f>Q4-Q1*2-T1*2</f>
        <v>3322</v>
      </c>
      <c r="E81" s="1782"/>
      <c r="F81" s="1782"/>
      <c r="G81" s="1782"/>
      <c r="H81" s="1782"/>
      <c r="I81" s="1782"/>
      <c r="J81" s="1300"/>
      <c r="K81" s="1684"/>
      <c r="L81" s="1685"/>
      <c r="M81" s="1689"/>
      <c r="N81" s="1692"/>
      <c r="O81" s="1768"/>
      <c r="P81" s="1698"/>
    </row>
    <row r="82" spans="2:16" ht="8.15" customHeight="1" thickTop="1">
      <c r="B82" s="1681"/>
      <c r="C82" s="1287"/>
      <c r="D82" s="1288"/>
      <c r="E82" s="1289"/>
      <c r="F82" s="1289"/>
      <c r="G82" s="1289"/>
      <c r="H82" s="1288"/>
      <c r="I82" s="1288"/>
      <c r="J82" s="1290"/>
      <c r="K82" s="1686"/>
      <c r="L82" s="1687"/>
      <c r="M82" s="1690"/>
      <c r="N82" s="1693"/>
      <c r="O82" s="1768"/>
      <c r="P82" s="1698"/>
    </row>
    <row r="83" spans="2:16" ht="8.15" customHeight="1">
      <c r="B83" s="1735">
        <f>B80+1</f>
        <v>19</v>
      </c>
      <c r="C83" s="1295"/>
      <c r="D83" s="1296"/>
      <c r="E83" s="1297"/>
      <c r="F83" s="1297"/>
      <c r="G83" s="1297"/>
      <c r="H83" s="1296"/>
      <c r="I83" s="1296"/>
      <c r="J83" s="1298"/>
      <c r="K83" s="1719">
        <v>8</v>
      </c>
      <c r="L83" s="1720"/>
      <c r="M83" s="1724">
        <f>D85*2+E85*2+H84*2</f>
        <v>2320</v>
      </c>
      <c r="N83" s="1710">
        <f>(ROUNDDOWN((Q4-N5-Q1*2)/200,0)+1)*4</f>
        <v>48</v>
      </c>
      <c r="O83" s="1777">
        <f>ROUND(N83*M83/1000,2)</f>
        <v>111.36</v>
      </c>
      <c r="P83" s="1698">
        <f>VLOOKUP(K83,'Bảng tra'!$A$19:$B$33,2)*'KL thep mong'!O83</f>
        <v>43.987200000000001</v>
      </c>
    </row>
    <row r="84" spans="2:16" ht="13.5" customHeight="1" thickBot="1">
      <c r="B84" s="1735"/>
      <c r="C84" s="1295"/>
      <c r="D84" s="1318"/>
      <c r="E84" s="1319"/>
      <c r="F84" s="1319"/>
      <c r="G84" s="1320"/>
      <c r="H84" s="1318">
        <v>60</v>
      </c>
      <c r="I84" s="1296"/>
      <c r="J84" s="1298"/>
      <c r="K84" s="1719"/>
      <c r="L84" s="1720"/>
      <c r="M84" s="1724"/>
      <c r="N84" s="1692"/>
      <c r="O84" s="1777"/>
      <c r="P84" s="1698"/>
    </row>
    <row r="85" spans="2:16" ht="22" thickTop="1" thickBot="1">
      <c r="B85" s="1735"/>
      <c r="C85" s="1295"/>
      <c r="D85" s="1350">
        <f>E85</f>
        <v>550</v>
      </c>
      <c r="E85" s="1753">
        <f>Q3-Q1*2</f>
        <v>550</v>
      </c>
      <c r="F85" s="1754"/>
      <c r="G85" s="1754"/>
      <c r="H85" s="1321"/>
      <c r="I85" s="1296"/>
      <c r="J85" s="1298"/>
      <c r="K85" s="1719"/>
      <c r="L85" s="1720"/>
      <c r="M85" s="1724"/>
      <c r="N85" s="1692"/>
      <c r="O85" s="1777"/>
      <c r="P85" s="1698"/>
    </row>
    <row r="86" spans="2:16" ht="8.15" customHeight="1" thickTop="1">
      <c r="B86" s="1736"/>
      <c r="C86" s="1301"/>
      <c r="D86" s="1302"/>
      <c r="E86" s="1303"/>
      <c r="F86" s="1303"/>
      <c r="G86" s="1303"/>
      <c r="H86" s="1302"/>
      <c r="I86" s="1302"/>
      <c r="J86" s="1304"/>
      <c r="K86" s="1721"/>
      <c r="L86" s="1722"/>
      <c r="M86" s="1725"/>
      <c r="N86" s="1693"/>
      <c r="O86" s="1777"/>
      <c r="P86" s="1698"/>
    </row>
    <row r="87" spans="2:16" ht="12.75" customHeight="1">
      <c r="B87" s="1756">
        <f>IF(N87&lt;&gt;0,B83+1,0)</f>
        <v>0</v>
      </c>
      <c r="C87" s="1334">
        <v>60</v>
      </c>
      <c r="D87" s="1340"/>
      <c r="E87" s="1340"/>
      <c r="F87" s="1340"/>
      <c r="G87" s="1340"/>
      <c r="H87" s="1340"/>
      <c r="I87" s="1340"/>
      <c r="J87" s="1335">
        <v>60</v>
      </c>
      <c r="K87" s="1711">
        <v>8</v>
      </c>
      <c r="L87" s="1712"/>
      <c r="M87" s="1761">
        <f>+D88+J87*2</f>
        <v>670</v>
      </c>
      <c r="N87" s="1710">
        <f>IF(U4=5,N83*2,IF(AND(U4&gt;6,U4&lt;13),N83*4,IF(U4&gt;13,N83*6,0)))</f>
        <v>0</v>
      </c>
      <c r="O87" s="1768">
        <f>ROUND(N87*M87/1000,2)</f>
        <v>0</v>
      </c>
      <c r="P87" s="1698">
        <f>VLOOKUP(K87,'Bảng tra'!$A$19:$B$33,2)*'KL thep mong'!O87</f>
        <v>0</v>
      </c>
    </row>
    <row r="88" spans="2:16" ht="13.5" customHeight="1" thickBot="1">
      <c r="B88" s="1680"/>
      <c r="C88" s="1341"/>
      <c r="D88" s="1778">
        <f>Q3-Q1*2</f>
        <v>550</v>
      </c>
      <c r="E88" s="1779"/>
      <c r="F88" s="1779"/>
      <c r="G88" s="1779"/>
      <c r="H88" s="1779"/>
      <c r="I88" s="1780"/>
      <c r="J88" s="1342"/>
      <c r="K88" s="1684"/>
      <c r="L88" s="1685"/>
      <c r="M88" s="1751"/>
      <c r="N88" s="1692"/>
      <c r="O88" s="1768"/>
      <c r="P88" s="1698"/>
    </row>
    <row r="89" spans="2:16" ht="8.15" customHeight="1">
      <c r="B89" s="1681"/>
      <c r="C89" s="1287"/>
      <c r="D89" s="1343"/>
      <c r="E89" s="1343"/>
      <c r="F89" s="1343"/>
      <c r="G89" s="1343"/>
      <c r="H89" s="1343"/>
      <c r="I89" s="1343"/>
      <c r="J89" s="1290"/>
      <c r="K89" s="1686"/>
      <c r="L89" s="1687"/>
      <c r="M89" s="1761"/>
      <c r="N89" s="1693"/>
      <c r="O89" s="1768"/>
      <c r="P89" s="1698"/>
    </row>
    <row r="90" spans="2:16" ht="14.25" hidden="1" customHeight="1" outlineLevel="1" thickBot="1">
      <c r="B90" s="1756">
        <f>IF(N90=0,0,MAX(B83+1,B87+1))</f>
        <v>0</v>
      </c>
      <c r="C90" s="1307"/>
      <c r="D90" s="1351">
        <f>ROUNDUP(SQRT(2*((E85-F94)/2)^2),0)</f>
        <v>389</v>
      </c>
      <c r="E90" s="1351"/>
      <c r="F90" s="1308"/>
      <c r="G90" s="1308"/>
      <c r="H90" s="1307"/>
      <c r="I90" s="1307"/>
      <c r="J90" s="1307"/>
      <c r="K90" s="1717">
        <v>8</v>
      </c>
      <c r="L90" s="1718"/>
      <c r="M90" s="1723">
        <f>D90*4+F94*4+H91*2</f>
        <v>1676</v>
      </c>
      <c r="N90" s="1710">
        <f>IF(OR(U4=6,U4&gt;8),N83,0)</f>
        <v>0</v>
      </c>
      <c r="O90" s="1777">
        <f>ROUND(N90*M90/1000,2)</f>
        <v>0</v>
      </c>
      <c r="P90" s="1698">
        <f>VLOOKUP(K90,'Bảng tra'!$A$19:$B$33,2)*'KL thep mong'!O90</f>
        <v>0</v>
      </c>
    </row>
    <row r="91" spans="2:16" ht="13.15" hidden="1" customHeight="1" outlineLevel="1" thickTop="1">
      <c r="B91" s="1680"/>
      <c r="C91" s="1296"/>
      <c r="D91" s="1296"/>
      <c r="E91" s="1352"/>
      <c r="F91" s="1353"/>
      <c r="G91" s="1354"/>
      <c r="H91" s="1296">
        <v>60</v>
      </c>
      <c r="I91" s="1296"/>
      <c r="J91" s="1296"/>
      <c r="K91" s="1719"/>
      <c r="L91" s="1720"/>
      <c r="M91" s="1724"/>
      <c r="N91" s="1692"/>
      <c r="O91" s="1777"/>
      <c r="P91" s="1698"/>
    </row>
    <row r="92" spans="2:16" ht="12.75" hidden="1" customHeight="1" outlineLevel="1">
      <c r="B92" s="1680"/>
      <c r="C92" s="1296"/>
      <c r="D92" s="1296"/>
      <c r="E92" s="1355"/>
      <c r="F92" s="1297"/>
      <c r="G92" s="1356"/>
      <c r="H92" s="1357"/>
      <c r="I92" s="1296"/>
      <c r="J92" s="1296"/>
      <c r="K92" s="1719"/>
      <c r="L92" s="1720"/>
      <c r="M92" s="1724"/>
      <c r="N92" s="1692"/>
      <c r="O92" s="1777"/>
      <c r="P92" s="1698"/>
    </row>
    <row r="93" spans="2:16" ht="12.75" hidden="1" customHeight="1" outlineLevel="1" thickBot="1">
      <c r="B93" s="1680"/>
      <c r="C93" s="1296"/>
      <c r="D93" s="1296"/>
      <c r="E93" s="1358"/>
      <c r="F93" s="1359"/>
      <c r="G93" s="1352"/>
      <c r="H93" s="1296"/>
      <c r="I93" s="1296"/>
      <c r="J93" s="1296"/>
      <c r="K93" s="1719"/>
      <c r="L93" s="1720"/>
      <c r="M93" s="1724"/>
      <c r="N93" s="1692"/>
      <c r="O93" s="1777"/>
      <c r="P93" s="1698"/>
    </row>
    <row r="94" spans="2:16" ht="14.25" hidden="1" customHeight="1" outlineLevel="1" thickTop="1">
      <c r="B94" s="1681"/>
      <c r="C94" s="1302"/>
      <c r="D94" s="1302"/>
      <c r="E94" s="1303"/>
      <c r="F94" s="1360">
        <f>IF(OR(U4=6,U4=10),ROUNDUP((Q3-Q1*2-T4)/(U4-1),0)+T4+10*2,IF(U4=9,T4+10*2,IF(U4=11,ROUNDUP((Q3-Q1*2-T4)/(U4-1),0)*2+T4+10*2,IF(U4=12,ROUNDUP((Q3-Q1*2-T4)/(U4-1),0)*3+T4+10*2,IF(U4=13,ROUNDUP((Q3-Q1*2-T4)/(U4-1),0)*4+T4+10*2,0)))))</f>
        <v>0</v>
      </c>
      <c r="G94" s="1303"/>
      <c r="H94" s="1302"/>
      <c r="I94" s="1302"/>
      <c r="J94" s="1302"/>
      <c r="K94" s="1721"/>
      <c r="L94" s="1722"/>
      <c r="M94" s="1725"/>
      <c r="N94" s="1693"/>
      <c r="O94" s="1777"/>
      <c r="P94" s="1698"/>
    </row>
    <row r="95" spans="2:16" ht="8.15" customHeight="1" collapsed="1">
      <c r="B95" s="1756">
        <f>MAX(B87+1,B90+1)</f>
        <v>1</v>
      </c>
      <c r="C95" s="1291"/>
      <c r="D95" s="1327"/>
      <c r="E95" s="1328"/>
      <c r="F95" s="1328"/>
      <c r="G95" s="1328"/>
      <c r="H95" s="1327"/>
      <c r="I95" s="1327"/>
      <c r="J95" s="1292"/>
      <c r="K95" s="1711">
        <v>8</v>
      </c>
      <c r="L95" s="1712"/>
      <c r="M95" s="1751">
        <f>+J96+D96+C96</f>
        <v>550</v>
      </c>
      <c r="N95" s="1710">
        <f>(ROUNDDOWN((Q3-Q1*2)/100,0)+1)*16</f>
        <v>96</v>
      </c>
      <c r="O95" s="1768">
        <f>ROUND(N95*M95/1000,2)</f>
        <v>52.8</v>
      </c>
      <c r="P95" s="1698">
        <f>VLOOKUP(K95,'Bảng tra'!$A$19:$B$33,2)*'KL thep mong'!O95</f>
        <v>20.855999999999998</v>
      </c>
    </row>
    <row r="96" spans="2:16" ht="16.5" customHeight="1" thickBot="1">
      <c r="B96" s="1680"/>
      <c r="C96" s="1280"/>
      <c r="D96" s="1791">
        <f>E85</f>
        <v>550</v>
      </c>
      <c r="E96" s="1704"/>
      <c r="F96" s="1704"/>
      <c r="G96" s="1704"/>
      <c r="H96" s="1704"/>
      <c r="I96" s="1704"/>
      <c r="J96" s="1300"/>
      <c r="K96" s="1684"/>
      <c r="L96" s="1685"/>
      <c r="M96" s="1689"/>
      <c r="N96" s="1692"/>
      <c r="O96" s="1768"/>
      <c r="P96" s="1698"/>
    </row>
    <row r="97" spans="2:16" ht="8.15" customHeight="1" thickTop="1">
      <c r="B97" s="1681"/>
      <c r="C97" s="1287"/>
      <c r="D97" s="1288"/>
      <c r="E97" s="1289"/>
      <c r="F97" s="1289"/>
      <c r="G97" s="1289"/>
      <c r="H97" s="1288"/>
      <c r="I97" s="1288"/>
      <c r="J97" s="1290"/>
      <c r="K97" s="1686"/>
      <c r="L97" s="1687"/>
      <c r="M97" s="1690"/>
      <c r="N97" s="1693"/>
      <c r="O97" s="1768"/>
      <c r="P97" s="1698"/>
    </row>
    <row r="98" spans="2:16" ht="6" customHeight="1">
      <c r="B98" s="1735">
        <f>IF(N98=0,0,B95+1)</f>
        <v>2</v>
      </c>
      <c r="C98" s="1295"/>
      <c r="D98" s="1296"/>
      <c r="E98" s="1297"/>
      <c r="F98" s="1297"/>
      <c r="G98" s="1297"/>
      <c r="H98" s="1296"/>
      <c r="I98" s="1296"/>
      <c r="J98" s="1298"/>
      <c r="K98" s="1719">
        <f>IF(K12&gt;=16,K12,MIN(K46,K80))</f>
        <v>25</v>
      </c>
      <c r="L98" s="1720"/>
      <c r="M98" s="1724">
        <f>+D99+C99*2</f>
        <v>1000</v>
      </c>
      <c r="N98" s="1692">
        <f>IF(Q4-Q6&gt;1500,ROUND((Q4-Q6-1500-Q1)/300,0)+1,0)*2</f>
        <v>8</v>
      </c>
      <c r="O98" s="1730">
        <f>ROUND(N98*M98/1000,2)</f>
        <v>8</v>
      </c>
      <c r="P98" s="1789">
        <f>VLOOKUP(K98,'Bảng tra'!$A$19:$B$33,2)*'KL thep mong'!O98</f>
        <v>30.8</v>
      </c>
    </row>
    <row r="99" spans="2:16" ht="23.25" customHeight="1" thickBot="1">
      <c r="B99" s="1735"/>
      <c r="C99" s="1280">
        <v>350</v>
      </c>
      <c r="D99" s="1737">
        <v>300</v>
      </c>
      <c r="E99" s="1704"/>
      <c r="F99" s="1704"/>
      <c r="G99" s="1704"/>
      <c r="H99" s="1704"/>
      <c r="I99" s="1738"/>
      <c r="J99" s="1300">
        <f>C99</f>
        <v>350</v>
      </c>
      <c r="K99" s="1719"/>
      <c r="L99" s="1720"/>
      <c r="M99" s="1724"/>
      <c r="N99" s="1692"/>
      <c r="O99" s="1730"/>
      <c r="P99" s="1789"/>
    </row>
    <row r="100" spans="2:16" ht="8.25" customHeight="1" thickTop="1" thickBot="1">
      <c r="B100" s="1783"/>
      <c r="C100" s="1406"/>
      <c r="D100" s="1407"/>
      <c r="E100" s="1408"/>
      <c r="F100" s="1408"/>
      <c r="G100" s="1408"/>
      <c r="H100" s="1407"/>
      <c r="I100" s="1407"/>
      <c r="J100" s="1409"/>
      <c r="K100" s="1784"/>
      <c r="L100" s="1785"/>
      <c r="M100" s="1786"/>
      <c r="N100" s="1787"/>
      <c r="O100" s="1788"/>
      <c r="P100" s="1790"/>
    </row>
    <row r="101" spans="2:16" ht="15.75" customHeight="1">
      <c r="B101" s="1807">
        <v>24</v>
      </c>
      <c r="C101" s="367"/>
      <c r="D101" s="368"/>
      <c r="E101" s="369"/>
      <c r="F101" s="369"/>
      <c r="G101" s="369"/>
      <c r="H101" s="368"/>
      <c r="I101" s="368"/>
      <c r="J101" s="370"/>
      <c r="K101" s="1713">
        <v>18</v>
      </c>
      <c r="L101" s="1714"/>
      <c r="M101" s="1475">
        <f>+J102+D102+C102</f>
        <v>3800</v>
      </c>
      <c r="N101" s="1812"/>
      <c r="O101" s="1815">
        <f>ROUND(N101*M101/1000,2)</f>
        <v>0</v>
      </c>
      <c r="P101" s="1804">
        <f>VLOOKUP(K101,'Bảng tra'!$A$19:$B$33,2)*'KL thep mong'!O101</f>
        <v>0</v>
      </c>
    </row>
    <row r="102" spans="2:16" ht="16.5" customHeight="1" thickBot="1">
      <c r="B102" s="1808"/>
      <c r="C102" s="371"/>
      <c r="D102" s="1816">
        <v>3800</v>
      </c>
      <c r="E102" s="1816"/>
      <c r="F102" s="1816"/>
      <c r="G102" s="1816"/>
      <c r="H102" s="1816"/>
      <c r="I102" s="1816"/>
      <c r="J102" s="381"/>
      <c r="K102" s="1810"/>
      <c r="L102" s="1811"/>
      <c r="M102" s="1470"/>
      <c r="N102" s="1813"/>
      <c r="O102" s="1815"/>
      <c r="P102" s="1804"/>
    </row>
    <row r="103" spans="2:16" ht="16.5" customHeight="1" thickTop="1">
      <c r="B103" s="1809"/>
      <c r="C103" s="372"/>
      <c r="D103" s="373"/>
      <c r="E103" s="374"/>
      <c r="F103" s="374"/>
      <c r="G103" s="374"/>
      <c r="H103" s="373"/>
      <c r="I103" s="373"/>
      <c r="J103" s="375"/>
      <c r="K103" s="1715"/>
      <c r="L103" s="1716"/>
      <c r="M103" s="1471"/>
      <c r="N103" s="1814"/>
      <c r="O103" s="1815"/>
      <c r="P103" s="1804"/>
    </row>
    <row r="104" spans="2:16" ht="15.75" customHeight="1">
      <c r="B104" s="1792">
        <v>25</v>
      </c>
      <c r="C104" s="1361"/>
      <c r="D104" s="1346"/>
      <c r="E104" s="1362"/>
      <c r="F104" s="1362"/>
      <c r="G104" s="1362"/>
      <c r="H104" s="1346"/>
      <c r="I104" s="1346"/>
      <c r="J104" s="1363"/>
      <c r="K104" s="1794">
        <v>8</v>
      </c>
      <c r="L104" s="1795"/>
      <c r="M104" s="1798">
        <f>D106*2+E106*2+H105*2</f>
        <v>1120</v>
      </c>
      <c r="N104" s="1800"/>
      <c r="O104" s="1802">
        <f>ROUND(N104*M104/1000,2)</f>
        <v>0</v>
      </c>
      <c r="P104" s="1804">
        <f>VLOOKUP(K104,'Bảng tra'!$A$19:$B$33,2)*'KL thep mong'!O104</f>
        <v>0</v>
      </c>
    </row>
    <row r="105" spans="2:16" ht="16.5" customHeight="1" thickBot="1">
      <c r="B105" s="1792"/>
      <c r="C105" s="1361"/>
      <c r="D105" s="378"/>
      <c r="E105" s="379"/>
      <c r="F105" s="379"/>
      <c r="G105" s="1368"/>
      <c r="H105" s="378">
        <v>60</v>
      </c>
      <c r="I105" s="1346"/>
      <c r="J105" s="1363"/>
      <c r="K105" s="1794"/>
      <c r="L105" s="1795"/>
      <c r="M105" s="1798"/>
      <c r="N105" s="1800"/>
      <c r="O105" s="1802"/>
      <c r="P105" s="1804"/>
    </row>
    <row r="106" spans="2:16" ht="20.5" thickTop="1" thickBot="1">
      <c r="B106" s="1792"/>
      <c r="C106" s="1361"/>
      <c r="D106" s="381">
        <v>150</v>
      </c>
      <c r="E106" s="1805">
        <v>350</v>
      </c>
      <c r="F106" s="1806"/>
      <c r="G106" s="1806"/>
      <c r="H106" s="1369"/>
      <c r="I106" s="1346"/>
      <c r="J106" s="1363"/>
      <c r="K106" s="1794"/>
      <c r="L106" s="1795"/>
      <c r="M106" s="1798"/>
      <c r="N106" s="1800"/>
      <c r="O106" s="1802"/>
      <c r="P106" s="1804"/>
    </row>
    <row r="107" spans="2:16" ht="16.5" customHeight="1" thickTop="1">
      <c r="B107" s="1793"/>
      <c r="C107" s="1364"/>
      <c r="D107" s="1365"/>
      <c r="E107" s="1366"/>
      <c r="F107" s="1366"/>
      <c r="G107" s="1366"/>
      <c r="H107" s="1365"/>
      <c r="I107" s="1365"/>
      <c r="J107" s="1367"/>
      <c r="K107" s="1796"/>
      <c r="L107" s="1797"/>
      <c r="M107" s="1799"/>
      <c r="N107" s="1801"/>
      <c r="O107" s="1803"/>
      <c r="P107" s="1804"/>
    </row>
  </sheetData>
  <mergeCells count="268">
    <mergeCell ref="B104:B107"/>
    <mergeCell ref="K104:L107"/>
    <mergeCell ref="M104:M107"/>
    <mergeCell ref="N104:N107"/>
    <mergeCell ref="O104:O107"/>
    <mergeCell ref="P104:P107"/>
    <mergeCell ref="E106:G106"/>
    <mergeCell ref="B101:B103"/>
    <mergeCell ref="K101:L103"/>
    <mergeCell ref="M101:M103"/>
    <mergeCell ref="N101:N103"/>
    <mergeCell ref="O101:O103"/>
    <mergeCell ref="P101:P103"/>
    <mergeCell ref="D102:I102"/>
    <mergeCell ref="B98:B100"/>
    <mergeCell ref="K98:L100"/>
    <mergeCell ref="M98:M100"/>
    <mergeCell ref="N98:N100"/>
    <mergeCell ref="O98:O100"/>
    <mergeCell ref="P98:P100"/>
    <mergeCell ref="D99:I99"/>
    <mergeCell ref="B95:B97"/>
    <mergeCell ref="K95:L97"/>
    <mergeCell ref="M95:M97"/>
    <mergeCell ref="N95:N97"/>
    <mergeCell ref="O95:O97"/>
    <mergeCell ref="P95:P97"/>
    <mergeCell ref="D96:I96"/>
    <mergeCell ref="B90:B94"/>
    <mergeCell ref="K90:L94"/>
    <mergeCell ref="M90:M94"/>
    <mergeCell ref="N90:N94"/>
    <mergeCell ref="O90:O94"/>
    <mergeCell ref="P90:P94"/>
    <mergeCell ref="B87:B89"/>
    <mergeCell ref="K87:L89"/>
    <mergeCell ref="M87:M89"/>
    <mergeCell ref="N87:N89"/>
    <mergeCell ref="O87:O89"/>
    <mergeCell ref="P87:P89"/>
    <mergeCell ref="D88:I88"/>
    <mergeCell ref="B83:B86"/>
    <mergeCell ref="K83:L86"/>
    <mergeCell ref="M83:M86"/>
    <mergeCell ref="N83:N86"/>
    <mergeCell ref="O83:O86"/>
    <mergeCell ref="P83:P86"/>
    <mergeCell ref="E85:G85"/>
    <mergeCell ref="B80:B82"/>
    <mergeCell ref="K80:L82"/>
    <mergeCell ref="M80:M82"/>
    <mergeCell ref="N80:N82"/>
    <mergeCell ref="O80:O82"/>
    <mergeCell ref="P80:P82"/>
    <mergeCell ref="D81:I81"/>
    <mergeCell ref="B70:B73"/>
    <mergeCell ref="K70:L73"/>
    <mergeCell ref="M70:M73"/>
    <mergeCell ref="N70:N73"/>
    <mergeCell ref="O70:O73"/>
    <mergeCell ref="P70:P73"/>
    <mergeCell ref="E72:G72"/>
    <mergeCell ref="B77:B79"/>
    <mergeCell ref="K77:L79"/>
    <mergeCell ref="M77:M79"/>
    <mergeCell ref="N77:N79"/>
    <mergeCell ref="O77:O79"/>
    <mergeCell ref="P77:P79"/>
    <mergeCell ref="D78:I78"/>
    <mergeCell ref="B74:B76"/>
    <mergeCell ref="K74:L76"/>
    <mergeCell ref="M74:M76"/>
    <mergeCell ref="N74:N76"/>
    <mergeCell ref="O74:O76"/>
    <mergeCell ref="P74:P76"/>
    <mergeCell ref="D75:I75"/>
    <mergeCell ref="D65:I65"/>
    <mergeCell ref="B67:B69"/>
    <mergeCell ref="K67:L69"/>
    <mergeCell ref="M67:M69"/>
    <mergeCell ref="N67:N69"/>
    <mergeCell ref="O67:O69"/>
    <mergeCell ref="R61:R62"/>
    <mergeCell ref="S61:S62"/>
    <mergeCell ref="T61:T62"/>
    <mergeCell ref="D62:I62"/>
    <mergeCell ref="B64:B66"/>
    <mergeCell ref="K64:L66"/>
    <mergeCell ref="M64:M66"/>
    <mergeCell ref="N64:N66"/>
    <mergeCell ref="O64:O66"/>
    <mergeCell ref="P64:P66"/>
    <mergeCell ref="P67:P69"/>
    <mergeCell ref="D68:I68"/>
    <mergeCell ref="P58:P60"/>
    <mergeCell ref="Q58:T59"/>
    <mergeCell ref="D59:I59"/>
    <mergeCell ref="B61:B63"/>
    <mergeCell ref="K61:L63"/>
    <mergeCell ref="M61:M63"/>
    <mergeCell ref="N61:N63"/>
    <mergeCell ref="O61:O63"/>
    <mergeCell ref="P61:P63"/>
    <mergeCell ref="Q61:Q62"/>
    <mergeCell ref="O56:O57"/>
    <mergeCell ref="B58:B60"/>
    <mergeCell ref="K58:L60"/>
    <mergeCell ref="M58:M60"/>
    <mergeCell ref="N58:N60"/>
    <mergeCell ref="O58:O60"/>
    <mergeCell ref="B56:B57"/>
    <mergeCell ref="D56:I57"/>
    <mergeCell ref="K56:K57"/>
    <mergeCell ref="L56:L57"/>
    <mergeCell ref="M56:M57"/>
    <mergeCell ref="N56:N57"/>
    <mergeCell ref="B52:B55"/>
    <mergeCell ref="K52:K55"/>
    <mergeCell ref="L52:L55"/>
    <mergeCell ref="M52:M55"/>
    <mergeCell ref="N52:N55"/>
    <mergeCell ref="O52:O55"/>
    <mergeCell ref="E54:G54"/>
    <mergeCell ref="B49:B51"/>
    <mergeCell ref="K49:L51"/>
    <mergeCell ref="M49:M51"/>
    <mergeCell ref="N49:N51"/>
    <mergeCell ref="O49:O51"/>
    <mergeCell ref="Q40:T40"/>
    <mergeCell ref="K42:L45"/>
    <mergeCell ref="M42:M45"/>
    <mergeCell ref="N42:N45"/>
    <mergeCell ref="O42:O45"/>
    <mergeCell ref="P42:P45"/>
    <mergeCell ref="B44:B45"/>
    <mergeCell ref="E44:G44"/>
    <mergeCell ref="P49:P51"/>
    <mergeCell ref="D50:I50"/>
    <mergeCell ref="B46:B48"/>
    <mergeCell ref="K46:L48"/>
    <mergeCell ref="M46:M48"/>
    <mergeCell ref="N46:N48"/>
    <mergeCell ref="O46:O48"/>
    <mergeCell ref="P46:P48"/>
    <mergeCell ref="D47:I47"/>
    <mergeCell ref="O37:O38"/>
    <mergeCell ref="K39:L41"/>
    <mergeCell ref="M39:M41"/>
    <mergeCell ref="N39:N41"/>
    <mergeCell ref="O39:O41"/>
    <mergeCell ref="P39:P41"/>
    <mergeCell ref="B37:B38"/>
    <mergeCell ref="D37:I37"/>
    <mergeCell ref="K37:K38"/>
    <mergeCell ref="L37:L38"/>
    <mergeCell ref="M37:M38"/>
    <mergeCell ref="N37:N38"/>
    <mergeCell ref="B40:B41"/>
    <mergeCell ref="D40:I40"/>
    <mergeCell ref="O33:O34"/>
    <mergeCell ref="B35:B36"/>
    <mergeCell ref="D35:I35"/>
    <mergeCell ref="K35:K36"/>
    <mergeCell ref="L35:L36"/>
    <mergeCell ref="M35:M36"/>
    <mergeCell ref="N35:N36"/>
    <mergeCell ref="O35:O36"/>
    <mergeCell ref="B33:B34"/>
    <mergeCell ref="D33:I33"/>
    <mergeCell ref="K33:K34"/>
    <mergeCell ref="L33:L34"/>
    <mergeCell ref="M33:M34"/>
    <mergeCell ref="N33:N34"/>
    <mergeCell ref="B29:B30"/>
    <mergeCell ref="D29:I29"/>
    <mergeCell ref="K29:K30"/>
    <mergeCell ref="L29:L30"/>
    <mergeCell ref="M29:M30"/>
    <mergeCell ref="N29:N30"/>
    <mergeCell ref="O29:O30"/>
    <mergeCell ref="B31:B32"/>
    <mergeCell ref="D31:I31"/>
    <mergeCell ref="K31:K32"/>
    <mergeCell ref="L31:L32"/>
    <mergeCell ref="M31:M32"/>
    <mergeCell ref="N31:N32"/>
    <mergeCell ref="O31:O32"/>
    <mergeCell ref="B24:B25"/>
    <mergeCell ref="D24:I24"/>
    <mergeCell ref="Q24:Q25"/>
    <mergeCell ref="R24:R25"/>
    <mergeCell ref="S24:S25"/>
    <mergeCell ref="K26:L28"/>
    <mergeCell ref="M26:M28"/>
    <mergeCell ref="N26:N28"/>
    <mergeCell ref="O26:O28"/>
    <mergeCell ref="P26:P28"/>
    <mergeCell ref="B27:B28"/>
    <mergeCell ref="D27:I27"/>
    <mergeCell ref="Q27:Q28"/>
    <mergeCell ref="R27:R28"/>
    <mergeCell ref="S27:S28"/>
    <mergeCell ref="R21:R22"/>
    <mergeCell ref="S21:S22"/>
    <mergeCell ref="V21:W22"/>
    <mergeCell ref="K23:L25"/>
    <mergeCell ref="M23:M25"/>
    <mergeCell ref="N23:N25"/>
    <mergeCell ref="O23:O25"/>
    <mergeCell ref="P23:P25"/>
    <mergeCell ref="R19:R20"/>
    <mergeCell ref="S19:S20"/>
    <mergeCell ref="T12:T28"/>
    <mergeCell ref="S15:S16"/>
    <mergeCell ref="B19:B20"/>
    <mergeCell ref="D19:I19"/>
    <mergeCell ref="K19:L20"/>
    <mergeCell ref="M19:M20"/>
    <mergeCell ref="N19:N20"/>
    <mergeCell ref="O19:O20"/>
    <mergeCell ref="P19:P20"/>
    <mergeCell ref="Q19:Q20"/>
    <mergeCell ref="B21:B22"/>
    <mergeCell ref="D21:I21"/>
    <mergeCell ref="K21:L22"/>
    <mergeCell ref="M21:M22"/>
    <mergeCell ref="N21:N22"/>
    <mergeCell ref="O21:O22"/>
    <mergeCell ref="P21:P22"/>
    <mergeCell ref="Q21:Q22"/>
    <mergeCell ref="B17:B18"/>
    <mergeCell ref="D17:I17"/>
    <mergeCell ref="K17:L18"/>
    <mergeCell ref="M17:M18"/>
    <mergeCell ref="N17:N18"/>
    <mergeCell ref="O17:O18"/>
    <mergeCell ref="P17:P18"/>
    <mergeCell ref="Q17:Q18"/>
    <mergeCell ref="S17:S18"/>
    <mergeCell ref="R17:R18"/>
    <mergeCell ref="B15:B16"/>
    <mergeCell ref="D15:I15"/>
    <mergeCell ref="K15:L16"/>
    <mergeCell ref="M15:M16"/>
    <mergeCell ref="N15:N16"/>
    <mergeCell ref="O15:O16"/>
    <mergeCell ref="P15:P16"/>
    <mergeCell ref="Q15:Q16"/>
    <mergeCell ref="R15:R16"/>
    <mergeCell ref="B12:B14"/>
    <mergeCell ref="K12:L14"/>
    <mergeCell ref="M12:M14"/>
    <mergeCell ref="N12:N14"/>
    <mergeCell ref="O12:O14"/>
    <mergeCell ref="P12:P14"/>
    <mergeCell ref="Q12:Q14"/>
    <mergeCell ref="R12:R14"/>
    <mergeCell ref="S12:S14"/>
    <mergeCell ref="D13:I13"/>
    <mergeCell ref="B9:P9"/>
    <mergeCell ref="B10:B11"/>
    <mergeCell ref="C10:J11"/>
    <mergeCell ref="K10:L11"/>
    <mergeCell ref="M10:M11"/>
    <mergeCell ref="N10:N11"/>
    <mergeCell ref="O10:O11"/>
    <mergeCell ref="P10:P11"/>
    <mergeCell ref="Q10:T10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N26"/>
  <sheetViews>
    <sheetView zoomScale="85" zoomScaleNormal="85" workbookViewId="0">
      <selection activeCell="B20" sqref="B20"/>
    </sheetView>
  </sheetViews>
  <sheetFormatPr defaultColWidth="12.69921875" defaultRowHeight="16.5"/>
  <cols>
    <col min="1" max="1" width="27.3984375" style="745" bestFit="1" customWidth="1"/>
    <col min="2" max="3" width="12.69921875" style="746"/>
    <col min="4" max="4" width="12.69921875" style="738"/>
    <col min="5" max="5" width="26.59765625" style="738" bestFit="1" customWidth="1"/>
    <col min="6" max="6" width="15.69921875" style="738" bestFit="1" customWidth="1"/>
    <col min="7" max="8" width="12.69921875" style="738"/>
    <col min="9" max="9" width="17.8984375" style="738" bestFit="1" customWidth="1"/>
    <col min="10" max="11" width="12.69921875" style="738"/>
    <col min="12" max="12" width="12.69921875" style="738" bestFit="1" customWidth="1"/>
    <col min="13" max="16384" width="12.69921875" style="738"/>
  </cols>
  <sheetData>
    <row r="1" spans="1:14" s="732" customFormat="1" ht="25.15" customHeight="1">
      <c r="A1" s="1660" t="s">
        <v>707</v>
      </c>
      <c r="B1" s="1660"/>
      <c r="C1" s="1660"/>
      <c r="E1" s="1661" t="s">
        <v>708</v>
      </c>
      <c r="F1" s="1661"/>
      <c r="G1" s="1661"/>
      <c r="I1" s="1657" t="s">
        <v>846</v>
      </c>
      <c r="J1" s="1657"/>
      <c r="L1" s="1656" t="s">
        <v>997</v>
      </c>
      <c r="M1" s="1656"/>
      <c r="N1" s="1656"/>
    </row>
    <row r="2" spans="1:14" s="732" customFormat="1" ht="25.15" customHeight="1">
      <c r="A2" s="733" t="s">
        <v>709</v>
      </c>
      <c r="B2" s="734" t="s">
        <v>710</v>
      </c>
      <c r="C2" s="734" t="s">
        <v>550</v>
      </c>
      <c r="E2" s="733" t="s">
        <v>709</v>
      </c>
      <c r="F2" s="734" t="s">
        <v>710</v>
      </c>
      <c r="G2" s="734" t="s">
        <v>550</v>
      </c>
      <c r="I2" s="837" t="s">
        <v>847</v>
      </c>
      <c r="J2" s="1266">
        <f>'D122-42'!K20*1000</f>
        <v>1000</v>
      </c>
      <c r="K2" s="837" t="s">
        <v>554</v>
      </c>
      <c r="L2" s="838" t="s">
        <v>998</v>
      </c>
      <c r="M2" s="838">
        <f>'D122-42'!F103*1000</f>
        <v>75</v>
      </c>
      <c r="N2" s="838" t="s">
        <v>554</v>
      </c>
    </row>
    <row r="3" spans="1:14" ht="25.15" customHeight="1">
      <c r="A3" s="735" t="s">
        <v>553</v>
      </c>
      <c r="B3" s="736">
        <f>'D122-42'!K11*1000</f>
        <v>12000</v>
      </c>
      <c r="C3" s="737" t="s">
        <v>554</v>
      </c>
      <c r="E3" s="739" t="s">
        <v>560</v>
      </c>
      <c r="F3" s="740">
        <f>'D122-42'!C136</f>
        <v>14</v>
      </c>
      <c r="G3" s="737" t="s">
        <v>554</v>
      </c>
      <c r="I3" s="838" t="s">
        <v>989</v>
      </c>
      <c r="J3" s="838">
        <f>IF(B24="TKCS",10,0)</f>
        <v>0</v>
      </c>
      <c r="K3" s="838" t="s">
        <v>990</v>
      </c>
      <c r="L3" s="838" t="s">
        <v>999</v>
      </c>
      <c r="M3" s="838">
        <f>MIN('D122-42'!H163,'D122-42'!G185)*1000</f>
        <v>75</v>
      </c>
      <c r="N3" s="838" t="s">
        <v>554</v>
      </c>
    </row>
    <row r="4" spans="1:14" ht="25.15" customHeight="1">
      <c r="A4" s="735" t="s">
        <v>555</v>
      </c>
      <c r="B4" s="736">
        <f>'D122-42'!K10*1000</f>
        <v>10000</v>
      </c>
      <c r="C4" s="737" t="s">
        <v>554</v>
      </c>
      <c r="E4" s="739" t="s">
        <v>561</v>
      </c>
      <c r="F4" s="741">
        <v>10</v>
      </c>
      <c r="G4" s="741" t="s">
        <v>554</v>
      </c>
    </row>
    <row r="5" spans="1:14" ht="25.15" customHeight="1">
      <c r="A5" s="735" t="s">
        <v>711</v>
      </c>
      <c r="B5" s="736">
        <f>'D122-42'!K7*1000</f>
        <v>4000</v>
      </c>
      <c r="C5" s="737" t="s">
        <v>554</v>
      </c>
      <c r="E5" s="739" t="s">
        <v>712</v>
      </c>
      <c r="F5" s="742">
        <f>'D122-42'!E132*10</f>
        <v>200</v>
      </c>
      <c r="G5" s="741" t="s">
        <v>554</v>
      </c>
      <c r="H5" s="831" t="s">
        <v>987</v>
      </c>
    </row>
    <row r="6" spans="1:14" ht="25.15" customHeight="1">
      <c r="A6" s="735" t="s">
        <v>556</v>
      </c>
      <c r="B6" s="736">
        <f>'D122-42'!K19*1000</f>
        <v>350</v>
      </c>
      <c r="C6" s="737" t="s">
        <v>554</v>
      </c>
      <c r="E6" s="739" t="s">
        <v>713</v>
      </c>
      <c r="F6" s="742">
        <f>'D122-42'!E107*10</f>
        <v>120</v>
      </c>
      <c r="G6" s="741" t="s">
        <v>554</v>
      </c>
      <c r="H6" s="831" t="s">
        <v>988</v>
      </c>
    </row>
    <row r="7" spans="1:14" ht="25.15" customHeight="1">
      <c r="A7" s="735" t="s">
        <v>557</v>
      </c>
      <c r="B7" s="736">
        <f>'D122-42'!K17*1000</f>
        <v>1000</v>
      </c>
      <c r="C7" s="737" t="s">
        <v>554</v>
      </c>
      <c r="E7" s="1661" t="s">
        <v>714</v>
      </c>
      <c r="F7" s="1661"/>
      <c r="G7" s="1661"/>
    </row>
    <row r="8" spans="1:14" ht="25.15" customHeight="1">
      <c r="A8" s="735" t="s">
        <v>558</v>
      </c>
      <c r="B8" s="736">
        <f>'D122-42'!K16*1000</f>
        <v>500</v>
      </c>
      <c r="C8" s="737" t="s">
        <v>554</v>
      </c>
      <c r="E8" s="739" t="s">
        <v>715</v>
      </c>
      <c r="F8" s="740">
        <f>'D122-42'!C173</f>
        <v>25</v>
      </c>
      <c r="G8" s="741" t="s">
        <v>554</v>
      </c>
    </row>
    <row r="9" spans="1:14" ht="25.15" customHeight="1">
      <c r="A9" s="735" t="s">
        <v>716</v>
      </c>
      <c r="B9" s="736">
        <f>'D122-42'!K41*1000</f>
        <v>2500</v>
      </c>
      <c r="C9" s="737" t="s">
        <v>554</v>
      </c>
      <c r="E9" s="739" t="s">
        <v>717</v>
      </c>
      <c r="F9" s="741">
        <f>F3</f>
        <v>14</v>
      </c>
      <c r="G9" s="741" t="s">
        <v>554</v>
      </c>
    </row>
    <row r="10" spans="1:14" ht="25.15" customHeight="1">
      <c r="A10" s="735" t="s">
        <v>718</v>
      </c>
      <c r="B10" s="736">
        <f>'D122-42'!K23*1000</f>
        <v>700</v>
      </c>
      <c r="C10" s="737" t="s">
        <v>554</v>
      </c>
      <c r="E10" s="739" t="s">
        <v>719</v>
      </c>
      <c r="F10" s="741">
        <f>H10</f>
        <v>8</v>
      </c>
      <c r="G10" s="741" t="s">
        <v>562</v>
      </c>
      <c r="H10" s="743">
        <f>'D122-42'!E173</f>
        <v>8</v>
      </c>
    </row>
    <row r="11" spans="1:14" ht="25.15" customHeight="1">
      <c r="A11" s="735" t="s">
        <v>720</v>
      </c>
      <c r="B11" s="736">
        <f>'D122-42'!K39*1000</f>
        <v>1000</v>
      </c>
      <c r="C11" s="737" t="s">
        <v>554</v>
      </c>
      <c r="E11" s="739" t="s">
        <v>721</v>
      </c>
      <c r="F11" s="741">
        <v>10</v>
      </c>
      <c r="G11" s="741" t="s">
        <v>554</v>
      </c>
      <c r="H11" s="738" t="s">
        <v>993</v>
      </c>
    </row>
    <row r="12" spans="1:14" ht="25.15" customHeight="1">
      <c r="A12" s="735" t="s">
        <v>559</v>
      </c>
      <c r="B12" s="736">
        <f>'HK1'!D55*1000</f>
        <v>1000</v>
      </c>
      <c r="C12" s="737" t="s">
        <v>554</v>
      </c>
      <c r="E12" s="739" t="s">
        <v>723</v>
      </c>
      <c r="F12" s="741">
        <v>200</v>
      </c>
      <c r="G12" s="741" t="s">
        <v>554</v>
      </c>
    </row>
    <row r="13" spans="1:14" ht="25.15" customHeight="1">
      <c r="A13" s="735" t="s">
        <v>722</v>
      </c>
      <c r="B13" s="1265">
        <f>IF(B11+B12+100&gt;3100,1.25,1)</f>
        <v>1</v>
      </c>
      <c r="C13" s="737" t="s">
        <v>554</v>
      </c>
      <c r="E13" s="739" t="s">
        <v>724</v>
      </c>
      <c r="F13" s="741">
        <v>400</v>
      </c>
      <c r="G13" s="741" t="s">
        <v>554</v>
      </c>
    </row>
    <row r="14" spans="1:14" ht="25.15" customHeight="1">
      <c r="A14" s="735" t="s">
        <v>986</v>
      </c>
      <c r="B14" s="736">
        <f>IF(B12&gt;500,600,300)</f>
        <v>600</v>
      </c>
      <c r="C14" s="737" t="s">
        <v>554</v>
      </c>
      <c r="E14" s="739" t="s">
        <v>726</v>
      </c>
      <c r="F14" s="741">
        <f>_xlfn.FLOOR.MATH(ROUNDDOWN(MIN('D122-42'!K28,'D122-42'!K26)/2,2)*1000,50)</f>
        <v>1350</v>
      </c>
      <c r="G14" s="741" t="s">
        <v>554</v>
      </c>
    </row>
    <row r="15" spans="1:14" ht="25.15" customHeight="1">
      <c r="A15" s="1662" t="s">
        <v>725</v>
      </c>
      <c r="B15" s="1662"/>
      <c r="C15" s="1662"/>
      <c r="E15" s="1661" t="s">
        <v>728</v>
      </c>
      <c r="F15" s="1661"/>
      <c r="G15" s="1661"/>
    </row>
    <row r="16" spans="1:14" ht="25.15" customHeight="1">
      <c r="A16" s="735" t="s">
        <v>727</v>
      </c>
      <c r="B16" s="737" t="str">
        <f>LEFT('D122-42'!D67,3)</f>
        <v>B20</v>
      </c>
      <c r="C16" s="737"/>
      <c r="E16" s="739" t="s">
        <v>715</v>
      </c>
      <c r="F16" s="740">
        <f>'D122-42'!C241</f>
        <v>25</v>
      </c>
      <c r="G16" s="741" t="s">
        <v>554</v>
      </c>
    </row>
    <row r="17" spans="1:7" ht="25.15" customHeight="1">
      <c r="A17" s="735" t="s">
        <v>729</v>
      </c>
      <c r="B17" s="737" t="s">
        <v>730</v>
      </c>
      <c r="C17" s="737"/>
      <c r="E17" s="739" t="s">
        <v>732</v>
      </c>
      <c r="F17" s="741">
        <v>8</v>
      </c>
      <c r="G17" s="741" t="s">
        <v>554</v>
      </c>
    </row>
    <row r="18" spans="1:7" ht="25.15" customHeight="1">
      <c r="A18" s="735" t="s">
        <v>731</v>
      </c>
      <c r="B18" s="737" t="s">
        <v>730</v>
      </c>
      <c r="C18" s="737"/>
      <c r="E18" s="739" t="s">
        <v>734</v>
      </c>
      <c r="F18" s="741">
        <f>('D122-42'!E241)</f>
        <v>4</v>
      </c>
      <c r="G18" s="741" t="s">
        <v>562</v>
      </c>
    </row>
    <row r="19" spans="1:7" ht="25.15" customHeight="1">
      <c r="A19" s="735" t="s">
        <v>733</v>
      </c>
      <c r="B19" s="737">
        <f>'D122-42'!K51*1000</f>
        <v>0</v>
      </c>
      <c r="C19" s="737" t="s">
        <v>554</v>
      </c>
      <c r="E19" s="739" t="s">
        <v>735</v>
      </c>
      <c r="F19" s="741">
        <v>200</v>
      </c>
      <c r="G19" s="741" t="s">
        <v>554</v>
      </c>
    </row>
    <row r="20" spans="1:7" ht="25.15" customHeight="1">
      <c r="A20" s="735" t="s">
        <v>551</v>
      </c>
      <c r="B20" s="737" t="s">
        <v>1144</v>
      </c>
      <c r="C20" s="737"/>
      <c r="E20" s="1661" t="s">
        <v>736</v>
      </c>
      <c r="F20" s="1661"/>
      <c r="G20" s="1661"/>
    </row>
    <row r="21" spans="1:7" ht="25.15" customHeight="1">
      <c r="A21" s="1662" t="s">
        <v>1126</v>
      </c>
      <c r="B21" s="1662"/>
      <c r="C21" s="1662"/>
      <c r="E21" s="739" t="s">
        <v>563</v>
      </c>
      <c r="F21" s="744" t="str">
        <f>'D122-42'!O16</f>
        <v>D122-42</v>
      </c>
      <c r="G21" s="739"/>
    </row>
    <row r="22" spans="1:7" ht="25.15" customHeight="1">
      <c r="A22" s="735" t="s">
        <v>737</v>
      </c>
      <c r="B22" s="737"/>
      <c r="C22" s="737"/>
      <c r="E22" s="739" t="s">
        <v>552</v>
      </c>
      <c r="F22" s="737" t="str">
        <f>IF(LEFT(F21,1)="D","ĐỠ THẲNG","NÉO GÓC")</f>
        <v>ĐỠ THẲNG</v>
      </c>
      <c r="G22" s="739"/>
    </row>
    <row r="23" spans="1:7" ht="25.15" customHeight="1">
      <c r="A23" s="735" t="s">
        <v>994</v>
      </c>
      <c r="B23" s="737"/>
      <c r="C23" s="737"/>
      <c r="E23" s="739" t="s">
        <v>739</v>
      </c>
      <c r="F23" s="737">
        <v>2</v>
      </c>
      <c r="G23" s="739"/>
    </row>
    <row r="24" spans="1:7" ht="25.15" customHeight="1">
      <c r="A24" s="735" t="s">
        <v>738</v>
      </c>
      <c r="B24" s="737" t="str">
        <f>'D122-42'!N3</f>
        <v>TKBVTC</v>
      </c>
      <c r="C24" s="737"/>
      <c r="E24" s="739" t="s">
        <v>576</v>
      </c>
      <c r="F24" s="1658" t="str">
        <f>'D122-42'!N1</f>
        <v>MB4-10x12-2.5</v>
      </c>
      <c r="G24" s="1659"/>
    </row>
    <row r="25" spans="1:7" ht="25.15" customHeight="1">
      <c r="E25" s="739" t="s">
        <v>740</v>
      </c>
      <c r="F25" s="829" t="str">
        <f>"XEM KẾT HỢP BẢN VẼ GHI CHÚ CHUNG :" &amp;'D122-42'!N2 &amp; "00"</f>
        <v>XEM KẾT HỢP BẢN VẼ GHI CHÚ CHUNG :20193BTU.F.I1.C1.200</v>
      </c>
      <c r="G25" s="830"/>
    </row>
    <row r="26" spans="1:7" ht="25.15" customHeight="1"/>
  </sheetData>
  <mergeCells count="10">
    <mergeCell ref="L1:N1"/>
    <mergeCell ref="I1:J1"/>
    <mergeCell ref="F24:G24"/>
    <mergeCell ref="A1:C1"/>
    <mergeCell ref="E1:G1"/>
    <mergeCell ref="A15:C15"/>
    <mergeCell ref="A21:C21"/>
    <mergeCell ref="E7:G7"/>
    <mergeCell ref="E15:G15"/>
    <mergeCell ref="E20:G20"/>
  </mergeCells>
  <dataValidations disablePrompts="1" count="7">
    <dataValidation type="list" allowBlank="1" showInputMessage="1" showErrorMessage="1" sqref="C30" xr:uid="{00000000-0002-0000-0D00-000000000000}">
      <formula1>$T$3:$T$4</formula1>
    </dataValidation>
    <dataValidation type="list" allowBlank="1" showInputMessage="1" showErrorMessage="1" sqref="C33" xr:uid="{00000000-0002-0000-0D00-000001000000}">
      <formula1>$U$3:$U$4</formula1>
    </dataValidation>
    <dataValidation type="list" allowBlank="1" showInputMessage="1" showErrorMessage="1" sqref="C32" xr:uid="{00000000-0002-0000-0D00-000002000000}">
      <formula1>$W$3:$W$36</formula1>
    </dataValidation>
    <dataValidation type="list" allowBlank="1" showInputMessage="1" showErrorMessage="1" sqref="C31" xr:uid="{00000000-0002-0000-0D00-000003000000}">
      <formula1>$V$3:$V$5</formula1>
    </dataValidation>
    <dataValidation type="list" allowBlank="1" showInputMessage="1" showErrorMessage="1" sqref="C29" xr:uid="{00000000-0002-0000-0D00-000004000000}">
      <formula1>$R$3:$R$9</formula1>
    </dataValidation>
    <dataValidation type="list" allowBlank="1" showInputMessage="1" showErrorMessage="1" sqref="C28" xr:uid="{00000000-0002-0000-0D00-000005000000}">
      <formula1>$P$3:$P$10</formula1>
    </dataValidation>
    <dataValidation type="list" allowBlank="1" showInputMessage="1" showErrorMessage="1" sqref="B20" xr:uid="{CC9D8CD1-1454-4C53-AA5E-D74939C2B484}">
      <formula1>"M36,M48,M56,M64,M72,M80,M90,M42"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9A36-C681-4EE6-AE02-783D984B8C9F}">
  <dimension ref="A1:T7"/>
  <sheetViews>
    <sheetView workbookViewId="0">
      <selection activeCell="AH3" sqref="AH3"/>
    </sheetView>
  </sheetViews>
  <sheetFormatPr defaultColWidth="9.09765625" defaultRowHeight="12.5" outlineLevelCol="1"/>
  <cols>
    <col min="1" max="2" width="5.69921875" style="1370" customWidth="1"/>
    <col min="3" max="3" width="10.69921875" style="1370" customWidth="1"/>
    <col min="4" max="4" width="10.69921875" style="1370" hidden="1" customWidth="1" outlineLevel="1"/>
    <col min="5" max="5" width="10.69921875" style="1370" customWidth="1" collapsed="1"/>
    <col min="6" max="7" width="10.69921875" style="1370" customWidth="1"/>
    <col min="8" max="8" width="9.09765625" style="1370"/>
    <col min="9" max="11" width="10.69921875" style="1370" customWidth="1"/>
    <col min="12" max="12" width="10.09765625" style="1370" bestFit="1" customWidth="1"/>
    <col min="13" max="16384" width="9.09765625" style="1370"/>
  </cols>
  <sheetData>
    <row r="1" spans="1:20" s="1410" customFormat="1" ht="25" customHeight="1">
      <c r="A1" s="1819" t="s">
        <v>1063</v>
      </c>
      <c r="B1" s="1820"/>
      <c r="C1" s="1820"/>
      <c r="D1" s="1820"/>
      <c r="E1" s="1820"/>
      <c r="F1" s="1820"/>
      <c r="G1" s="1820"/>
      <c r="H1" s="1820"/>
      <c r="I1" s="1820"/>
      <c r="J1" s="1820"/>
      <c r="K1" s="1820"/>
      <c r="L1" s="1821"/>
      <c r="M1" s="1442"/>
      <c r="N1" s="1442"/>
    </row>
    <row r="2" spans="1:20" ht="45" customHeight="1">
      <c r="A2" s="1371" t="str">
        <f>LEFT('D122-42'!D67,3)</f>
        <v>B20</v>
      </c>
      <c r="B2" s="1372" t="s">
        <v>1064</v>
      </c>
      <c r="C2" s="1373" t="s">
        <v>1065</v>
      </c>
      <c r="D2" s="1440" t="s">
        <v>1133</v>
      </c>
      <c r="E2" s="1374">
        <f ca="1">'KL thep mong'!V59</f>
        <v>8</v>
      </c>
      <c r="F2" s="1374">
        <f ca="1">'KL thep mong'!V47</f>
        <v>10</v>
      </c>
      <c r="G2" s="1374">
        <f ca="1">'KL thep mong'!V44</f>
        <v>14</v>
      </c>
      <c r="H2" s="1374">
        <f ca="1">'KL thep mong'!V40</f>
        <v>25</v>
      </c>
      <c r="I2" s="1375" t="s">
        <v>1066</v>
      </c>
      <c r="J2" s="1375" t="s">
        <v>1067</v>
      </c>
      <c r="K2" s="1375" t="s">
        <v>1068</v>
      </c>
      <c r="L2" s="1375" t="s">
        <v>1069</v>
      </c>
      <c r="M2" s="1375" t="s">
        <v>1070</v>
      </c>
      <c r="N2" s="1375" t="s">
        <v>1071</v>
      </c>
      <c r="O2" s="1376" t="s">
        <v>1072</v>
      </c>
      <c r="P2" s="1376" t="s">
        <v>1073</v>
      </c>
      <c r="Q2" s="1376" t="s">
        <v>1074</v>
      </c>
      <c r="R2" s="1376" t="s">
        <v>1075</v>
      </c>
      <c r="S2" s="1376" t="s">
        <v>1076</v>
      </c>
      <c r="T2" s="1377"/>
    </row>
    <row r="3" spans="1:20" s="1410" customFormat="1" ht="20.149999999999999" customHeight="1">
      <c r="A3" s="1817">
        <f>'KL be tong'!S3</f>
        <v>60.836999999999996</v>
      </c>
      <c r="B3" s="1818"/>
      <c r="C3" s="1411">
        <f>'KL be tong'!T3</f>
        <v>12.379999999999999</v>
      </c>
      <c r="D3" s="1373">
        <f>('KL thep mong'!Q3/1000)^2*0.05*4</f>
        <v>9.799999999999999E-2</v>
      </c>
      <c r="E3" s="1373">
        <f ca="1">'KL thep mong'!W59</f>
        <v>64.84</v>
      </c>
      <c r="F3" s="1373">
        <f ca="1">'KL thep mong'!W47</f>
        <v>530.72</v>
      </c>
      <c r="G3" s="1373">
        <f ca="1">'KL thep mong'!W44</f>
        <v>3914.79</v>
      </c>
      <c r="H3" s="1373">
        <f ca="1">'KL thep mong'!W40*H7</f>
        <v>3090.24</v>
      </c>
      <c r="I3" s="1411">
        <f ca="1">SUM(E3:H3)</f>
        <v>7600.59</v>
      </c>
      <c r="J3" s="1412">
        <f>'KL be tong'!AA4</f>
        <v>173.57</v>
      </c>
      <c r="K3" s="1412">
        <f>'KL be tong'!AD3</f>
        <v>368.73240969167506</v>
      </c>
      <c r="L3" s="1373" t="str">
        <f>IF(OR(TH!B20="M48"),"8 cặp "&amp;TH!B20,"16"&amp;TH!B20)</f>
        <v>16M56</v>
      </c>
      <c r="M3" s="1412">
        <f>'KL be tong'!AA3</f>
        <v>430.42</v>
      </c>
      <c r="N3" s="1412">
        <f>'KL be tong'!AB3</f>
        <v>188.53300000000002</v>
      </c>
      <c r="O3" s="1413">
        <f>'KL be tong'!AC3</f>
        <v>97.267737367038052</v>
      </c>
      <c r="P3" s="1413">
        <f>'KL be tong'!Y3</f>
        <v>11</v>
      </c>
      <c r="Q3" s="1413">
        <f>'KL be tong'!Z3</f>
        <v>13</v>
      </c>
      <c r="R3" s="1414">
        <f>P3*Q3</f>
        <v>143</v>
      </c>
      <c r="S3" s="1415">
        <f>'KL be tong'!R3</f>
        <v>2.1</v>
      </c>
    </row>
    <row r="7" spans="1:20">
      <c r="G7" s="1437"/>
      <c r="H7" s="1438">
        <v>1</v>
      </c>
    </row>
  </sheetData>
  <mergeCells count="2">
    <mergeCell ref="A3:B3"/>
    <mergeCell ref="A1:L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9230E-05FA-4F4D-A510-33355D4E202F}">
  <dimension ref="A1:AH6"/>
  <sheetViews>
    <sheetView topLeftCell="F1" workbookViewId="0">
      <selection activeCell="AH3" sqref="AH3"/>
    </sheetView>
  </sheetViews>
  <sheetFormatPr defaultRowHeight="14"/>
  <cols>
    <col min="4" max="4" width="14.296875" bestFit="1" customWidth="1"/>
  </cols>
  <sheetData>
    <row r="1" spans="1:34" s="1381" customFormat="1" ht="67.150000000000006" customHeight="1">
      <c r="A1" s="1378" t="s">
        <v>1077</v>
      </c>
      <c r="B1" s="1378" t="s">
        <v>1078</v>
      </c>
      <c r="C1" s="1378" t="s">
        <v>1079</v>
      </c>
      <c r="D1" s="1378" t="s">
        <v>1080</v>
      </c>
      <c r="E1" s="1378" t="s">
        <v>1081</v>
      </c>
      <c r="F1" s="1378" t="s">
        <v>1082</v>
      </c>
      <c r="G1" s="1378" t="s">
        <v>1083</v>
      </c>
      <c r="H1" s="1378" t="s">
        <v>1084</v>
      </c>
      <c r="I1" s="1378" t="s">
        <v>1085</v>
      </c>
      <c r="J1" s="1378" t="s">
        <v>1086</v>
      </c>
      <c r="K1" s="1378" t="s">
        <v>1087</v>
      </c>
      <c r="L1" s="1378" t="s">
        <v>1088</v>
      </c>
      <c r="M1" s="1378" t="s">
        <v>1089</v>
      </c>
      <c r="N1" s="1378" t="s">
        <v>1090</v>
      </c>
      <c r="O1" s="1378" t="s">
        <v>1091</v>
      </c>
      <c r="P1" s="1378" t="s">
        <v>1092</v>
      </c>
      <c r="Q1" s="1378" t="s">
        <v>1093</v>
      </c>
      <c r="R1" s="1378" t="s">
        <v>1094</v>
      </c>
      <c r="S1" s="1378" t="s">
        <v>1095</v>
      </c>
      <c r="T1" s="1378" t="s">
        <v>1096</v>
      </c>
      <c r="U1" s="1379" t="s">
        <v>1097</v>
      </c>
      <c r="V1" s="1379" t="s">
        <v>1098</v>
      </c>
      <c r="W1" s="1379" t="s">
        <v>1099</v>
      </c>
      <c r="X1" s="1379" t="s">
        <v>1100</v>
      </c>
      <c r="Y1" s="1379" t="s">
        <v>1101</v>
      </c>
      <c r="Z1" s="1379" t="s">
        <v>1102</v>
      </c>
      <c r="AA1" s="1378" t="s">
        <v>1103</v>
      </c>
      <c r="AB1" s="1378" t="s">
        <v>1104</v>
      </c>
      <c r="AC1" s="1378" t="s">
        <v>1105</v>
      </c>
      <c r="AD1" s="1378" t="s">
        <v>1106</v>
      </c>
      <c r="AE1" s="1378" t="s">
        <v>1107</v>
      </c>
      <c r="AF1" s="1378" t="s">
        <v>1108</v>
      </c>
      <c r="AG1" s="1378" t="s">
        <v>1109</v>
      </c>
      <c r="AH1" s="1380" t="s">
        <v>722</v>
      </c>
    </row>
    <row r="2" spans="1:34" s="1381" customFormat="1" ht="15.65" customHeight="1">
      <c r="A2" s="1382" t="s">
        <v>124</v>
      </c>
      <c r="B2" s="1382" t="s">
        <v>125</v>
      </c>
      <c r="C2" s="1382" t="s">
        <v>126</v>
      </c>
      <c r="D2" s="1382" t="s">
        <v>127</v>
      </c>
      <c r="E2" s="1382" t="s">
        <v>128</v>
      </c>
      <c r="F2" s="1382"/>
      <c r="G2" s="1382"/>
      <c r="H2" s="1382"/>
      <c r="I2" s="1382"/>
      <c r="J2" s="1382"/>
      <c r="K2" s="1382"/>
      <c r="L2" s="1382"/>
      <c r="M2" s="1382" t="s">
        <v>129</v>
      </c>
      <c r="N2" s="1382" t="s">
        <v>130</v>
      </c>
      <c r="O2" s="1382"/>
      <c r="P2" s="1382" t="s">
        <v>1110</v>
      </c>
      <c r="Q2" s="1382"/>
      <c r="R2" s="1382" t="s">
        <v>1111</v>
      </c>
      <c r="S2" s="1382"/>
      <c r="T2" s="1382"/>
      <c r="U2" s="1382" t="s">
        <v>131</v>
      </c>
      <c r="V2" s="1382"/>
      <c r="W2" s="1382" t="s">
        <v>1110</v>
      </c>
      <c r="X2" s="1382"/>
      <c r="Y2" s="1382" t="s">
        <v>1111</v>
      </c>
      <c r="Z2" s="1382"/>
      <c r="AA2" s="1382"/>
      <c r="AB2" s="1382"/>
      <c r="AC2" s="1382"/>
      <c r="AD2" s="1382"/>
      <c r="AE2" s="1382" t="s">
        <v>1112</v>
      </c>
      <c r="AF2" s="1382" t="s">
        <v>1113</v>
      </c>
      <c r="AG2" s="1382" t="s">
        <v>1114</v>
      </c>
    </row>
    <row r="3" spans="1:34" s="1381" customFormat="1" ht="15.5">
      <c r="A3" s="1383">
        <v>1</v>
      </c>
      <c r="B3" s="1384" t="str">
        <f>'D122-42'!O16</f>
        <v>D122-42</v>
      </c>
      <c r="C3" s="1383" t="str">
        <f>MID(D3,3,FIND("-",D3)-3)</f>
        <v>4</v>
      </c>
      <c r="D3" s="1385" t="str">
        <f>'D122-42'!N1</f>
        <v>MB4-10x12-2.5</v>
      </c>
      <c r="E3" s="1386">
        <f>'D122-42'!K10</f>
        <v>10</v>
      </c>
      <c r="F3" s="1386">
        <f>'D122-42'!K11</f>
        <v>12</v>
      </c>
      <c r="G3" s="1387">
        <f>'D122-42'!K19</f>
        <v>0.35</v>
      </c>
      <c r="H3" s="1387">
        <f>'D122-42'!K23</f>
        <v>0.7</v>
      </c>
      <c r="I3" s="1387">
        <f>M3-K3</f>
        <v>2.5</v>
      </c>
      <c r="J3" s="1387">
        <f>'D122-42'!K16</f>
        <v>0.5</v>
      </c>
      <c r="K3" s="1387">
        <f>'D122-42'!K17</f>
        <v>1</v>
      </c>
      <c r="L3" s="1387">
        <f>'D122-42'!K20</f>
        <v>1</v>
      </c>
      <c r="M3" s="1387">
        <f>'D122-42'!K14</f>
        <v>3.5</v>
      </c>
      <c r="N3" s="1387">
        <f>'D122-42'!K39</f>
        <v>1</v>
      </c>
      <c r="O3" s="1387">
        <f>'D122-42'!K21</f>
        <v>0.35</v>
      </c>
      <c r="P3" s="1388">
        <f>M3-N3</f>
        <v>2.5</v>
      </c>
      <c r="Q3" s="1383">
        <f>P3*4*H3^2</f>
        <v>4.8999999999999995</v>
      </c>
      <c r="R3" s="1388">
        <f>N3+0.1+R5</f>
        <v>2.1</v>
      </c>
      <c r="S3" s="1389">
        <f>E3*F3*G3+4*H3*H3*I3+2*J3*(K3-G3)*E3+2*J3*(K3-G3)*(F3-2*J3)-L3*L3*G3+8*O3^2*(K3-G3)</f>
        <v>60.836999999999996</v>
      </c>
      <c r="T3" s="1389">
        <f>(E3+0.2)*(F3+0.2)*0.1-(L3-0.2)^2*0.1</f>
        <v>12.379999999999999</v>
      </c>
      <c r="U3" s="1386">
        <f>IF(R5&gt;0.5,E3+1.2,E3+0.6)</f>
        <v>11.2</v>
      </c>
      <c r="V3" s="1386">
        <f>IF(R5&gt;0.5,F3+1.2,F3+0.6)</f>
        <v>13.2</v>
      </c>
      <c r="W3" s="1386">
        <f>U3+R3*AH3*2</f>
        <v>15.399999999999999</v>
      </c>
      <c r="X3" s="1386">
        <f>V3+R3*AH3*2</f>
        <v>17.399999999999999</v>
      </c>
      <c r="Y3" s="1386">
        <f>E3+1</f>
        <v>11</v>
      </c>
      <c r="Z3" s="1386">
        <f>F3+1</f>
        <v>13</v>
      </c>
      <c r="AA3" s="1390">
        <f>ROUND(R3/6*(U3*V3+W3*X3+(U3+W3)*(V3+X3)),2)</f>
        <v>430.42</v>
      </c>
      <c r="AB3" s="1390">
        <f>AA3-(S3-Q3)-T3-AA4</f>
        <v>188.53300000000002</v>
      </c>
      <c r="AC3" s="1390">
        <f>(E3+F3)*2*G3+H3*4*I3*4+L3*4*G3+SQRT(2*O3^2)*16*(K3-G3)+(E3-4*O3-2*J3)*4*(K3-G3)+(F3-4*O3-2*J3)*4*(K3-G3)+J3*8*(K3-G3)</f>
        <v>97.267737367038052</v>
      </c>
      <c r="AD3" s="1390">
        <f>(U3+SQRT(R5^2+(R5*AH3)^2)*2+(Y5-E3)+1)*(V3+SQRT(R5^2+(R5*AH3)^2)*2+(Z5-F3)+1)</f>
        <v>368.73240969167506</v>
      </c>
      <c r="AE3" s="1390">
        <f>+Z3*Y3</f>
        <v>143</v>
      </c>
      <c r="AF3" s="1391">
        <f>X3*W3</f>
        <v>267.95999999999998</v>
      </c>
      <c r="AG3" s="1386"/>
      <c r="AH3" s="757">
        <f>TH!B13</f>
        <v>1</v>
      </c>
    </row>
    <row r="4" spans="1:34" s="1381" customFormat="1" ht="15.5">
      <c r="A4" s="1392"/>
      <c r="B4" s="1393" t="s">
        <v>536</v>
      </c>
      <c r="C4" s="1392" t="str">
        <f>C3</f>
        <v>4</v>
      </c>
      <c r="D4" s="1392" t="str">
        <f>D3</f>
        <v>MB4-10x12-2.5</v>
      </c>
      <c r="E4" s="1392">
        <f>E3</f>
        <v>10</v>
      </c>
      <c r="F4" s="1392">
        <f>F3</f>
        <v>12</v>
      </c>
      <c r="G4" s="1394"/>
      <c r="H4" s="1394"/>
      <c r="I4" s="1392"/>
      <c r="J4" s="1394"/>
      <c r="K4" s="1394"/>
      <c r="L4" s="1394"/>
      <c r="M4" s="1394"/>
      <c r="N4" s="1394"/>
      <c r="O4" s="1394"/>
      <c r="P4" s="1392"/>
      <c r="Q4" s="1392"/>
      <c r="R4" s="1394"/>
      <c r="S4" s="1394"/>
      <c r="T4" s="1394"/>
      <c r="U4" s="1395">
        <f>IF(R5&gt;0.5,E4+1.2,E4+0.6)</f>
        <v>11.2</v>
      </c>
      <c r="V4" s="1395">
        <f>IF(R5&gt;0.5,F4+1.2,F4+0.6)</f>
        <v>13.2</v>
      </c>
      <c r="W4" s="1395">
        <f>U4+2*R5*AH4</f>
        <v>13.2</v>
      </c>
      <c r="X4" s="1395">
        <f>V4+2*R5*AH4</f>
        <v>15.2</v>
      </c>
      <c r="Y4" s="1395"/>
      <c r="Z4" s="1395"/>
      <c r="AA4" s="1396">
        <f>ROUND(R5/6*(U4*V4+W4*X4+(U4+W4)*(V4+X4)),2)</f>
        <v>173.57</v>
      </c>
      <c r="AB4" s="1397">
        <f>AA4-S4</f>
        <v>173.57</v>
      </c>
      <c r="AC4" s="1397"/>
      <c r="AD4" s="1397"/>
      <c r="AE4" s="1395"/>
      <c r="AF4" s="1397">
        <f>AF3*2</f>
        <v>535.91999999999996</v>
      </c>
      <c r="AG4" s="1395"/>
      <c r="AH4" s="757">
        <f>AH3</f>
        <v>1</v>
      </c>
    </row>
    <row r="5" spans="1:34" s="1381" customFormat="1" ht="15.5">
      <c r="A5" s="1392"/>
      <c r="B5" s="1393"/>
      <c r="C5" s="1392"/>
      <c r="D5" s="1392"/>
      <c r="E5" s="1392"/>
      <c r="F5" s="1392"/>
      <c r="G5" s="1392"/>
      <c r="H5" s="1392"/>
      <c r="I5" s="1392"/>
      <c r="J5" s="1392"/>
      <c r="K5" s="1392"/>
      <c r="L5" s="1392"/>
      <c r="M5" s="1392"/>
      <c r="N5" s="1392"/>
      <c r="O5" s="1392"/>
      <c r="P5" s="1398"/>
      <c r="Q5" s="1399" t="s">
        <v>1115</v>
      </c>
      <c r="R5" s="1400">
        <f>TH!B12/1000</f>
        <v>1</v>
      </c>
      <c r="S5" s="1394"/>
      <c r="T5" s="1394"/>
      <c r="U5" s="1395"/>
      <c r="V5" s="1395"/>
      <c r="W5" s="1395"/>
      <c r="X5" s="1395"/>
      <c r="Y5" s="1395">
        <f>U3+R5*AH3*2</f>
        <v>13.2</v>
      </c>
      <c r="Z5" s="1395">
        <f>V3+R5*AH4*2</f>
        <v>15.2</v>
      </c>
      <c r="AA5" s="1401" t="s">
        <v>1116</v>
      </c>
      <c r="AB5" s="1397">
        <f>ROUND(R5/6*(U4*V4+W5*X5+(U4+W5)*(V4+X5)),2)</f>
        <v>49.28</v>
      </c>
      <c r="AC5" s="1397"/>
      <c r="AD5" s="1397"/>
      <c r="AE5" s="1395"/>
      <c r="AF5" s="1395"/>
      <c r="AG5" s="1395"/>
    </row>
    <row r="6" spans="1:34" s="1381" customFormat="1" ht="15.5">
      <c r="A6" s="1402"/>
      <c r="B6" s="1403"/>
      <c r="C6" s="1402"/>
      <c r="D6" s="1402"/>
      <c r="E6" s="1402"/>
      <c r="F6" s="1402"/>
      <c r="G6" s="1402"/>
      <c r="H6" s="1402"/>
      <c r="I6" s="1402"/>
      <c r="J6" s="1402"/>
      <c r="K6" s="1402"/>
      <c r="L6" s="1402"/>
      <c r="M6" s="1402"/>
      <c r="N6" s="1402"/>
      <c r="O6" s="1402"/>
      <c r="P6" s="1402"/>
      <c r="Q6" s="1402"/>
      <c r="R6" s="1402"/>
      <c r="S6" s="1404"/>
      <c r="T6" s="1404"/>
      <c r="U6" s="1405"/>
      <c r="V6" s="1405"/>
      <c r="W6" s="1405"/>
      <c r="X6" s="1405"/>
      <c r="Y6" s="1405"/>
      <c r="Z6" s="1405"/>
      <c r="AA6" s="1405"/>
      <c r="AB6" s="1405"/>
      <c r="AC6" s="1405"/>
      <c r="AD6" s="1405"/>
      <c r="AE6" s="1405"/>
      <c r="AF6" s="1405"/>
      <c r="AG6" s="1405"/>
    </row>
  </sheetData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D504F1709D624D84D975DFFA57D3EC" ma:contentTypeVersion="16" ma:contentTypeDescription="Create a new document." ma:contentTypeScope="" ma:versionID="11cfc70ce13f8b399e802a7f08225415">
  <xsd:schema xmlns:xsd="http://www.w3.org/2001/XMLSchema" xmlns:xs="http://www.w3.org/2001/XMLSchema" xmlns:p="http://schemas.microsoft.com/office/2006/metadata/properties" xmlns:ns3="b48567a8-5942-4523-be1f-63fe85b8eb8c" xmlns:ns4="55f41916-43b7-4b3f-8db1-f34dd8531eb6" targetNamespace="http://schemas.microsoft.com/office/2006/metadata/properties" ma:root="true" ma:fieldsID="3be7cfe8cf04f034c27b2f61759a5224" ns3:_="" ns4:_="">
    <xsd:import namespace="b48567a8-5942-4523-be1f-63fe85b8eb8c"/>
    <xsd:import namespace="55f41916-43b7-4b3f-8db1-f34dd8531eb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_activity" minOccurs="0"/>
                <xsd:element ref="ns3:MediaServiceSystemTags" minOccurs="0"/>
                <xsd:element ref="ns3:MediaLengthInSeconds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8567a8-5942-4523-be1f-63fe85b8eb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41916-43b7-4b3f-8db1-f34dd8531eb6" elementFormDefault="qualified">
    <xsd:import namespace="http://schemas.microsoft.com/office/2006/documentManagement/types"/>
    <xsd:import namespace="http://schemas.microsoft.com/office/infopath/2007/PartnerControls"/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48567a8-5942-4523-be1f-63fe85b8eb8c" xsi:nil="true"/>
  </documentManagement>
</p:properties>
</file>

<file path=customXml/itemProps1.xml><?xml version="1.0" encoding="utf-8"?>
<ds:datastoreItem xmlns:ds="http://schemas.openxmlformats.org/officeDocument/2006/customXml" ds:itemID="{947D2C3F-3C0E-4797-B464-CA1C336C954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48567a8-5942-4523-be1f-63fe85b8eb8c"/>
    <ds:schemaRef ds:uri="55f41916-43b7-4b3f-8db1-f34dd8531eb6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A0F169-4D67-4AD4-B600-5B3304F82C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8EEF94-6B56-4A78-A22E-650EDCBC1B05}">
  <ds:schemaRefs>
    <ds:schemaRef ds:uri="http://schemas.microsoft.com/office/2006/documentManagement/types"/>
    <ds:schemaRef ds:uri="55f41916-43b7-4b3f-8db1-f34dd8531eb6"/>
    <ds:schemaRef ds:uri="b48567a8-5942-4523-be1f-63fe85b8eb8c"/>
    <ds:schemaRef ds:uri="http://purl.org/dc/dcmitype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Tra</vt:lpstr>
      <vt:lpstr>ChiTiet</vt:lpstr>
      <vt:lpstr>TongHop</vt:lpstr>
      <vt:lpstr>TRANG BIA</vt:lpstr>
      <vt:lpstr>G1</vt:lpstr>
      <vt:lpstr>HK1</vt:lpstr>
      <vt:lpstr>HK2</vt:lpstr>
      <vt:lpstr>HK3</vt:lpstr>
      <vt:lpstr>D122-42</vt:lpstr>
      <vt:lpstr>Bảng tra</vt:lpstr>
      <vt:lpstr>TONG HOP</vt:lpstr>
      <vt:lpstr>KL thep mong</vt:lpstr>
      <vt:lpstr>TH</vt:lpstr>
      <vt:lpstr>Tong ke KL</vt:lpstr>
      <vt:lpstr>KL be tong</vt:lpstr>
      <vt:lpstr>'D122-42'!Print_Area</vt:lpstr>
      <vt:lpstr>'G1'!Print_Area</vt:lpstr>
      <vt:lpstr>'HK1'!Print_Area</vt:lpstr>
      <vt:lpstr>'HK2'!Print_Area</vt:lpstr>
      <vt:lpstr>'HK3'!Print_Area</vt:lpstr>
      <vt:lpstr>'TONG HOP'!Print_Area</vt:lpstr>
      <vt:lpstr>TongHop!Print_Area</vt:lpstr>
      <vt:lpstr>'TRANG BIA'!Print_Area</vt:lpstr>
    </vt:vector>
  </TitlesOfParts>
  <Company>TVXDD2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Bang</dc:creator>
  <cp:lastModifiedBy>Cong Bang Nguyen</cp:lastModifiedBy>
  <cp:lastPrinted>2026-10-16T02:49:56Z</cp:lastPrinted>
  <dcterms:created xsi:type="dcterms:W3CDTF">2001-06-01T08:25:32Z</dcterms:created>
  <dcterms:modified xsi:type="dcterms:W3CDTF">2026-10-26T08:34:48Z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0x01010040D504F1709D624D84D975DFFA57D3EC</vt:lpwstr>
  </property>
</Properties>
</file>