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in/Dropbox/Covid-19/Risk Prediction/code_for_Github/"/>
    </mc:Choice>
  </mc:AlternateContent>
  <xr:revisionPtr revIDLastSave="0" documentId="13_ncr:1_{4B093E8E-46BD-0842-8F13-4F92D6C28153}" xr6:coauthVersionLast="45" xr6:coauthVersionMax="45" xr10:uidLastSave="{00000000-0000-0000-0000-000000000000}"/>
  <bookViews>
    <workbookView xWindow="580" yWindow="960" windowWidth="28800" windowHeight="20300" activeTab="1" xr2:uid="{EAA84A17-22F1-3E4E-8DB3-894445B95A9F}"/>
  </bookViews>
  <sheets>
    <sheet name="coefficients" sheetId="1" r:id="rId1"/>
    <sheet name="coefficients_individual_lev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3" l="1"/>
  <c r="I32" i="3"/>
  <c r="H32" i="3"/>
  <c r="G32" i="3"/>
  <c r="I30" i="3"/>
  <c r="H30" i="3"/>
  <c r="G30" i="3"/>
  <c r="I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2" i="3"/>
  <c r="H22" i="3"/>
  <c r="G22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33" i="1"/>
  <c r="H33" i="1"/>
  <c r="G33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D10" i="3" l="1"/>
  <c r="C10" i="3"/>
  <c r="B10" i="3"/>
  <c r="D9" i="3"/>
  <c r="C9" i="3"/>
  <c r="B9" i="3"/>
  <c r="D8" i="3"/>
  <c r="C8" i="3"/>
  <c r="B8" i="3"/>
  <c r="D10" i="1"/>
  <c r="C10" i="1"/>
  <c r="B10" i="1"/>
  <c r="B9" i="1"/>
  <c r="D9" i="1"/>
  <c r="C9" i="1"/>
  <c r="D8" i="1"/>
  <c r="C8" i="1"/>
  <c r="B8" i="1"/>
  <c r="D29" i="3" l="1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12" i="1"/>
  <c r="C12" i="1"/>
  <c r="B12" i="1"/>
  <c r="D11" i="1"/>
  <c r="C11" i="1"/>
  <c r="B11" i="1"/>
  <c r="D12" i="3"/>
  <c r="C12" i="3"/>
  <c r="B12" i="3"/>
  <c r="D11" i="3"/>
  <c r="C11" i="3"/>
  <c r="B11" i="3"/>
  <c r="D30" i="1" l="1"/>
  <c r="C30" i="1"/>
  <c r="B30" i="1"/>
  <c r="D29" i="1"/>
  <c r="C29" i="1"/>
  <c r="B29" i="1"/>
  <c r="D28" i="1"/>
  <c r="C28" i="1"/>
  <c r="B28" i="1"/>
  <c r="D27" i="1"/>
  <c r="C27" i="1"/>
  <c r="B27" i="1"/>
  <c r="C24" i="1"/>
  <c r="D26" i="1"/>
  <c r="C26" i="1"/>
  <c r="B26" i="1"/>
  <c r="D25" i="1"/>
  <c r="C25" i="1"/>
  <c r="B25" i="1"/>
  <c r="D24" i="1" l="1"/>
  <c r="B24" i="1"/>
  <c r="D23" i="1"/>
  <c r="C23" i="1"/>
  <c r="B23" i="1"/>
  <c r="B19" i="1"/>
  <c r="D33" i="1" l="1"/>
  <c r="C33" i="1"/>
  <c r="B33" i="1"/>
  <c r="D32" i="1" l="1"/>
  <c r="C32" i="1"/>
  <c r="B32" i="1"/>
  <c r="D31" i="1"/>
  <c r="C31" i="1"/>
  <c r="B31" i="1"/>
  <c r="D22" i="1"/>
  <c r="C22" i="1"/>
  <c r="B22" i="1"/>
  <c r="D20" i="1"/>
  <c r="C20" i="1"/>
  <c r="B20" i="1"/>
  <c r="D19" i="1"/>
  <c r="C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</calcChain>
</file>

<file path=xl/sharedStrings.xml><?xml version="1.0" encoding="utf-8"?>
<sst xmlns="http://schemas.openxmlformats.org/spreadsheetml/2006/main" count="150" uniqueCount="47">
  <si>
    <t>estimate</t>
  </si>
  <si>
    <t>lb</t>
  </si>
  <si>
    <t>ub</t>
  </si>
  <si>
    <t>Age_18_39</t>
  </si>
  <si>
    <t>Age_40_49</t>
  </si>
  <si>
    <t>Age_60_69</t>
  </si>
  <si>
    <t>Age_70_79</t>
  </si>
  <si>
    <t>Age_80_150</t>
  </si>
  <si>
    <t>Sex_M</t>
  </si>
  <si>
    <t>Black</t>
  </si>
  <si>
    <t>IMD2</t>
  </si>
  <si>
    <t>IMD3</t>
  </si>
  <si>
    <t>IMD4</t>
  </si>
  <si>
    <t>IMD5</t>
  </si>
  <si>
    <t>note</t>
  </si>
  <si>
    <t>most_deprived</t>
  </si>
  <si>
    <t>diff_definition</t>
  </si>
  <si>
    <t>BP_high</t>
  </si>
  <si>
    <t>type</t>
  </si>
  <si>
    <t>co-morbidity</t>
  </si>
  <si>
    <t>Respiratory_disease</t>
  </si>
  <si>
    <t>Variable_Name_UK</t>
  </si>
  <si>
    <t>CHD</t>
  </si>
  <si>
    <t>Stroke</t>
  </si>
  <si>
    <t>Kidney</t>
  </si>
  <si>
    <t>others</t>
  </si>
  <si>
    <t>Asthma</t>
  </si>
  <si>
    <t>Diabetes</t>
  </si>
  <si>
    <t>Arthritis</t>
  </si>
  <si>
    <t>Hispanic</t>
  </si>
  <si>
    <t>log(1.65) - Calculated for NY from https://www1.nyc.gov/assets/doh/downloads/pdf/imm/covid-19-deaths-race-ethnicity-04162020-1.pdf </t>
  </si>
  <si>
    <t>Diabetes_controlled</t>
  </si>
  <si>
    <t>Diabetes_uncontrolled</t>
  </si>
  <si>
    <t>Cancer_nonhaematological1</t>
  </si>
  <si>
    <t>Cancer_nonhaematological2</t>
  </si>
  <si>
    <t>Cancer_nonhaematological3</t>
  </si>
  <si>
    <t>Cancer_haematological1</t>
  </si>
  <si>
    <t>Cancer_haematological2</t>
  </si>
  <si>
    <t>Cancer_haematological3</t>
  </si>
  <si>
    <t>Smoking_ex</t>
  </si>
  <si>
    <t>Smoking_current</t>
  </si>
  <si>
    <t>BMI_obsese1</t>
  </si>
  <si>
    <t>BMI_obsese2</t>
  </si>
  <si>
    <t>BMI_obsese3</t>
  </si>
  <si>
    <t>estimate_old</t>
  </si>
  <si>
    <t>lb_old</t>
  </si>
  <si>
    <t>ub_old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</si>
</sst>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5D91-D86A-544C-B969-3E2F424F2D03}">
  <dimension ref="A1:I33"/>
  <sheetViews>
    <sheetView zoomScale="132" workbookViewId="0">
      <selection activeCell="G1" sqref="G1:I33"/>
    </sheetView>
  </sheetViews>
  <sheetFormatPr baseColWidth="10" defaultRowHeight="16" x14ac:dyDescent="0.2"/>
  <cols>
    <col min="1" max="1" width="27.6640625" customWidth="1"/>
    <col min="5" max="5" width="17.6640625" customWidth="1"/>
  </cols>
  <sheetData>
    <row r="1" spans="1:9" x14ac:dyDescent="0.2">
      <c r="A1" t="s">
        <v>21</v>
      </c>
      <c r="B1" t="s">
        <v>44</v>
      </c>
      <c r="C1" t="s">
        <v>45</v>
      </c>
      <c r="D1" t="s">
        <v>46</v>
      </c>
      <c r="E1" t="s">
        <v>18</v>
      </c>
      <c r="F1" t="s">
        <v>14</v>
      </c>
      <c r="G1" t="s">
        <v>0</v>
      </c>
      <c r="H1" t="s">
        <v>1</v>
      </c>
      <c r="I1" t="s">
        <v>2</v>
      </c>
    </row>
    <row r="2" spans="1:9" x14ac:dyDescent="0.2">
      <c r="A2" t="s">
        <v>3</v>
      </c>
      <c r="B2" s="2">
        <v>-2.5259999999999998</v>
      </c>
      <c r="C2" s="2">
        <v>-2.8130000000000002</v>
      </c>
      <c r="D2" s="2">
        <v>-2.2069999999999999</v>
      </c>
      <c r="E2" t="s">
        <v>25</v>
      </c>
      <c r="G2">
        <f>LN(0.07)</f>
        <v>-2.6592600369327779</v>
      </c>
      <c r="H2">
        <f>LN(0.05)</f>
        <v>-2.9957322735539909</v>
      </c>
      <c r="I2">
        <f>LN(0.09)</f>
        <v>-2.4079456086518722</v>
      </c>
    </row>
    <row r="3" spans="1:9" x14ac:dyDescent="0.2">
      <c r="A3" t="s">
        <v>4</v>
      </c>
      <c r="B3" s="2">
        <v>-1.204</v>
      </c>
      <c r="C3" s="2">
        <v>-1.47</v>
      </c>
      <c r="D3" s="2">
        <v>-0.96799999999999997</v>
      </c>
      <c r="E3" t="s">
        <v>25</v>
      </c>
      <c r="G3">
        <f>LN(0.29)</f>
        <v>-1.2378743560016174</v>
      </c>
      <c r="H3">
        <f>LN(0.24)</f>
        <v>-1.4271163556401458</v>
      </c>
      <c r="I3">
        <f>LN(0.36)</f>
        <v>-1.0216512475319814</v>
      </c>
    </row>
    <row r="4" spans="1:9" x14ac:dyDescent="0.2">
      <c r="A4" s="1" t="s">
        <v>5</v>
      </c>
      <c r="B4" s="2">
        <v>0.72799999999999998</v>
      </c>
      <c r="C4" s="2">
        <v>0.58199999999999996</v>
      </c>
      <c r="D4" s="2">
        <v>0.871</v>
      </c>
      <c r="E4" t="s">
        <v>25</v>
      </c>
      <c r="G4">
        <f>LN(2.37)</f>
        <v>0.86288995514703981</v>
      </c>
      <c r="H4">
        <f>LN(2.11)</f>
        <v>0.74668794748797507</v>
      </c>
      <c r="I4">
        <f>LN(2.67)</f>
        <v>0.98207847241215818</v>
      </c>
    </row>
    <row r="5" spans="1:9" x14ac:dyDescent="0.2">
      <c r="A5" s="1" t="s">
        <v>6</v>
      </c>
      <c r="B5" s="2">
        <v>1.571</v>
      </c>
      <c r="C5" s="2">
        <v>1.4350000000000001</v>
      </c>
      <c r="D5" s="2">
        <v>1.7070000000000001</v>
      </c>
      <c r="E5" t="s">
        <v>25</v>
      </c>
      <c r="G5">
        <f>LN(6.05)</f>
        <v>1.80005827204275</v>
      </c>
      <c r="H5">
        <f>LN(5.42)</f>
        <v>1.6900958154515549</v>
      </c>
      <c r="I5">
        <f>LN(6.76)</f>
        <v>1.9110228900548727</v>
      </c>
    </row>
    <row r="6" spans="1:9" x14ac:dyDescent="0.2">
      <c r="A6" s="1" t="s">
        <v>7</v>
      </c>
      <c r="B6" s="2">
        <v>2.488</v>
      </c>
      <c r="C6" s="2">
        <v>2.3490000000000002</v>
      </c>
      <c r="D6" s="2">
        <v>2.6280000000000001</v>
      </c>
      <c r="E6" t="s">
        <v>25</v>
      </c>
      <c r="G6">
        <f>LN(20.19)</f>
        <v>3.0051874323247461</v>
      </c>
      <c r="H6">
        <f>LN(18.08)</f>
        <v>2.8948063549640302</v>
      </c>
      <c r="I6">
        <f>LN(22.54)</f>
        <v>3.1152915086116302</v>
      </c>
    </row>
    <row r="7" spans="1:9" x14ac:dyDescent="0.2">
      <c r="A7" s="1" t="s">
        <v>8</v>
      </c>
      <c r="B7" s="2">
        <v>0.65800000000000003</v>
      </c>
      <c r="C7" s="2">
        <v>0.58799999999999997</v>
      </c>
      <c r="D7" s="2">
        <v>0.72299999999999998</v>
      </c>
      <c r="E7" t="s">
        <v>25</v>
      </c>
      <c r="G7">
        <f>LN(1.54)</f>
        <v>0.43178241642553783</v>
      </c>
      <c r="H7">
        <f>LN(1.47)</f>
        <v>0.38526240079064489</v>
      </c>
      <c r="I7">
        <f>LN(1.61)</f>
        <v>0.47623417899637172</v>
      </c>
    </row>
    <row r="8" spans="1:9" x14ac:dyDescent="0.2">
      <c r="A8" s="1" t="s">
        <v>41</v>
      </c>
      <c r="B8" s="2">
        <f>LN(1.28)</f>
        <v>0.24686007793152581</v>
      </c>
      <c r="C8" s="2">
        <f>LN(1.18)</f>
        <v>0.16551443847757333</v>
      </c>
      <c r="D8" s="2">
        <f>LN(1.38)</f>
        <v>0.32208349916911322</v>
      </c>
      <c r="E8" t="s">
        <v>25</v>
      </c>
      <c r="G8">
        <f>LN(1.05)</f>
        <v>4.8790164169432049E-2</v>
      </c>
      <c r="H8">
        <f>LN(0.99)</f>
        <v>-1.0050335853501451E-2</v>
      </c>
      <c r="I8">
        <f>LN(1.11)</f>
        <v>0.10436001532424286</v>
      </c>
    </row>
    <row r="9" spans="1:9" x14ac:dyDescent="0.2">
      <c r="A9" s="1" t="s">
        <v>42</v>
      </c>
      <c r="B9" s="2">
        <f>LN(1.6)</f>
        <v>0.47000362924573563</v>
      </c>
      <c r="C9" s="2">
        <f>LN(1.43)</f>
        <v>0.35767444427181588</v>
      </c>
      <c r="D9" s="2">
        <f>LN(1.8)</f>
        <v>0.58778666490211906</v>
      </c>
      <c r="E9" t="s">
        <v>25</v>
      </c>
      <c r="G9">
        <f>LN(1.41)</f>
        <v>0.34358970439007686</v>
      </c>
      <c r="H9">
        <f>LN(1.3)</f>
        <v>0.26236426446749106</v>
      </c>
      <c r="I9">
        <f>LN(1.54)</f>
        <v>0.43178241642553783</v>
      </c>
    </row>
    <row r="10" spans="1:9" x14ac:dyDescent="0.2">
      <c r="A10" s="1" t="s">
        <v>43</v>
      </c>
      <c r="B10" s="2">
        <f>LN(2.28)</f>
        <v>0.82417544296634937</v>
      </c>
      <c r="C10" s="2">
        <f>LN(1.96)</f>
        <v>0.67294447324242579</v>
      </c>
      <c r="D10" s="2">
        <f>LN(2.65)</f>
        <v>0.97455963999813078</v>
      </c>
      <c r="E10" t="s">
        <v>25</v>
      </c>
      <c r="G10">
        <f>LN(1.92)</f>
        <v>0.65232518603969014</v>
      </c>
      <c r="H10">
        <f>LN(1.7)</f>
        <v>0.53062825106217038</v>
      </c>
      <c r="I10">
        <f>LN(2.17)</f>
        <v>0.77472716755236815</v>
      </c>
    </row>
    <row r="11" spans="1:9" x14ac:dyDescent="0.2">
      <c r="A11" s="1" t="s">
        <v>39</v>
      </c>
      <c r="B11" s="3">
        <f>LN(1.32)</f>
        <v>0.27763173659827955</v>
      </c>
      <c r="C11" s="3">
        <f>LN(1.23)</f>
        <v>0.20701416938432612</v>
      </c>
      <c r="D11" s="3">
        <f>LN(1.42)</f>
        <v>0.35065687161316933</v>
      </c>
      <c r="E11" s="1" t="s">
        <v>25</v>
      </c>
      <c r="F11" s="1"/>
      <c r="G11">
        <f>LN(1.22)</f>
        <v>0.19885085874516517</v>
      </c>
      <c r="H11">
        <f>LN(1.16)</f>
        <v>0.14842000511827322</v>
      </c>
      <c r="I11">
        <f>LN(1.29)</f>
        <v>0.25464221837358075</v>
      </c>
    </row>
    <row r="12" spans="1:9" x14ac:dyDescent="0.2">
      <c r="A12" s="1" t="s">
        <v>40</v>
      </c>
      <c r="B12" s="3">
        <f>LN(0.94)</f>
        <v>-6.1875403718087529E-2</v>
      </c>
      <c r="C12" s="3">
        <f>LN(0.82)</f>
        <v>-0.19845093872383832</v>
      </c>
      <c r="D12" s="3">
        <f>LN(1.07)</f>
        <v>6.7658648473814864E-2</v>
      </c>
      <c r="E12" s="1" t="s">
        <v>25</v>
      </c>
      <c r="F12" s="1"/>
      <c r="G12">
        <f>LN(0.93)</f>
        <v>-7.2570692834835374E-2</v>
      </c>
      <c r="H12">
        <f>LN(0.84)</f>
        <v>-0.1743533871447778</v>
      </c>
      <c r="I12">
        <f>LN(1.02)</f>
        <v>1.980262729617973E-2</v>
      </c>
    </row>
    <row r="13" spans="1:9" x14ac:dyDescent="0.2">
      <c r="A13" s="1" t="s">
        <v>29</v>
      </c>
      <c r="B13" s="2">
        <v>0.497</v>
      </c>
      <c r="C13" s="2"/>
      <c r="D13" s="2"/>
      <c r="E13" t="s">
        <v>25</v>
      </c>
      <c r="F13" t="s">
        <v>30</v>
      </c>
      <c r="G13">
        <v>0.497</v>
      </c>
    </row>
    <row r="14" spans="1:9" x14ac:dyDescent="0.2">
      <c r="A14" s="1" t="s">
        <v>9</v>
      </c>
      <c r="B14" s="2">
        <f>LN(1.71)</f>
        <v>0.53649337051456847</v>
      </c>
      <c r="C14" s="2">
        <f>LN(1.44)</f>
        <v>0.36464311358790924</v>
      </c>
      <c r="D14" s="2">
        <f>LN(2.02)</f>
        <v>0.70309751141311339</v>
      </c>
      <c r="E14" t="s">
        <v>25</v>
      </c>
      <c r="G14">
        <f>LN(1.48)</f>
        <v>0.39204208777602367</v>
      </c>
      <c r="H14">
        <f>LN(1.29)</f>
        <v>0.25464221837358075</v>
      </c>
      <c r="I14">
        <f>LN(1.69)</f>
        <v>0.52472852893498212</v>
      </c>
    </row>
    <row r="15" spans="1:9" x14ac:dyDescent="0.2">
      <c r="A15" s="1" t="s">
        <v>10</v>
      </c>
      <c r="B15" s="2">
        <f>LN(1.19)</f>
        <v>0.17395330712343798</v>
      </c>
      <c r="C15" s="2">
        <f>LN(1.07)</f>
        <v>6.7658648473814864E-2</v>
      </c>
      <c r="D15" s="2">
        <f>LN(1.33)</f>
        <v>0.28517894223366247</v>
      </c>
      <c r="E15" t="s">
        <v>25</v>
      </c>
      <c r="G15">
        <f>LN(1.16)</f>
        <v>0.14842000511827322</v>
      </c>
      <c r="H15">
        <f>LN(1.08)</f>
        <v>7.6961041136128394E-2</v>
      </c>
      <c r="I15">
        <f>LN(1.25)</f>
        <v>0.22314355131420976</v>
      </c>
    </row>
    <row r="16" spans="1:9" x14ac:dyDescent="0.2">
      <c r="A16" s="1" t="s">
        <v>11</v>
      </c>
      <c r="B16" s="2">
        <f>LN(1.26)</f>
        <v>0.23111172096338664</v>
      </c>
      <c r="C16" s="2">
        <f>LN(1.13)</f>
        <v>0.12221763272424911</v>
      </c>
      <c r="D16" s="2">
        <f>LN(1.4)</f>
        <v>0.33647223662121289</v>
      </c>
      <c r="E16" t="s">
        <v>25</v>
      </c>
      <c r="G16">
        <f>LN(1.26)</f>
        <v>0.23111172096338664</v>
      </c>
      <c r="H16">
        <f>LN(1.17)</f>
        <v>0.15700374880966469</v>
      </c>
      <c r="I16">
        <f>LN(1.36)</f>
        <v>0.30748469974796072</v>
      </c>
    </row>
    <row r="17" spans="1:9" x14ac:dyDescent="0.2">
      <c r="A17" s="1" t="s">
        <v>12</v>
      </c>
      <c r="B17" s="2">
        <f>LN(1.53)</f>
        <v>0.42526773540434409</v>
      </c>
      <c r="C17" s="2">
        <f>LN(1.38)</f>
        <v>0.32208349916911322</v>
      </c>
      <c r="D17" s="2">
        <f>LN(1.7)</f>
        <v>0.53062825106217038</v>
      </c>
      <c r="E17" t="s">
        <v>25</v>
      </c>
      <c r="G17">
        <f>LN(1.54)</f>
        <v>0.43178241642553783</v>
      </c>
      <c r="H17">
        <f>LN(1.43)</f>
        <v>0.35767444427181588</v>
      </c>
      <c r="I17">
        <f>LN(1.66)</f>
        <v>0.50681760236845186</v>
      </c>
    </row>
    <row r="18" spans="1:9" x14ac:dyDescent="0.2">
      <c r="A18" s="1" t="s">
        <v>13</v>
      </c>
      <c r="B18" s="2">
        <f>LN(1.7)</f>
        <v>0.53062825106217038</v>
      </c>
      <c r="C18" s="2">
        <f>LN(1.53)</f>
        <v>0.42526773540434409</v>
      </c>
      <c r="D18" s="2">
        <f>LN(1.89)</f>
        <v>0.636576829071551</v>
      </c>
      <c r="E18" t="s">
        <v>25</v>
      </c>
      <c r="F18" t="s">
        <v>15</v>
      </c>
      <c r="G18">
        <f>LN(1.77)</f>
        <v>0.5709795465857378</v>
      </c>
      <c r="H18">
        <f>LN(1.64)</f>
        <v>0.494696241836107</v>
      </c>
      <c r="I18">
        <f>LN(1.91)</f>
        <v>0.64710324205853842</v>
      </c>
    </row>
    <row r="19" spans="1:9" x14ac:dyDescent="0.2">
      <c r="A19" s="1" t="s">
        <v>17</v>
      </c>
      <c r="B19" s="2">
        <f>LN(0.97)</f>
        <v>-3.0459207484708574E-2</v>
      </c>
      <c r="C19" s="2">
        <f>LN(0.9)</f>
        <v>-0.10536051565782628</v>
      </c>
      <c r="D19" s="2">
        <f>LN(1.05)</f>
        <v>4.8790164169432049E-2</v>
      </c>
      <c r="E19" t="s">
        <v>25</v>
      </c>
      <c r="F19" t="s">
        <v>16</v>
      </c>
      <c r="G19">
        <f>LN(0.91)</f>
        <v>-9.431067947124129E-2</v>
      </c>
      <c r="H19">
        <f>LN(0.86)</f>
        <v>-0.15082288973458366</v>
      </c>
      <c r="I19">
        <f>LN(0.96)</f>
        <v>-4.0821994520255166E-2</v>
      </c>
    </row>
    <row r="20" spans="1:9" x14ac:dyDescent="0.2">
      <c r="A20" t="s">
        <v>20</v>
      </c>
      <c r="B20" s="2">
        <f>LN(1.79)</f>
        <v>0.58221561985266368</v>
      </c>
      <c r="C20" s="2">
        <f>LN(1.66)</f>
        <v>0.50681760236845186</v>
      </c>
      <c r="D20" s="2">
        <f>LN(1.93)</f>
        <v>0.65752000291679413</v>
      </c>
      <c r="E20" t="s">
        <v>19</v>
      </c>
      <c r="G20">
        <f>LN(1.65)</f>
        <v>0.50077528791248915</v>
      </c>
      <c r="H20">
        <f>LN(1.56)</f>
        <v>0.44468582126144574</v>
      </c>
      <c r="I20">
        <f>LN(1.75)</f>
        <v>0.55961578793542266</v>
      </c>
    </row>
    <row r="21" spans="1:9" x14ac:dyDescent="0.2">
      <c r="A21" s="1" t="s">
        <v>26</v>
      </c>
      <c r="B21" s="2">
        <v>4.9000000000000002E-2</v>
      </c>
      <c r="C21" s="2">
        <v>-4.9000000000000002E-2</v>
      </c>
      <c r="D21" s="2">
        <v>0.15</v>
      </c>
      <c r="E21" t="s">
        <v>19</v>
      </c>
      <c r="G21" s="2">
        <v>-4.7031259999999998E-2</v>
      </c>
      <c r="H21">
        <v>-0.12985659999999999</v>
      </c>
      <c r="I21">
        <v>2.2133590000000002E-2</v>
      </c>
    </row>
    <row r="22" spans="1:9" x14ac:dyDescent="0.2">
      <c r="A22" s="1" t="s">
        <v>22</v>
      </c>
      <c r="B22" s="2">
        <f>LN(1.27)</f>
        <v>0.23901690047049992</v>
      </c>
      <c r="C22" s="2">
        <f>LN(1.19)</f>
        <v>0.17395330712343798</v>
      </c>
      <c r="D22" s="2">
        <f>LN(1.36)</f>
        <v>0.30748469974796072</v>
      </c>
      <c r="E22" t="s">
        <v>19</v>
      </c>
      <c r="G22">
        <f>LN(1.16)</f>
        <v>0.14842000511827322</v>
      </c>
      <c r="H22">
        <f>LN(1.11)</f>
        <v>0.10436001532424286</v>
      </c>
      <c r="I22">
        <f>LN(1.22)</f>
        <v>0.19885085874516517</v>
      </c>
    </row>
    <row r="23" spans="1:9" x14ac:dyDescent="0.2">
      <c r="A23" s="1" t="s">
        <v>31</v>
      </c>
      <c r="B23" s="2">
        <f>LN(1.47)</f>
        <v>0.38526240079064489</v>
      </c>
      <c r="C23" s="2">
        <f>LN(1.36)</f>
        <v>0.30748469974796072</v>
      </c>
      <c r="D23" s="2">
        <f>LN(1.59)</f>
        <v>0.46373401623214022</v>
      </c>
      <c r="E23" t="s">
        <v>19</v>
      </c>
      <c r="G23">
        <f>LN(1.28)</f>
        <v>0.24686007793152581</v>
      </c>
      <c r="H23">
        <f>LN(1.21)</f>
        <v>0.1906203596086497</v>
      </c>
      <c r="I23">
        <f>LN(1.36)</f>
        <v>0.30748469974796072</v>
      </c>
    </row>
    <row r="24" spans="1:9" x14ac:dyDescent="0.2">
      <c r="A24" s="1" t="s">
        <v>32</v>
      </c>
      <c r="B24" s="2">
        <f>LN(2.23)</f>
        <v>0.80200158547202738</v>
      </c>
      <c r="C24" s="2">
        <f>LN(2.03)</f>
        <v>0.70803579305369591</v>
      </c>
      <c r="D24" s="2">
        <f>LN(2.45)</f>
        <v>0.89608802455663572</v>
      </c>
      <c r="E24" t="s">
        <v>19</v>
      </c>
      <c r="G24">
        <f>LN(1.86)</f>
        <v>0.62057648772510998</v>
      </c>
      <c r="H24">
        <f>LN(1.73)</f>
        <v>0.5481214085096876</v>
      </c>
      <c r="I24">
        <f>LN(2)</f>
        <v>0.69314718055994529</v>
      </c>
    </row>
    <row r="25" spans="1:9" x14ac:dyDescent="0.2">
      <c r="A25" s="1" t="s">
        <v>33</v>
      </c>
      <c r="B25" s="2">
        <f>LN(1.68)</f>
        <v>0.51879379341516751</v>
      </c>
      <c r="C25" s="2">
        <f>LN(1.36)</f>
        <v>0.30748469974796072</v>
      </c>
      <c r="D25" s="2">
        <f>LN(2.09)</f>
        <v>0.73716406597671957</v>
      </c>
      <c r="E25" t="s">
        <v>19</v>
      </c>
      <c r="G25">
        <f>LN(1.67)</f>
        <v>0.51282362642866375</v>
      </c>
      <c r="H25">
        <f>LN(1.43)</f>
        <v>0.35767444427181588</v>
      </c>
      <c r="I25">
        <f>LN(1.96)</f>
        <v>0.67294447324242579</v>
      </c>
    </row>
    <row r="26" spans="1:9" x14ac:dyDescent="0.2">
      <c r="A26" s="1" t="s">
        <v>34</v>
      </c>
      <c r="B26" s="2">
        <f>LN(1.21)</f>
        <v>0.1906203596086497</v>
      </c>
      <c r="C26" s="2">
        <f>LN(1.04)</f>
        <v>3.9220713153281329E-2</v>
      </c>
      <c r="D26" s="2">
        <f>LN(1.4)</f>
        <v>0.33647223662121289</v>
      </c>
      <c r="E26" t="s">
        <v>19</v>
      </c>
      <c r="G26">
        <f>LN(1.21)</f>
        <v>0.1906203596086497</v>
      </c>
      <c r="H26">
        <f>LN(1.09)</f>
        <v>8.6177696241052412E-2</v>
      </c>
      <c r="I26">
        <f>LN(1.35)</f>
        <v>0.30010459245033816</v>
      </c>
    </row>
    <row r="27" spans="1:9" x14ac:dyDescent="0.2">
      <c r="A27" s="1" t="s">
        <v>35</v>
      </c>
      <c r="B27" s="2">
        <f>LN(1.02)</f>
        <v>1.980262729617973E-2</v>
      </c>
      <c r="C27" s="2">
        <f>LN(0.92)</f>
        <v>-8.3381608939051013E-2</v>
      </c>
      <c r="D27" s="2">
        <f>LN(1.13)</f>
        <v>0.12221763272424911</v>
      </c>
      <c r="E27" t="s">
        <v>19</v>
      </c>
      <c r="G27">
        <f>LN(0.98)</f>
        <v>-2.0202707317519466E-2</v>
      </c>
      <c r="H27">
        <f>LN(0.92)</f>
        <v>-8.3381608939051013E-2</v>
      </c>
      <c r="I27">
        <f>LN(1.06)</f>
        <v>5.8268908123975824E-2</v>
      </c>
    </row>
    <row r="28" spans="1:9" x14ac:dyDescent="0.2">
      <c r="A28" s="1" t="s">
        <v>36</v>
      </c>
      <c r="B28" s="2">
        <f>LN(3.3)</f>
        <v>1.1939224684724346</v>
      </c>
      <c r="C28" s="2">
        <f>LN(2.1)</f>
        <v>0.74193734472937733</v>
      </c>
      <c r="D28" s="2">
        <f>LN(5.18)</f>
        <v>1.6448050562713916</v>
      </c>
      <c r="E28" t="s">
        <v>19</v>
      </c>
      <c r="G28">
        <f>LN(2.33)</f>
        <v>0.84586826757760925</v>
      </c>
      <c r="H28">
        <f>LN(1.6)</f>
        <v>0.47000362924573563</v>
      </c>
      <c r="I28">
        <f>LN(3.41)</f>
        <v>1.2267122912954254</v>
      </c>
    </row>
    <row r="29" spans="1:9" x14ac:dyDescent="0.2">
      <c r="A29" s="1" t="s">
        <v>37</v>
      </c>
      <c r="B29" s="2">
        <f>LN(3.42)</f>
        <v>1.2296405510745139</v>
      </c>
      <c r="C29" s="2">
        <f>LN(2.67)</f>
        <v>0.98207847241215818</v>
      </c>
      <c r="D29" s="2">
        <f>LN(4.38)</f>
        <v>1.4770487243883548</v>
      </c>
      <c r="E29" t="s">
        <v>19</v>
      </c>
      <c r="G29">
        <f>LN(2.53)</f>
        <v>0.92821930273942876</v>
      </c>
      <c r="H29">
        <f>LN(2.05)</f>
        <v>0.71783979315031676</v>
      </c>
      <c r="I29">
        <f>LN(3.11)</f>
        <v>1.1346227261911428</v>
      </c>
    </row>
    <row r="30" spans="1:9" x14ac:dyDescent="0.2">
      <c r="A30" s="1" t="s">
        <v>38</v>
      </c>
      <c r="B30" s="2">
        <f>LN(1.84)</f>
        <v>0.60976557162089429</v>
      </c>
      <c r="C30" s="2">
        <f>LN(1.46)</f>
        <v>0.37843643572024505</v>
      </c>
      <c r="D30" s="2">
        <f>LN(2.32)</f>
        <v>0.84156718567821853</v>
      </c>
      <c r="E30" t="s">
        <v>19</v>
      </c>
      <c r="G30">
        <f>LN(1.55)</f>
        <v>0.43825493093115531</v>
      </c>
      <c r="H30">
        <f>LN(1.3)</f>
        <v>0.26236426446749106</v>
      </c>
      <c r="I30">
        <f>LN(1.85)</f>
        <v>0.61518563909023349</v>
      </c>
    </row>
    <row r="31" spans="1:9" x14ac:dyDescent="0.2">
      <c r="A31" s="1" t="s">
        <v>23</v>
      </c>
      <c r="B31" s="2">
        <f>LN(1.75)</f>
        <v>0.55961578793542266</v>
      </c>
      <c r="C31" s="2">
        <f>LN(1.61)</f>
        <v>0.47623417899637172</v>
      </c>
      <c r="D31" s="2">
        <f>LN(1.9)</f>
        <v>0.64185388617239469</v>
      </c>
      <c r="E31" t="s">
        <v>19</v>
      </c>
      <c r="G31">
        <f>LN(2.16)</f>
        <v>0.77010822169607374</v>
      </c>
      <c r="H31">
        <f>LN(2.05)</f>
        <v>0.71783979315031676</v>
      </c>
      <c r="I31">
        <f>LN(2.28)</f>
        <v>0.82417544296634937</v>
      </c>
    </row>
    <row r="32" spans="1:9" x14ac:dyDescent="0.2">
      <c r="A32" s="1" t="s">
        <v>24</v>
      </c>
      <c r="B32" s="2">
        <f>LN(1.76)</f>
        <v>0.56531380905006046</v>
      </c>
      <c r="C32" s="2">
        <f>LN(1.64)</f>
        <v>0.494696241836107</v>
      </c>
      <c r="D32" s="2">
        <f>LN(1.89)</f>
        <v>0.636576829071551</v>
      </c>
      <c r="E32" t="s">
        <v>19</v>
      </c>
      <c r="G32">
        <v>0.36254720000000001</v>
      </c>
      <c r="H32">
        <v>0.30729980000000001</v>
      </c>
      <c r="I32">
        <v>0.41569980000000001</v>
      </c>
    </row>
    <row r="33" spans="1:9" x14ac:dyDescent="0.2">
      <c r="A33" t="s">
        <v>28</v>
      </c>
      <c r="B33" s="2">
        <f>LN(1.17)</f>
        <v>0.15700374880966469</v>
      </c>
      <c r="C33" s="2">
        <f>LN(1.05)</f>
        <v>4.8790164169432049E-2</v>
      </c>
      <c r="D33" s="2">
        <f>LN(1.3)</f>
        <v>0.26236426446749106</v>
      </c>
      <c r="E33" t="s">
        <v>19</v>
      </c>
      <c r="G33">
        <f>LN(1.15)</f>
        <v>0.13976194237515863</v>
      </c>
      <c r="H33">
        <f>LN(1.07)</f>
        <v>6.7658648473814864E-2</v>
      </c>
      <c r="I33">
        <f>LN(1.24)</f>
        <v>0.21511137961694549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4BC7-DF5D-5549-8B90-2823145ACA0A}">
  <dimension ref="A1:I32"/>
  <sheetViews>
    <sheetView tabSelected="1" topLeftCell="A3" zoomScale="125" workbookViewId="0">
      <selection activeCell="I36" sqref="I36"/>
    </sheetView>
  </sheetViews>
  <sheetFormatPr baseColWidth="10" defaultRowHeight="16" x14ac:dyDescent="0.2"/>
  <cols>
    <col min="1" max="1" width="29.1640625" customWidth="1"/>
    <col min="5" max="5" width="13.1640625" customWidth="1"/>
    <col min="6" max="6" width="13.5" customWidth="1"/>
  </cols>
  <sheetData>
    <row r="1" spans="1:9" x14ac:dyDescent="0.2">
      <c r="A1" s="1" t="s">
        <v>21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14</v>
      </c>
      <c r="G1" t="s">
        <v>0</v>
      </c>
      <c r="H1" t="s">
        <v>1</v>
      </c>
      <c r="I1" t="s">
        <v>2</v>
      </c>
    </row>
    <row r="2" spans="1:9" x14ac:dyDescent="0.2">
      <c r="A2" s="1" t="s">
        <v>3</v>
      </c>
      <c r="B2" s="3">
        <v>-2.5259999999999998</v>
      </c>
      <c r="C2" s="3">
        <v>-2.8130000000000002</v>
      </c>
      <c r="D2" s="3">
        <v>-2.2069999999999999</v>
      </c>
      <c r="E2" s="1" t="s">
        <v>25</v>
      </c>
      <c r="F2" s="1"/>
      <c r="G2">
        <f>LN(0.07)</f>
        <v>-2.6592600369327779</v>
      </c>
      <c r="H2">
        <f>LN(0.05)</f>
        <v>-2.9957322735539909</v>
      </c>
      <c r="I2">
        <f>LN(0.09)</f>
        <v>-2.4079456086518722</v>
      </c>
    </row>
    <row r="3" spans="1:9" x14ac:dyDescent="0.2">
      <c r="A3" s="1" t="s">
        <v>4</v>
      </c>
      <c r="B3" s="3">
        <v>-1.204</v>
      </c>
      <c r="C3" s="3">
        <v>-1.47</v>
      </c>
      <c r="D3" s="3">
        <v>-0.96799999999999997</v>
      </c>
      <c r="E3" s="1" t="s">
        <v>25</v>
      </c>
      <c r="F3" s="1"/>
      <c r="G3">
        <f>LN(0.29)</f>
        <v>-1.2378743560016174</v>
      </c>
      <c r="H3">
        <f>LN(0.24)</f>
        <v>-1.4271163556401458</v>
      </c>
      <c r="I3">
        <f>LN(0.36)</f>
        <v>-1.0216512475319814</v>
      </c>
    </row>
    <row r="4" spans="1:9" x14ac:dyDescent="0.2">
      <c r="A4" s="1" t="s">
        <v>5</v>
      </c>
      <c r="B4" s="3">
        <v>0.72799999999999998</v>
      </c>
      <c r="C4" s="3">
        <v>0.58199999999999996</v>
      </c>
      <c r="D4" s="3">
        <v>0.871</v>
      </c>
      <c r="E4" s="1" t="s">
        <v>25</v>
      </c>
      <c r="F4" s="1"/>
      <c r="G4">
        <f>LN(2.37)</f>
        <v>0.86288995514703981</v>
      </c>
      <c r="H4">
        <f>LN(2.11)</f>
        <v>0.74668794748797507</v>
      </c>
      <c r="I4">
        <f>LN(2.67)</f>
        <v>0.98207847241215818</v>
      </c>
    </row>
    <row r="5" spans="1:9" x14ac:dyDescent="0.2">
      <c r="A5" s="1" t="s">
        <v>6</v>
      </c>
      <c r="B5" s="3">
        <v>1.571</v>
      </c>
      <c r="C5" s="3">
        <v>1.4350000000000001</v>
      </c>
      <c r="D5" s="3">
        <v>1.7070000000000001</v>
      </c>
      <c r="E5" s="1" t="s">
        <v>25</v>
      </c>
      <c r="F5" s="1"/>
      <c r="G5">
        <f>LN(6.05)</f>
        <v>1.80005827204275</v>
      </c>
      <c r="H5">
        <f>LN(5.42)</f>
        <v>1.6900958154515549</v>
      </c>
      <c r="I5">
        <f>LN(6.76)</f>
        <v>1.9110228900548727</v>
      </c>
    </row>
    <row r="6" spans="1:9" x14ac:dyDescent="0.2">
      <c r="A6" s="1" t="s">
        <v>7</v>
      </c>
      <c r="B6" s="3">
        <v>2.488</v>
      </c>
      <c r="C6" s="3">
        <v>2.3490000000000002</v>
      </c>
      <c r="D6" s="3">
        <v>2.6280000000000001</v>
      </c>
      <c r="E6" s="1" t="s">
        <v>25</v>
      </c>
      <c r="F6" s="1"/>
      <c r="G6">
        <f>LN(20.19)</f>
        <v>3.0051874323247461</v>
      </c>
      <c r="H6">
        <f>LN(18.08)</f>
        <v>2.8948063549640302</v>
      </c>
      <c r="I6">
        <f>LN(22.54)</f>
        <v>3.1152915086116302</v>
      </c>
    </row>
    <row r="7" spans="1:9" x14ac:dyDescent="0.2">
      <c r="A7" s="1" t="s">
        <v>8</v>
      </c>
      <c r="B7" s="3">
        <v>0.65800000000000003</v>
      </c>
      <c r="C7" s="3">
        <v>0.58799999999999997</v>
      </c>
      <c r="D7" s="3">
        <v>0.72299999999999998</v>
      </c>
      <c r="E7" s="1" t="s">
        <v>25</v>
      </c>
      <c r="F7" s="1"/>
      <c r="G7">
        <f>LN(1.54)</f>
        <v>0.43178241642553783</v>
      </c>
      <c r="H7">
        <f>LN(1.47)</f>
        <v>0.38526240079064489</v>
      </c>
      <c r="I7">
        <f>LN(1.61)</f>
        <v>0.47623417899637172</v>
      </c>
    </row>
    <row r="8" spans="1:9" x14ac:dyDescent="0.2">
      <c r="A8" s="1" t="s">
        <v>41</v>
      </c>
      <c r="B8" s="2">
        <f>LN(1.28)</f>
        <v>0.24686007793152581</v>
      </c>
      <c r="C8" s="2">
        <f>LN(1.18)</f>
        <v>0.16551443847757333</v>
      </c>
      <c r="D8" s="2">
        <f>LN(1.38)</f>
        <v>0.32208349916911322</v>
      </c>
      <c r="E8" t="s">
        <v>25</v>
      </c>
      <c r="G8">
        <f>LN(1.05)</f>
        <v>4.8790164169432049E-2</v>
      </c>
      <c r="H8">
        <f>LN(0.99)</f>
        <v>-1.0050335853501451E-2</v>
      </c>
      <c r="I8">
        <f>LN(1.11)</f>
        <v>0.10436001532424286</v>
      </c>
    </row>
    <row r="9" spans="1:9" x14ac:dyDescent="0.2">
      <c r="A9" s="1" t="s">
        <v>42</v>
      </c>
      <c r="B9" s="2">
        <f>LN(1.6)</f>
        <v>0.47000362924573563</v>
      </c>
      <c r="C9" s="2">
        <f>LN(1.43)</f>
        <v>0.35767444427181588</v>
      </c>
      <c r="D9" s="2">
        <f>LN(1.8)</f>
        <v>0.58778666490211906</v>
      </c>
      <c r="E9" t="s">
        <v>25</v>
      </c>
      <c r="G9">
        <f>LN(1.41)</f>
        <v>0.34358970439007686</v>
      </c>
      <c r="H9">
        <f>LN(1.3)</f>
        <v>0.26236426446749106</v>
      </c>
      <c r="I9">
        <f>LN(1.54)</f>
        <v>0.43178241642553783</v>
      </c>
    </row>
    <row r="10" spans="1:9" x14ac:dyDescent="0.2">
      <c r="A10" s="1" t="s">
        <v>43</v>
      </c>
      <c r="B10" s="2">
        <f>LN(2.28)</f>
        <v>0.82417544296634937</v>
      </c>
      <c r="C10" s="2">
        <f>LN(1.96)</f>
        <v>0.67294447324242579</v>
      </c>
      <c r="D10" s="2">
        <f>LN(2.65)</f>
        <v>0.97455963999813078</v>
      </c>
      <c r="E10" t="s">
        <v>25</v>
      </c>
      <c r="G10">
        <f>LN(1.92)</f>
        <v>0.65232518603969014</v>
      </c>
      <c r="H10">
        <f>LN(1.7)</f>
        <v>0.53062825106217038</v>
      </c>
      <c r="I10">
        <f>LN(2.17)</f>
        <v>0.77472716755236815</v>
      </c>
    </row>
    <row r="11" spans="1:9" x14ac:dyDescent="0.2">
      <c r="A11" s="1" t="s">
        <v>39</v>
      </c>
      <c r="B11" s="3">
        <f>LN(1.32)</f>
        <v>0.27763173659827955</v>
      </c>
      <c r="C11" s="3">
        <f>LN(1.23)</f>
        <v>0.20701416938432612</v>
      </c>
      <c r="D11" s="3">
        <f>LN(1.42)</f>
        <v>0.35065687161316933</v>
      </c>
      <c r="E11" s="1" t="s">
        <v>25</v>
      </c>
      <c r="F11" s="1"/>
      <c r="G11">
        <f>LN(1.22)</f>
        <v>0.19885085874516517</v>
      </c>
      <c r="H11">
        <f>LN(1.16)</f>
        <v>0.14842000511827322</v>
      </c>
      <c r="I11">
        <f>LN(1.29)</f>
        <v>0.25464221837358075</v>
      </c>
    </row>
    <row r="12" spans="1:9" x14ac:dyDescent="0.2">
      <c r="A12" s="1" t="s">
        <v>40</v>
      </c>
      <c r="B12" s="3">
        <f>LN(0.94)</f>
        <v>-6.1875403718087529E-2</v>
      </c>
      <c r="C12" s="3">
        <f>LN(0.82)</f>
        <v>-0.19845093872383832</v>
      </c>
      <c r="D12" s="3">
        <f>LN(1.07)</f>
        <v>6.7658648473814864E-2</v>
      </c>
      <c r="E12" s="1" t="s">
        <v>25</v>
      </c>
      <c r="F12" s="1"/>
      <c r="G12">
        <f>LN(0.93)</f>
        <v>-7.2570692834835374E-2</v>
      </c>
      <c r="H12">
        <f>LN(0.84)</f>
        <v>-0.1743533871447778</v>
      </c>
      <c r="I12">
        <f>LN(1.02)</f>
        <v>1.980262729617973E-2</v>
      </c>
    </row>
    <row r="13" spans="1:9" x14ac:dyDescent="0.2">
      <c r="A13" s="1" t="s">
        <v>29</v>
      </c>
      <c r="B13" s="3">
        <v>0.497</v>
      </c>
      <c r="C13" s="3"/>
      <c r="D13" s="3"/>
      <c r="E13" s="1" t="s">
        <v>25</v>
      </c>
      <c r="F13" s="1" t="s">
        <v>30</v>
      </c>
      <c r="G13">
        <v>0.497</v>
      </c>
    </row>
    <row r="14" spans="1:9" x14ac:dyDescent="0.2">
      <c r="A14" s="1" t="s">
        <v>9</v>
      </c>
      <c r="B14" s="3">
        <v>0.53600000000000003</v>
      </c>
      <c r="C14" s="3">
        <v>0.36499999999999999</v>
      </c>
      <c r="D14" s="3">
        <v>0.70299999999999996</v>
      </c>
      <c r="E14" s="1" t="s">
        <v>25</v>
      </c>
      <c r="F14" s="1"/>
      <c r="G14">
        <f>LN(1.48)</f>
        <v>0.39204208777602367</v>
      </c>
      <c r="H14">
        <f>LN(1.29)</f>
        <v>0.25464221837358075</v>
      </c>
      <c r="I14">
        <f>LN(1.69)</f>
        <v>0.52472852893498212</v>
      </c>
    </row>
    <row r="15" spans="1:9" x14ac:dyDescent="0.2">
      <c r="A15" s="1" t="s">
        <v>10</v>
      </c>
      <c r="B15" s="3">
        <v>0.17399999999999999</v>
      </c>
      <c r="C15" s="3">
        <v>6.8000000000000005E-2</v>
      </c>
      <c r="D15" s="3">
        <v>0.28499999999999998</v>
      </c>
      <c r="E15" s="1" t="s">
        <v>25</v>
      </c>
      <c r="F15" s="1"/>
      <c r="G15">
        <f>LN(1.16)</f>
        <v>0.14842000511827322</v>
      </c>
      <c r="H15">
        <f>LN(1.08)</f>
        <v>7.6961041136128394E-2</v>
      </c>
      <c r="I15">
        <f>LN(1.25)</f>
        <v>0.22314355131420976</v>
      </c>
    </row>
    <row r="16" spans="1:9" x14ac:dyDescent="0.2">
      <c r="A16" s="1" t="s">
        <v>11</v>
      </c>
      <c r="B16" s="3">
        <v>0.23100000000000001</v>
      </c>
      <c r="C16" s="3">
        <v>0.122</v>
      </c>
      <c r="D16" s="3">
        <v>0.33600000000000002</v>
      </c>
      <c r="E16" s="1" t="s">
        <v>25</v>
      </c>
      <c r="F16" s="1"/>
      <c r="G16">
        <f>LN(1.26)</f>
        <v>0.23111172096338664</v>
      </c>
      <c r="H16">
        <f>LN(1.17)</f>
        <v>0.15700374880966469</v>
      </c>
      <c r="I16">
        <f>LN(1.36)</f>
        <v>0.30748469974796072</v>
      </c>
    </row>
    <row r="17" spans="1:9" x14ac:dyDescent="0.2">
      <c r="A17" s="1" t="s">
        <v>12</v>
      </c>
      <c r="B17" s="3">
        <v>0.42499999999999999</v>
      </c>
      <c r="C17" s="3">
        <v>0.32200000000000001</v>
      </c>
      <c r="D17" s="3">
        <v>0.53100000000000003</v>
      </c>
      <c r="E17" s="1" t="s">
        <v>25</v>
      </c>
      <c r="F17" s="1"/>
      <c r="G17">
        <f>LN(1.54)</f>
        <v>0.43178241642553783</v>
      </c>
      <c r="H17">
        <f>LN(1.43)</f>
        <v>0.35767444427181588</v>
      </c>
      <c r="I17">
        <f>LN(1.66)</f>
        <v>0.50681760236845186</v>
      </c>
    </row>
    <row r="18" spans="1:9" x14ac:dyDescent="0.2">
      <c r="A18" s="1" t="s">
        <v>13</v>
      </c>
      <c r="B18" s="3">
        <v>0.53100000000000003</v>
      </c>
      <c r="C18" s="3">
        <v>0.42499999999999999</v>
      </c>
      <c r="D18" s="3">
        <v>0.63700000000000001</v>
      </c>
      <c r="E18" s="1" t="s">
        <v>25</v>
      </c>
      <c r="F18" s="1" t="s">
        <v>15</v>
      </c>
      <c r="G18">
        <f>LN(1.77)</f>
        <v>0.5709795465857378</v>
      </c>
      <c r="H18">
        <f>LN(1.64)</f>
        <v>0.494696241836107</v>
      </c>
      <c r="I18">
        <f>LN(1.91)</f>
        <v>0.64710324205853842</v>
      </c>
    </row>
    <row r="19" spans="1:9" x14ac:dyDescent="0.2">
      <c r="A19" s="1" t="s">
        <v>17</v>
      </c>
      <c r="B19" s="3">
        <v>-0.03</v>
      </c>
      <c r="C19" s="3">
        <v>-0.105</v>
      </c>
      <c r="D19" s="3">
        <v>4.9000000000000002E-2</v>
      </c>
      <c r="E19" s="1" t="s">
        <v>25</v>
      </c>
      <c r="F19" s="1" t="s">
        <v>16</v>
      </c>
      <c r="G19">
        <f>LN(0.91)</f>
        <v>-9.431067947124129E-2</v>
      </c>
      <c r="H19">
        <f>LN(0.86)</f>
        <v>-0.15082288973458366</v>
      </c>
      <c r="I19">
        <f>LN(0.96)</f>
        <v>-4.0821994520255166E-2</v>
      </c>
    </row>
    <row r="20" spans="1:9" x14ac:dyDescent="0.2">
      <c r="A20" s="1" t="s">
        <v>20</v>
      </c>
      <c r="B20" s="3">
        <v>0.58199999999999996</v>
      </c>
      <c r="C20" s="3">
        <v>0.50700000000000001</v>
      </c>
      <c r="D20" s="3">
        <v>0.65800000000000003</v>
      </c>
      <c r="E20" s="1" t="s">
        <v>19</v>
      </c>
      <c r="F20" s="1"/>
      <c r="G20">
        <f>LN(1.65)</f>
        <v>0.50077528791248915</v>
      </c>
      <c r="H20">
        <f>LN(1.56)</f>
        <v>0.44468582126144574</v>
      </c>
      <c r="I20">
        <f>LN(1.75)</f>
        <v>0.55961578793542266</v>
      </c>
    </row>
    <row r="21" spans="1:9" x14ac:dyDescent="0.2">
      <c r="A21" s="1" t="s">
        <v>26</v>
      </c>
      <c r="B21" s="2">
        <v>4.9000000000000002E-2</v>
      </c>
      <c r="C21" s="2">
        <v>-4.9000000000000002E-2</v>
      </c>
      <c r="D21" s="2">
        <v>0.15</v>
      </c>
      <c r="E21" s="1" t="s">
        <v>19</v>
      </c>
      <c r="F21" s="1"/>
      <c r="G21" s="2">
        <v>-4.7031259999999998E-2</v>
      </c>
      <c r="H21">
        <v>-0.12985659999999999</v>
      </c>
      <c r="I21">
        <v>2.2133590000000002E-2</v>
      </c>
    </row>
    <row r="22" spans="1:9" x14ac:dyDescent="0.2">
      <c r="A22" s="1" t="s">
        <v>22</v>
      </c>
      <c r="B22" s="3">
        <v>0.23899999999999999</v>
      </c>
      <c r="C22" s="3">
        <v>0.17399999999999999</v>
      </c>
      <c r="D22" s="3">
        <v>0.307</v>
      </c>
      <c r="E22" s="1" t="s">
        <v>19</v>
      </c>
      <c r="F22" s="1"/>
      <c r="G22">
        <f>LN(1.16)</f>
        <v>0.14842000511827322</v>
      </c>
      <c r="H22">
        <f>LN(1.11)</f>
        <v>0.10436001532424286</v>
      </c>
      <c r="I22">
        <f>LN(1.22)</f>
        <v>0.19885085874516517</v>
      </c>
    </row>
    <row r="23" spans="1:9" x14ac:dyDescent="0.2">
      <c r="A23" s="1" t="s">
        <v>27</v>
      </c>
      <c r="B23" s="3">
        <v>0.53200000000000003</v>
      </c>
      <c r="C23" s="3">
        <v>0.441</v>
      </c>
      <c r="D23" s="3">
        <v>0.624</v>
      </c>
      <c r="E23" s="1" t="s">
        <v>19</v>
      </c>
      <c r="F23" s="1"/>
      <c r="G23">
        <v>0.36576979999999998</v>
      </c>
      <c r="H23">
        <v>0.30437069999999999</v>
      </c>
      <c r="I23">
        <v>0.43019550000000001</v>
      </c>
    </row>
    <row r="24" spans="1:9" x14ac:dyDescent="0.2">
      <c r="A24" s="1" t="s">
        <v>33</v>
      </c>
      <c r="B24" s="2">
        <f>LN(1.68)</f>
        <v>0.51879379341516751</v>
      </c>
      <c r="C24" s="2">
        <f>LN(1.36)</f>
        <v>0.30748469974796072</v>
      </c>
      <c r="D24" s="2">
        <f>LN(2.09)</f>
        <v>0.73716406597671957</v>
      </c>
      <c r="E24" t="s">
        <v>19</v>
      </c>
      <c r="G24">
        <f>LN(1.67)</f>
        <v>0.51282362642866375</v>
      </c>
      <c r="H24">
        <f>LN(1.43)</f>
        <v>0.35767444427181588</v>
      </c>
      <c r="I24">
        <f>LN(1.96)</f>
        <v>0.67294447324242579</v>
      </c>
    </row>
    <row r="25" spans="1:9" x14ac:dyDescent="0.2">
      <c r="A25" s="1" t="s">
        <v>34</v>
      </c>
      <c r="B25" s="2">
        <f>LN(1.21)</f>
        <v>0.1906203596086497</v>
      </c>
      <c r="C25" s="2">
        <f>LN(1.04)</f>
        <v>3.9220713153281329E-2</v>
      </c>
      <c r="D25" s="2">
        <f>LN(1.4)</f>
        <v>0.33647223662121289</v>
      </c>
      <c r="E25" t="s">
        <v>19</v>
      </c>
      <c r="G25">
        <f>LN(1.21)</f>
        <v>0.1906203596086497</v>
      </c>
      <c r="H25">
        <f>LN(1.09)</f>
        <v>8.6177696241052412E-2</v>
      </c>
      <c r="I25">
        <f>LN(1.35)</f>
        <v>0.30010459245033816</v>
      </c>
    </row>
    <row r="26" spans="1:9" x14ac:dyDescent="0.2">
      <c r="A26" s="1" t="s">
        <v>35</v>
      </c>
      <c r="B26" s="2">
        <f>LN(1.02)</f>
        <v>1.980262729617973E-2</v>
      </c>
      <c r="C26" s="2">
        <f>LN(0.92)</f>
        <v>-8.3381608939051013E-2</v>
      </c>
      <c r="D26" s="2">
        <f>LN(1.13)</f>
        <v>0.12221763272424911</v>
      </c>
      <c r="E26" t="s">
        <v>19</v>
      </c>
      <c r="G26">
        <f>LN(0.98)</f>
        <v>-2.0202707317519466E-2</v>
      </c>
      <c r="H26">
        <f>LN(0.92)</f>
        <v>-8.3381608939051013E-2</v>
      </c>
      <c r="I26">
        <f>LN(1.06)</f>
        <v>5.8268908123975824E-2</v>
      </c>
    </row>
    <row r="27" spans="1:9" x14ac:dyDescent="0.2">
      <c r="A27" s="1" t="s">
        <v>36</v>
      </c>
      <c r="B27" s="2">
        <f>LN(3.3)</f>
        <v>1.1939224684724346</v>
      </c>
      <c r="C27" s="2">
        <f>LN(2.1)</f>
        <v>0.74193734472937733</v>
      </c>
      <c r="D27" s="2">
        <f>LN(5.18)</f>
        <v>1.6448050562713916</v>
      </c>
      <c r="E27" t="s">
        <v>19</v>
      </c>
      <c r="G27">
        <f>LN(2.33)</f>
        <v>0.84586826757760925</v>
      </c>
      <c r="H27">
        <f>LN(1.6)</f>
        <v>0.47000362924573563</v>
      </c>
      <c r="I27">
        <f>LN(3.41)</f>
        <v>1.2267122912954254</v>
      </c>
    </row>
    <row r="28" spans="1:9" x14ac:dyDescent="0.2">
      <c r="A28" s="1" t="s">
        <v>37</v>
      </c>
      <c r="B28" s="2">
        <f>LN(3.42)</f>
        <v>1.2296405510745139</v>
      </c>
      <c r="C28" s="2">
        <f>LN(2.67)</f>
        <v>0.98207847241215818</v>
      </c>
      <c r="D28" s="2">
        <f>LN(4.38)</f>
        <v>1.4770487243883548</v>
      </c>
      <c r="E28" t="s">
        <v>19</v>
      </c>
      <c r="G28">
        <f>LN(2.53)</f>
        <v>0.92821930273942876</v>
      </c>
      <c r="H28">
        <f>LN(2.05)</f>
        <v>0.71783979315031676</v>
      </c>
      <c r="I28">
        <f>LN(3.11)</f>
        <v>1.1346227261911428</v>
      </c>
    </row>
    <row r="29" spans="1:9" x14ac:dyDescent="0.2">
      <c r="A29" s="1" t="s">
        <v>38</v>
      </c>
      <c r="B29" s="2">
        <f>LN(1.84)</f>
        <v>0.60976557162089429</v>
      </c>
      <c r="C29" s="2">
        <f>LN(1.46)</f>
        <v>0.37843643572024505</v>
      </c>
      <c r="D29" s="2">
        <f>LN(2.32)</f>
        <v>0.84156718567821853</v>
      </c>
      <c r="E29" t="s">
        <v>19</v>
      </c>
      <c r="G29">
        <f>LN(1.55)</f>
        <v>0.43825493093115531</v>
      </c>
      <c r="H29">
        <f>LN(1.3)</f>
        <v>0.26236426446749106</v>
      </c>
      <c r="I29">
        <f>LN(1.85)</f>
        <v>0.61518563909023349</v>
      </c>
    </row>
    <row r="30" spans="1:9" x14ac:dyDescent="0.2">
      <c r="A30" s="1" t="s">
        <v>23</v>
      </c>
      <c r="B30" s="3">
        <v>0.56000000000000005</v>
      </c>
      <c r="C30" s="3">
        <v>0.47599999999999998</v>
      </c>
      <c r="D30" s="3">
        <v>0.64200000000000002</v>
      </c>
      <c r="E30" s="1" t="s">
        <v>19</v>
      </c>
      <c r="F30" s="1"/>
      <c r="G30">
        <f>LN(2.16)</f>
        <v>0.77010822169607374</v>
      </c>
      <c r="H30">
        <f>LN(2.05)</f>
        <v>0.71783979315031676</v>
      </c>
      <c r="I30">
        <f>LN(2.28)</f>
        <v>0.82417544296634937</v>
      </c>
    </row>
    <row r="31" spans="1:9" x14ac:dyDescent="0.2">
      <c r="A31" s="1" t="s">
        <v>24</v>
      </c>
      <c r="B31" s="3">
        <v>0.56499999999999995</v>
      </c>
      <c r="C31" s="3">
        <v>0.495</v>
      </c>
      <c r="D31" s="3">
        <v>0.63700000000000001</v>
      </c>
      <c r="E31" s="1" t="s">
        <v>19</v>
      </c>
      <c r="F31" s="1"/>
      <c r="G31">
        <v>0.36254720000000001</v>
      </c>
      <c r="H31">
        <v>0.30729980000000001</v>
      </c>
      <c r="I31">
        <v>0.41569980000000001</v>
      </c>
    </row>
    <row r="32" spans="1:9" x14ac:dyDescent="0.2">
      <c r="A32" s="1" t="s">
        <v>28</v>
      </c>
      <c r="B32" s="3">
        <v>0.157</v>
      </c>
      <c r="C32" s="3">
        <v>4.9000000000000002E-2</v>
      </c>
      <c r="D32" s="3">
        <v>0.26200000000000001</v>
      </c>
      <c r="E32" s="1" t="s">
        <v>19</v>
      </c>
      <c r="F32" s="1"/>
      <c r="G32">
        <f>LN(1.15)</f>
        <v>0.13976194237515863</v>
      </c>
      <c r="H32">
        <f>LN(1.07)</f>
        <v>6.7658648473814864E-2</v>
      </c>
      <c r="I32">
        <f>LN(1.24)</f>
        <v>0.21511137961694549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coefficients</vt:lpstr>
      <vt:lpstr>coefficients_individual_level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2020-05-09T21:38:30Z</dcterms:created>
  <dcterms:modified xsi:type="dcterms:W3CDTF">2020-09-13T20:16:45Z</dcterms:modified>
</cp:coreProperties>
</file>