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7235" windowHeight="8505" tabRatio="497"/>
  </bookViews>
  <sheets>
    <sheet name="Sheet2" sheetId="2" r:id="rId1"/>
    <sheet name="Sheet1" sheetId="1" r:id="rId2"/>
    <sheet name="Sheet3" sheetId="3" r:id="rId3"/>
  </sheets>
  <definedNames>
    <definedName name="solver_adj" localSheetId="0" hidden="1">Sheet2!$M$22</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Sheet2!$P$22</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45621"/>
</workbook>
</file>

<file path=xl/calcChain.xml><?xml version="1.0" encoding="utf-8"?>
<calcChain xmlns="http://schemas.openxmlformats.org/spreadsheetml/2006/main">
  <c r="L21" i="2" l="1"/>
  <c r="O21" i="2" s="1"/>
  <c r="AJ25" i="2"/>
  <c r="U25" i="2"/>
  <c r="T25" i="2"/>
  <c r="Q25" i="2"/>
  <c r="AB25" i="2" s="1"/>
  <c r="L25" i="2"/>
  <c r="O25" i="2" s="1"/>
  <c r="U16" i="2"/>
  <c r="U17" i="2"/>
  <c r="U18" i="2"/>
  <c r="U19" i="2"/>
  <c r="U20" i="2"/>
  <c r="U21" i="2"/>
  <c r="U22" i="2"/>
  <c r="U23" i="2"/>
  <c r="U24" i="2"/>
  <c r="U26" i="2"/>
  <c r="U27" i="2"/>
  <c r="AJ24" i="2"/>
  <c r="AD24" i="2"/>
  <c r="T24" i="2"/>
  <c r="Q24" i="2"/>
  <c r="AE24" i="2" s="1"/>
  <c r="AC24" i="2" s="1"/>
  <c r="L24" i="2"/>
  <c r="AA24" i="2" s="1"/>
  <c r="R10" i="2"/>
  <c r="R9" i="2"/>
  <c r="L26" i="2"/>
  <c r="AA26" i="2" s="1"/>
  <c r="L17" i="2"/>
  <c r="O17" i="2" s="1"/>
  <c r="L18" i="2"/>
  <c r="O18" i="2" s="1"/>
  <c r="L19" i="2"/>
  <c r="O19" i="2" s="1"/>
  <c r="L20" i="2"/>
  <c r="AA20" i="2" s="1"/>
  <c r="L22" i="2"/>
  <c r="O22" i="2" s="1"/>
  <c r="L23" i="2"/>
  <c r="O23" i="2" s="1"/>
  <c r="L27" i="2"/>
  <c r="AA27" i="2" s="1"/>
  <c r="L16" i="2"/>
  <c r="O16" i="2" s="1"/>
  <c r="AJ27" i="2"/>
  <c r="T27" i="2"/>
  <c r="Q27" i="2"/>
  <c r="AB27" i="2" s="1"/>
  <c r="L9" i="2"/>
  <c r="AD18" i="2" s="1"/>
  <c r="Q19" i="2"/>
  <c r="AB19" i="2" s="1"/>
  <c r="T19" i="2"/>
  <c r="T18" i="2"/>
  <c r="T20" i="2"/>
  <c r="T21" i="2"/>
  <c r="T22" i="2"/>
  <c r="T23" i="2"/>
  <c r="T26" i="2"/>
  <c r="T16" i="2"/>
  <c r="Q18" i="2"/>
  <c r="N18" i="2" s="1"/>
  <c r="Q20" i="2"/>
  <c r="N20" i="2" s="1"/>
  <c r="Q21" i="2"/>
  <c r="X21" i="2" s="1"/>
  <c r="Q22" i="2"/>
  <c r="AE22" i="2" s="1"/>
  <c r="AC22" i="2" s="1"/>
  <c r="Q23" i="2"/>
  <c r="AE23" i="2" s="1"/>
  <c r="AC23" i="2" s="1"/>
  <c r="Q26" i="2"/>
  <c r="AE26" i="2" s="1"/>
  <c r="AC26" i="2" s="1"/>
  <c r="Q16" i="2"/>
  <c r="X16" i="2" s="1"/>
  <c r="O26" i="2" l="1"/>
  <c r="AF25" i="2"/>
  <c r="AK25" i="2" s="1"/>
  <c r="O20" i="2"/>
  <c r="AA21" i="2"/>
  <c r="AF24" i="2"/>
  <c r="AK24" i="2" s="1"/>
  <c r="O24" i="2"/>
  <c r="AD25" i="2"/>
  <c r="O27" i="2"/>
  <c r="R25" i="2"/>
  <c r="S25" i="2" s="1"/>
  <c r="Z25" i="2" s="1"/>
  <c r="N25" i="2"/>
  <c r="P25" i="2" s="1"/>
  <c r="AA25" i="2"/>
  <c r="AE25" i="2"/>
  <c r="AC25" i="2" s="1"/>
  <c r="X25" i="2"/>
  <c r="AB23" i="2"/>
  <c r="AB26" i="2"/>
  <c r="AB16" i="2"/>
  <c r="AB20" i="2"/>
  <c r="AB21" i="2"/>
  <c r="AB22" i="2"/>
  <c r="AA18" i="2"/>
  <c r="AA17" i="2"/>
  <c r="AB18" i="2"/>
  <c r="X24" i="2"/>
  <c r="AB24" i="2"/>
  <c r="N24" i="2"/>
  <c r="P24" i="2" s="1"/>
  <c r="R24" i="2"/>
  <c r="AA23" i="2"/>
  <c r="AA22" i="2"/>
  <c r="AA19" i="2"/>
  <c r="AA16" i="2"/>
  <c r="R16" i="2"/>
  <c r="V16" i="2" s="1"/>
  <c r="R20" i="2"/>
  <c r="V20" i="2" s="1"/>
  <c r="R21" i="2"/>
  <c r="V21" i="2" s="1"/>
  <c r="R22" i="2"/>
  <c r="V22" i="2" s="1"/>
  <c r="R23" i="2"/>
  <c r="V23" i="2" s="1"/>
  <c r="R26" i="2"/>
  <c r="V26" i="2" s="1"/>
  <c r="N26" i="2"/>
  <c r="R27" i="2"/>
  <c r="V27" i="2" s="1"/>
  <c r="N27" i="2"/>
  <c r="R18" i="2"/>
  <c r="V18" i="2" s="1"/>
  <c r="R19" i="2"/>
  <c r="X18" i="2"/>
  <c r="X27" i="2"/>
  <c r="AD27" i="2"/>
  <c r="N19" i="2"/>
  <c r="X22" i="2"/>
  <c r="AF27" i="2"/>
  <c r="AK27" i="2" s="1"/>
  <c r="AE20" i="2"/>
  <c r="AC20" i="2" s="1"/>
  <c r="N23" i="2"/>
  <c r="X20" i="2"/>
  <c r="N16" i="2"/>
  <c r="N22" i="2"/>
  <c r="X23" i="2"/>
  <c r="X19" i="2"/>
  <c r="N21" i="2"/>
  <c r="AE21" i="2"/>
  <c r="AC21" i="2" s="1"/>
  <c r="X26" i="2"/>
  <c r="AE27" i="2"/>
  <c r="AC27" i="2" s="1"/>
  <c r="AE19" i="2"/>
  <c r="AC19" i="2" s="1"/>
  <c r="AE16" i="2"/>
  <c r="AE18" i="2"/>
  <c r="AC18" i="2" s="1"/>
  <c r="AF21" i="2"/>
  <c r="AK21" i="2" s="1"/>
  <c r="AF16" i="2"/>
  <c r="AK16" i="2" s="1"/>
  <c r="AD23" i="2"/>
  <c r="AD19" i="2"/>
  <c r="AJ19" i="2" s="1"/>
  <c r="AF26" i="2"/>
  <c r="AK26" i="2" s="1"/>
  <c r="AF20" i="2"/>
  <c r="AK20" i="2" s="1"/>
  <c r="AD22" i="2"/>
  <c r="AD17" i="2"/>
  <c r="AF23" i="2"/>
  <c r="AK23" i="2" s="1"/>
  <c r="AF18" i="2"/>
  <c r="AK18" i="2" s="1"/>
  <c r="AD21" i="2"/>
  <c r="AJ21" i="2" s="1"/>
  <c r="AD16" i="2"/>
  <c r="AF22" i="2"/>
  <c r="AK22" i="2" s="1"/>
  <c r="AF17" i="2"/>
  <c r="AK17" i="2" s="1"/>
  <c r="AF19" i="2"/>
  <c r="AK19" i="2" s="1"/>
  <c r="AD26" i="2"/>
  <c r="AD20" i="2"/>
  <c r="AJ18" i="2"/>
  <c r="AJ23" i="2"/>
  <c r="AJ17" i="2"/>
  <c r="AJ22" i="2"/>
  <c r="AJ26" i="2"/>
  <c r="AJ20" i="2"/>
  <c r="P18" i="2"/>
  <c r="V25" i="2" l="1"/>
  <c r="W25" i="2" s="1"/>
  <c r="V24" i="2"/>
  <c r="S24" i="2"/>
  <c r="Z24" i="2" s="1"/>
  <c r="P16" i="2"/>
  <c r="P19" i="2"/>
  <c r="P21" i="2"/>
  <c r="P27" i="2"/>
  <c r="S27" i="2"/>
  <c r="Z27" i="2" s="1"/>
  <c r="Y27" i="2" s="1"/>
  <c r="S19" i="2"/>
  <c r="Z19" i="2" s="1"/>
  <c r="V19" i="2"/>
  <c r="W19" i="2" s="1"/>
  <c r="S21" i="2"/>
  <c r="Z21" i="2" s="1"/>
  <c r="S16" i="2"/>
  <c r="Z16" i="2" s="1"/>
  <c r="S18" i="2"/>
  <c r="Z18" i="2" s="1"/>
  <c r="W27" i="2"/>
  <c r="AI16" i="2"/>
  <c r="AJ16" i="2" s="1"/>
  <c r="AG16" i="2"/>
  <c r="AC16" i="2"/>
  <c r="B78" i="2"/>
  <c r="C87" i="2" s="1"/>
  <c r="B80" i="2"/>
  <c r="B83" i="2" s="1"/>
  <c r="Y25" i="2" l="1"/>
  <c r="W24" i="2"/>
  <c r="Y24" i="2"/>
  <c r="Y19" i="2"/>
  <c r="S26" i="2"/>
  <c r="Z26" i="2" s="1"/>
  <c r="W16" i="2"/>
  <c r="Y16" i="2"/>
  <c r="Y21" i="2"/>
  <c r="W21" i="2"/>
  <c r="S22" i="2"/>
  <c r="Z22" i="2" s="1"/>
  <c r="Y18" i="2"/>
  <c r="W18" i="2"/>
  <c r="S23" i="2"/>
  <c r="Z23" i="2" s="1"/>
  <c r="P20" i="2"/>
  <c r="D87" i="2"/>
  <c r="P23" i="2"/>
  <c r="P22" i="2"/>
  <c r="P26" i="2"/>
  <c r="B87" i="2"/>
  <c r="B88" i="2" s="1"/>
  <c r="A34" i="1"/>
  <c r="A33" i="1"/>
  <c r="G34" i="1"/>
  <c r="D9" i="1"/>
  <c r="B9" i="1"/>
  <c r="D4" i="1"/>
  <c r="B4" i="1"/>
  <c r="D22" i="1"/>
  <c r="B22" i="1"/>
  <c r="D17" i="1"/>
  <c r="B17" i="1"/>
  <c r="D36" i="1"/>
  <c r="B36" i="1"/>
  <c r="D28" i="1"/>
  <c r="D31" i="1" s="1"/>
  <c r="B31" i="1"/>
  <c r="F28" i="1"/>
  <c r="A17" i="1"/>
  <c r="A4" i="1"/>
  <c r="G31" i="1"/>
  <c r="G17" i="1"/>
  <c r="G29" i="1"/>
  <c r="G20" i="1"/>
  <c r="G15" i="1"/>
  <c r="D1" i="1"/>
  <c r="D8" i="1"/>
  <c r="D14" i="1"/>
  <c r="D21" i="1" s="1"/>
  <c r="D25" i="1" s="1"/>
  <c r="B8" i="1"/>
  <c r="B12" i="1" s="1"/>
  <c r="B21" i="1"/>
  <c r="B25" i="1" s="1"/>
  <c r="D34" i="1"/>
  <c r="B34" i="1"/>
  <c r="B38" i="1" s="1"/>
  <c r="D7" i="1"/>
  <c r="B7" i="1"/>
  <c r="G24" i="1"/>
  <c r="D20" i="1"/>
  <c r="D24" i="1" s="1"/>
  <c r="B20" i="1"/>
  <c r="G2" i="1"/>
  <c r="G4" i="1" s="1"/>
  <c r="D11" i="1"/>
  <c r="W23" i="2" l="1"/>
  <c r="Y23" i="2"/>
  <c r="Y26" i="2"/>
  <c r="W26" i="2"/>
  <c r="S20" i="2"/>
  <c r="Z20" i="2" s="1"/>
  <c r="Y22" i="2"/>
  <c r="W22" i="2"/>
  <c r="D35" i="1"/>
  <c r="A31" i="1"/>
  <c r="B35" i="1"/>
  <c r="B39" i="1" s="1"/>
  <c r="D39" i="1"/>
  <c r="D38" i="1"/>
  <c r="G38" i="1" s="1"/>
  <c r="G25" i="1"/>
  <c r="J25" i="1" s="1"/>
  <c r="B24" i="1"/>
  <c r="B11" i="1"/>
  <c r="G11" i="1" s="1"/>
  <c r="D12" i="1"/>
  <c r="G12" i="1" s="1"/>
  <c r="J12" i="1" s="1"/>
  <c r="G7" i="1"/>
  <c r="W20" i="2" l="1"/>
  <c r="Y20" i="2"/>
  <c r="G39" i="1"/>
  <c r="J39" i="1" s="1"/>
  <c r="T17" i="2"/>
  <c r="Q17" i="2"/>
  <c r="N17" i="2" l="1"/>
  <c r="P17" i="2" s="1"/>
  <c r="AB17" i="2"/>
  <c r="X17" i="2"/>
  <c r="R17" i="2"/>
  <c r="V17" i="2" s="1"/>
  <c r="AE17" i="2"/>
  <c r="AC17" i="2" s="1"/>
  <c r="S17" i="2" l="1"/>
  <c r="Z17" i="2" s="1"/>
  <c r="Y17" i="2" s="1"/>
  <c r="W17" i="2"/>
</calcChain>
</file>

<file path=xl/sharedStrings.xml><?xml version="1.0" encoding="utf-8"?>
<sst xmlns="http://schemas.openxmlformats.org/spreadsheetml/2006/main" count="196" uniqueCount="142">
  <si>
    <t>Expected output voltage</t>
  </si>
  <si>
    <t>Actual output voltage</t>
  </si>
  <si>
    <t>Actual output voltage (GND)</t>
  </si>
  <si>
    <t>Expected output voltage diff</t>
  </si>
  <si>
    <t>Input diff</t>
  </si>
  <si>
    <t>Actual output voltage (GND) (ADJ)</t>
  </si>
  <si>
    <t>Actual Gain (GND)</t>
  </si>
  <si>
    <t>Actual Gain (GND) (ADJ)</t>
  </si>
  <si>
    <t>@vRef=4.9, Vhdd2-GND=5.39</t>
  </si>
  <si>
    <t>vRef=5.39v(vhdd_2)</t>
  </si>
  <si>
    <t>As %</t>
  </si>
  <si>
    <t>TEST: INPUT can be +/- 2V</t>
  </si>
  <si>
    <t>Actual output voltage diff</t>
  </si>
  <si>
    <t>vRef ADJ =&gt;</t>
  </si>
  <si>
    <t>Gain =&gt;</t>
  </si>
  <si>
    <r>
      <t>Input voltage</t>
    </r>
    <r>
      <rPr>
        <sz val="11"/>
        <color theme="1"/>
        <rFont val="Calibri"/>
        <family val="2"/>
        <scheme val="minor"/>
      </rPr>
      <t xml:space="preserve"> (V_dd1=5.007V)</t>
    </r>
  </si>
  <si>
    <t>4.41/2+ (.15*(4.41/.512))</t>
  </si>
  <si>
    <t>@vRef=4.383, Vhdd2-GND=5.39</t>
  </si>
  <si>
    <t>Diff from expected</t>
  </si>
  <si>
    <t>TEST: Dedicated different 5V source. Try it up to 12V. Swap them and try to 30V.</t>
  </si>
  <si>
    <t>Feedforward Current</t>
  </si>
  <si>
    <t>Input voltage</t>
  </si>
  <si>
    <t>V</t>
  </si>
  <si>
    <t>BE_1</t>
  </si>
  <si>
    <t>R1</t>
  </si>
  <si>
    <t>Ohms</t>
  </si>
  <si>
    <t>K2</t>
  </si>
  <si>
    <t>K1</t>
  </si>
  <si>
    <t>uA</t>
  </si>
  <si>
    <t>Output Voltage</t>
  </si>
  <si>
    <t>R3</t>
  </si>
  <si>
    <t>BE_3</t>
  </si>
  <si>
    <t>Base_3</t>
  </si>
  <si>
    <t>Output Voltage(2)</t>
  </si>
  <si>
    <t>K3</t>
  </si>
  <si>
    <t>Base_1</t>
  </si>
  <si>
    <t>Input Voltage</t>
  </si>
  <si>
    <t>LED Current (mA)</t>
  </si>
  <si>
    <t>Q1 Base Current (uA)</t>
  </si>
  <si>
    <t>Excess Current (uA)</t>
  </si>
  <si>
    <t>Total Current (uA)</t>
  </si>
  <si>
    <t>Q1_V_BE</t>
  </si>
  <si>
    <t>Led_Drop</t>
  </si>
  <si>
    <t>Use Excel Solver to Determine Base-Current By Minimising Excess-Current</t>
  </si>
  <si>
    <t>Q2_V_BE</t>
  </si>
  <si>
    <t>Q1_hFE</t>
  </si>
  <si>
    <t>Q2_hFE</t>
  </si>
  <si>
    <t>Q2_I_B (uA)</t>
  </si>
  <si>
    <t>Q2_I_B current must be &gt; 5uA, Q1's collector-base cut-off current</t>
  </si>
  <si>
    <t xml:space="preserve"> </t>
  </si>
  <si>
    <t>(to .72) V</t>
  </si>
  <si>
    <t>Transmitter Side</t>
  </si>
  <si>
    <t>Receiver Side</t>
  </si>
  <si>
    <t>Q1_V_C&amp;Q2_V_B</t>
  </si>
  <si>
    <t>Q1_V_C voltage must be &gt; 0.90, Q1's Base-Emitter Saturation Voltage, for Active Mode</t>
  </si>
  <si>
    <t>V_Drop @ 150k</t>
  </si>
  <si>
    <t>V_Pin 5-6</t>
  </si>
  <si>
    <t>I_B3 (uA)</t>
  </si>
  <si>
    <t>X-FF Current (uA)</t>
  </si>
  <si>
    <t>X-FF Voltage 2</t>
  </si>
  <si>
    <t>KVL_1 Diff</t>
  </si>
  <si>
    <t>KVL_2 Diff</t>
  </si>
  <si>
    <t>V_Drop @ Alpha1'</t>
  </si>
  <si>
    <t>Android Voltage</t>
  </si>
  <si>
    <t>Alpha2 Resistor</t>
  </si>
  <si>
    <t>103mV -&gt; 2.2mV (10/470)</t>
  </si>
  <si>
    <t>154mV -&gt; 2.2mV output, 10mA current through R@15Ohms, 11mA current through Vdd1 (15/470)</t>
  </si>
  <si>
    <t xml:space="preserve">NO INPUT -&gt; 2.2mV </t>
  </si>
  <si>
    <t>vRef=5v(vhdd_2)</t>
  </si>
  <si>
    <t>15/470 (154mV)</t>
  </si>
  <si>
    <t>no input (floating)</t>
  </si>
  <si>
    <t>= +92mV vhdd_2 -&gt; vout (so 5v-.092= ~4.9V )</t>
  </si>
  <si>
    <t>input connected</t>
  </si>
  <si>
    <t>= 1.16V</t>
  </si>
  <si>
    <t>input to ground</t>
  </si>
  <si>
    <t xml:space="preserve">= 2.7V </t>
  </si>
  <si>
    <t>10/470 (104mV)</t>
  </si>
  <si>
    <t>= +1.725V - 1.689 (constantly fluctuating)</t>
  </si>
  <si>
    <t>@vRef=4.9 (680/6800 divider)</t>
  </si>
  <si>
    <t>Vhdd2-GND = 5.39</t>
  </si>
  <si>
    <t>but off = 2.42V</t>
  </si>
  <si>
    <t xml:space="preserve">        = 1.99V</t>
  </si>
  <si>
    <t>= 2.33V (minimal fluctuation, +/- 2mV)</t>
  </si>
  <si>
    <t>@vRef=4.38 (1500/6800 divider (theoretical=4.42))</t>
  </si>
  <si>
    <t>but off = 2.16V</t>
  </si>
  <si>
    <t xml:space="preserve">        = 2.34V</t>
  </si>
  <si>
    <t>= 2.66V</t>
  </si>
  <si>
    <t>il300-with-self-feedback</t>
  </si>
  <si>
    <t>1.22, transmitter main</t>
  </si>
  <si>
    <t>0.539, transmitter feedback</t>
  </si>
  <si>
    <t>*Receiver with same src of 5V*</t>
  </si>
  <si>
    <t xml:space="preserve">0.398@4.4v input </t>
  </si>
  <si>
    <t>0.412 @6.4V input</t>
  </si>
  <si>
    <t>0.425 @8.49v input)</t>
  </si>
  <si>
    <t>*with another 5.4v src on receiver*</t>
  </si>
  <si>
    <t xml:space="preserve"> 38.3 uA@R3</t>
  </si>
  <si>
    <t>5.39 output @ 10.44v input - 39 uA@R3, 8.2mA into pin 2 (Pin 1-&gt;2 voltage drop=1.26V, 5-&gt;6=0.38V), 38.2uA into pin 6</t>
  </si>
  <si>
    <t>5.39 output @ 8.51v input  - 38 uA@R3, 53 uA@R1, 6.6mA into pin 2 (1-&gt;2 VD=1.24V, 5-&gt;6=0.364V), 38.1uA into pin 6</t>
  </si>
  <si>
    <t>5.39 output @ 6.4v input   - 37.1 uA@R3 , 5.1mA into pin 2 (1-&gt;2 VD=1.235V, 5-&gt;6=0.318), 37uA into pin 6</t>
  </si>
  <si>
    <t xml:space="preserve">5.39 output @ 4.68v input , 3.5mA into pin 2 </t>
  </si>
  <si>
    <t>0.92 output @ 0v input</t>
  </si>
  <si>
    <t>* with 10.11v src receiver</t>
  </si>
  <si>
    <t xml:space="preserve">10.09V output @ 10.44v input </t>
  </si>
  <si>
    <t xml:space="preserve">10.09V output @ 8.5v input </t>
  </si>
  <si>
    <t>8.3V output @ 6.6v input, 39.6uA into T1 base, 29uA into T2 base, 5.0mA into pin 2 (Pin2-&gt;1=1.23V,   )</t>
  </si>
  <si>
    <t>6.2V output @ 4.68v input</t>
  </si>
  <si>
    <r>
      <rPr>
        <b/>
        <sz val="11"/>
        <color rgb="FFFF0000"/>
        <rFont val="Calibri"/>
        <family val="2"/>
        <scheme val="minor"/>
      </rPr>
      <t xml:space="preserve">REDUNDANT PAGE                      </t>
    </r>
    <r>
      <rPr>
        <sz val="11"/>
        <color rgb="FFFF0000"/>
        <rFont val="Calibri"/>
        <family val="2"/>
        <scheme val="minor"/>
      </rPr>
      <t>THIS SHEET WAS FOR OPTOCOUPLER READING WITH ANOTHER 5V SRC ON PV RECEIVING SIDE LIKE MOST OPTOCOUPLER CIRCUITS ARE BUT NOT DOING THIS AS DOESN'T TRULY ISOLATE PV SUPPLY FROM MODULE</t>
    </r>
  </si>
  <si>
    <t>This doesn't require another dedicated power supply on Input so going with this approach for Optocoupler</t>
  </si>
  <si>
    <t>http://e-rokodelnica.si/A004/A004_EN.html#Naslov_NaZacetek</t>
  </si>
  <si>
    <t>https://www.edn.com/signal-powered-linear-optocoupler-provides-isolated-control-signal/</t>
  </si>
  <si>
    <t>Max voltage drop at LED is 1.25V so rest is dropped across PNP</t>
  </si>
  <si>
    <t>BJT drops should be &lt;&lt; 40V and Power Dissipation with temperature derating=500-(4*25)=400mW and 250mW (PNP)</t>
  </si>
  <si>
    <t>Safety</t>
  </si>
  <si>
    <t>LED_PWR (mW)</t>
  </si>
  <si>
    <t>Q2 Pwr (mW)</t>
  </si>
  <si>
    <t>Q1_Pwr (mW)</t>
  </si>
  <si>
    <t>Q2 V_Drop</t>
  </si>
  <si>
    <t>LED_PWR must be &lt; 150mW, LED_Current &lt; 50mA</t>
  </si>
  <si>
    <t>R2</t>
  </si>
  <si>
    <t>V_Drop @ R2</t>
  </si>
  <si>
    <t>K2 Min</t>
  </si>
  <si>
    <t>K2 Max</t>
  </si>
  <si>
    <t>Bin-H Middle</t>
  </si>
  <si>
    <t>(0.851 to 0.955, 0.90 Middle, +/-6% Change - Band E)</t>
  </si>
  <si>
    <t>Current value for Class H one (Can be .006 to .017)</t>
  </si>
  <si>
    <t>Current value for Class H</t>
  </si>
  <si>
    <t>FB Current(uA)</t>
  </si>
  <si>
    <t>V_Drop @ R1</t>
  </si>
  <si>
    <t>Resistors should have &lt; 1/8W power (220 Ohm@50mA LED current =&gt; 0.55W, 150k Ohm@394uA=&gt;23mW) and &lt;200V</t>
  </si>
  <si>
    <t>R2_Pwr (W)</t>
  </si>
  <si>
    <t>R1_Pwr (W)</t>
  </si>
  <si>
    <t>IL300_Fb_Drop</t>
  </si>
  <si>
    <t>Q2_E_Max(mA)</t>
  </si>
  <si>
    <t>Q2_E_Max should be &gt; LED_Current, so can be limited to LED_Current by the BJTs</t>
  </si>
  <si>
    <t>Large capacitor should go somewhere wrt PV input alongside C1 and small one near V_F as per diagram</t>
  </si>
  <si>
    <t>Q1 V_CB</t>
  </si>
  <si>
    <t>~0</t>
  </si>
  <si>
    <t>Actual Readings</t>
  </si>
  <si>
    <t>FF Current @ K2 (uA)</t>
  </si>
  <si>
    <t>Simple Receiver</t>
  </si>
  <si>
    <t>Ohms (4700+6800)</t>
  </si>
  <si>
    <t>Put this on Schematic now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</si>
</sst>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b/>
      <i/>
      <u/>
      <sz val="11"/>
      <color theme="1"/>
      <name val="Calibri"/>
      <family val="2"/>
      <scheme val="minor"/>
    </font>
    <font>
      <u/>
      <sz val="11"/>
      <color theme="10"/>
      <name val="Calibri"/>
      <family val="2"/>
      <scheme val="minor"/>
    </font>
    <font>
      <b/>
      <sz val="11"/>
      <color theme="0" tint="-0.499984740745262"/>
      <name val="Calibri"/>
      <family val="2"/>
      <scheme val="minor"/>
    </font>
    <font>
      <sz val="11"/>
      <color theme="0" tint="-0.499984740745262"/>
      <name val="Calibri"/>
      <family val="2"/>
      <scheme val="minor"/>
    </font>
    <font>
      <b/>
      <u/>
      <sz val="11"/>
      <color theme="1"/>
      <name val="Calibri"/>
      <family val="2"/>
      <scheme val="minor"/>
    </font>
    <font>
      <sz val="11"/>
      <color rgb="FF0070C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theme="6"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70">
    <xf numFmtId="0" fontId="0" fillId="0" borderId="0" xfId="0"/>
    <xf numFmtId="2" fontId="1" fillId="0" borderId="0" xfId="0" quotePrefix="1" applyNumberFormat="1" applyFont="1"/>
    <xf numFmtId="2" fontId="0" fillId="0" borderId="0" xfId="0" applyNumberFormat="1"/>
    <xf numFmtId="2" fontId="1" fillId="0" borderId="0" xfId="0" applyNumberFormat="1" applyFont="1"/>
    <xf numFmtId="2" fontId="2" fillId="0" borderId="0" xfId="0" applyNumberFormat="1" applyFont="1"/>
    <xf numFmtId="2" fontId="0" fillId="0" borderId="0" xfId="0" quotePrefix="1" applyNumberFormat="1"/>
    <xf numFmtId="2" fontId="3" fillId="0" borderId="0" xfId="0" applyNumberFormat="1" applyFont="1"/>
    <xf numFmtId="164" fontId="0" fillId="0" borderId="0" xfId="0" applyNumberFormat="1"/>
    <xf numFmtId="0" fontId="4" fillId="0" borderId="0" xfId="0" applyFont="1"/>
    <xf numFmtId="0" fontId="5" fillId="0" borderId="0" xfId="0" applyFont="1"/>
    <xf numFmtId="0" fontId="1" fillId="0" borderId="0" xfId="0" applyFont="1"/>
    <xf numFmtId="0" fontId="3" fillId="0" borderId="0" xfId="0" applyFont="1"/>
    <xf numFmtId="0" fontId="0" fillId="0" borderId="1" xfId="0" applyBorder="1"/>
    <xf numFmtId="0" fontId="0" fillId="0" borderId="2" xfId="0" applyBorder="1"/>
    <xf numFmtId="0" fontId="2" fillId="0" borderId="2" xfId="0" applyFont="1" applyBorder="1"/>
    <xf numFmtId="0" fontId="0" fillId="0" borderId="3" xfId="0" applyBorder="1"/>
    <xf numFmtId="0" fontId="0" fillId="0" borderId="4" xfId="0" applyBorder="1"/>
    <xf numFmtId="0" fontId="0" fillId="0" borderId="0" xfId="0" applyBorder="1"/>
    <xf numFmtId="0" fontId="2" fillId="0" borderId="0" xfId="0" applyFont="1" applyBorder="1"/>
    <xf numFmtId="0" fontId="0" fillId="0" borderId="5" xfId="0" applyBorder="1"/>
    <xf numFmtId="0" fontId="1" fillId="2" borderId="0" xfId="0" applyFont="1" applyFill="1" applyBorder="1" applyAlignment="1">
      <alignment horizontal="center"/>
    </xf>
    <xf numFmtId="0" fontId="1" fillId="0" borderId="4" xfId="0" applyFont="1" applyBorder="1"/>
    <xf numFmtId="0" fontId="1" fillId="0" borderId="0" xfId="0" applyFont="1" applyBorder="1"/>
    <xf numFmtId="0" fontId="8" fillId="0" borderId="0" xfId="0" applyFont="1" applyBorder="1"/>
    <xf numFmtId="0" fontId="1" fillId="0" borderId="5" xfId="0" applyFont="1" applyBorder="1"/>
    <xf numFmtId="0" fontId="7" fillId="3" borderId="0" xfId="1" applyFill="1"/>
    <xf numFmtId="0" fontId="0" fillId="3" borderId="0" xfId="0" applyFill="1"/>
    <xf numFmtId="0" fontId="2" fillId="0" borderId="0" xfId="0" applyFont="1" applyFill="1" applyBorder="1"/>
    <xf numFmtId="0" fontId="0" fillId="0" borderId="0" xfId="0" applyFill="1" applyBorder="1"/>
    <xf numFmtId="0" fontId="3" fillId="0" borderId="0" xfId="0" applyFont="1" applyAlignment="1">
      <alignment horizontal="right"/>
    </xf>
    <xf numFmtId="0" fontId="1" fillId="3" borderId="0" xfId="0" applyFont="1" applyFill="1" applyBorder="1" applyAlignment="1">
      <alignment horizontal="center"/>
    </xf>
    <xf numFmtId="0" fontId="1" fillId="7" borderId="0" xfId="0" applyFont="1" applyFill="1" applyBorder="1" applyAlignment="1">
      <alignment horizontal="center"/>
    </xf>
    <xf numFmtId="0" fontId="1" fillId="0" borderId="0" xfId="0" applyFont="1" applyFill="1" applyBorder="1"/>
    <xf numFmtId="0" fontId="0" fillId="0" borderId="4" xfId="0" applyFill="1" applyBorder="1"/>
    <xf numFmtId="0" fontId="4" fillId="0" borderId="0" xfId="0" applyFont="1" applyFill="1" applyBorder="1"/>
    <xf numFmtId="0" fontId="0" fillId="0" borderId="0" xfId="0" applyFill="1"/>
    <xf numFmtId="0" fontId="9" fillId="0" borderId="0" xfId="0" applyFont="1" applyFill="1" applyBorder="1"/>
    <xf numFmtId="0" fontId="0" fillId="0" borderId="5" xfId="0" applyFill="1" applyBorder="1"/>
    <xf numFmtId="0" fontId="5" fillId="0" borderId="4" xfId="0" applyFont="1" applyFill="1" applyBorder="1"/>
    <xf numFmtId="0" fontId="5" fillId="0" borderId="0" xfId="0" applyFont="1" applyFill="1" applyBorder="1"/>
    <xf numFmtId="0" fontId="5" fillId="0" borderId="0" xfId="0" applyFont="1" applyFill="1"/>
    <xf numFmtId="0" fontId="5" fillId="0" borderId="5" xfId="0" applyFont="1" applyFill="1" applyBorder="1"/>
    <xf numFmtId="0" fontId="5" fillId="0" borderId="7" xfId="0" applyFont="1" applyFill="1" applyBorder="1"/>
    <xf numFmtId="0" fontId="5" fillId="0" borderId="8" xfId="0" applyFont="1" applyFill="1" applyBorder="1"/>
    <xf numFmtId="0" fontId="10" fillId="0" borderId="0" xfId="0" applyFont="1"/>
    <xf numFmtId="0" fontId="3" fillId="0" borderId="0" xfId="0" applyFont="1" applyFill="1" applyAlignment="1">
      <alignment horizontal="right"/>
    </xf>
    <xf numFmtId="0" fontId="11" fillId="0" borderId="0" xfId="0" applyFont="1" applyFill="1" applyBorder="1"/>
    <xf numFmtId="0" fontId="6" fillId="0" borderId="4" xfId="0" applyFont="1" applyBorder="1" applyAlignment="1">
      <alignment horizontal="right"/>
    </xf>
    <xf numFmtId="0" fontId="0" fillId="0" borderId="0" xfId="0" applyFont="1" applyBorder="1"/>
    <xf numFmtId="0" fontId="5" fillId="0" borderId="0" xfId="0" applyFont="1" applyBorder="1"/>
    <xf numFmtId="0" fontId="4" fillId="0" borderId="0" xfId="0" applyFont="1" applyBorder="1"/>
    <xf numFmtId="0" fontId="0" fillId="0" borderId="6" xfId="0" applyBorder="1"/>
    <xf numFmtId="0" fontId="0" fillId="0" borderId="7" xfId="0" applyBorder="1"/>
    <xf numFmtId="0" fontId="0" fillId="0" borderId="8" xfId="0" applyBorder="1"/>
    <xf numFmtId="0" fontId="1" fillId="7" borderId="0" xfId="0" applyFont="1" applyFill="1" applyBorder="1" applyAlignment="1">
      <alignment horizontal="center"/>
    </xf>
    <xf numFmtId="0" fontId="1" fillId="6" borderId="0"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3" borderId="0" xfId="0" applyFont="1" applyFill="1" applyAlignment="1">
      <alignment horizontal="center"/>
    </xf>
    <xf numFmtId="0" fontId="1" fillId="3" borderId="4" xfId="0" applyFont="1" applyFill="1" applyBorder="1" applyAlignment="1">
      <alignment horizontal="center"/>
    </xf>
    <xf numFmtId="0" fontId="1" fillId="3" borderId="0" xfId="0" applyFont="1" applyFill="1" applyBorder="1" applyAlignment="1">
      <alignment horizontal="center"/>
    </xf>
    <xf numFmtId="2" fontId="4" fillId="5" borderId="1" xfId="0" applyNumberFormat="1" applyFont="1" applyFill="1" applyBorder="1" applyAlignment="1">
      <alignment horizontal="center" wrapText="1"/>
    </xf>
    <xf numFmtId="2" fontId="4" fillId="5" borderId="2" xfId="0" applyNumberFormat="1" applyFont="1" applyFill="1" applyBorder="1" applyAlignment="1">
      <alignment horizontal="center" wrapText="1"/>
    </xf>
    <xf numFmtId="2" fontId="4" fillId="5" borderId="3" xfId="0" applyNumberFormat="1" applyFont="1" applyFill="1" applyBorder="1" applyAlignment="1">
      <alignment horizontal="center" wrapText="1"/>
    </xf>
    <xf numFmtId="2" fontId="4" fillId="5" borderId="4" xfId="0" applyNumberFormat="1" applyFont="1" applyFill="1" applyBorder="1" applyAlignment="1">
      <alignment horizontal="center" wrapText="1"/>
    </xf>
    <xf numFmtId="2" fontId="4" fillId="5" borderId="0" xfId="0" applyNumberFormat="1" applyFont="1" applyFill="1" applyBorder="1" applyAlignment="1">
      <alignment horizontal="center" wrapText="1"/>
    </xf>
    <xf numFmtId="2" fontId="4" fillId="5" borderId="5" xfId="0" applyNumberFormat="1" applyFont="1" applyFill="1" applyBorder="1" applyAlignment="1">
      <alignment horizontal="center" wrapText="1"/>
    </xf>
    <xf numFmtId="2" fontId="4" fillId="5" borderId="6" xfId="0" applyNumberFormat="1" applyFont="1" applyFill="1" applyBorder="1" applyAlignment="1">
      <alignment horizontal="center" wrapText="1"/>
    </xf>
    <xf numFmtId="2" fontId="4" fillId="5" borderId="7" xfId="0" applyNumberFormat="1" applyFont="1" applyFill="1" applyBorder="1" applyAlignment="1">
      <alignment horizontal="center" wrapText="1"/>
    </xf>
    <xf numFmtId="2" fontId="4" fillId="5" borderId="8" xfId="0" applyNumberFormat="1"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400050</xdr:colOff>
      <xdr:row>77</xdr:row>
      <xdr:rowOff>85725</xdr:rowOff>
    </xdr:from>
    <xdr:to>
      <xdr:col>9</xdr:col>
      <xdr:colOff>476250</xdr:colOff>
      <xdr:row>79</xdr:row>
      <xdr:rowOff>104775</xdr:rowOff>
    </xdr:to>
    <xdr:pic>
      <xdr:nvPicPr>
        <xdr:cNvPr id="2" name="Picture 1" descr="https://www.edn.com/wp-content/uploads/media-1126416-266393-14di3eq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0" y="1771650"/>
          <a:ext cx="25146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82</xdr:row>
      <xdr:rowOff>9525</xdr:rowOff>
    </xdr:from>
    <xdr:to>
      <xdr:col>9</xdr:col>
      <xdr:colOff>123825</xdr:colOff>
      <xdr:row>83</xdr:row>
      <xdr:rowOff>47625</xdr:rowOff>
    </xdr:to>
    <xdr:pic>
      <xdr:nvPicPr>
        <xdr:cNvPr id="3" name="Picture 2" descr="https://www.edn.com/wp-content/uploads/media-1126418-267001-14di3eq8.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1905000"/>
          <a:ext cx="17716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219075</xdr:colOff>
      <xdr:row>85</xdr:row>
      <xdr:rowOff>114300</xdr:rowOff>
    </xdr:from>
    <xdr:to>
      <xdr:col>9</xdr:col>
      <xdr:colOff>600075</xdr:colOff>
      <xdr:row>88</xdr:row>
      <xdr:rowOff>9525</xdr:rowOff>
    </xdr:to>
    <xdr:pic>
      <xdr:nvPicPr>
        <xdr:cNvPr id="4" name="Picture 3" descr="https://www.edn.com/wp-content/uploads/media-1126420-267040-14di3eq10.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5" y="3324225"/>
          <a:ext cx="34290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411816</xdr:colOff>
      <xdr:row>5</xdr:row>
      <xdr:rowOff>172010</xdr:rowOff>
    </xdr:from>
    <xdr:to>
      <xdr:col>6</xdr:col>
      <xdr:colOff>583826</xdr:colOff>
      <xdr:row>23</xdr:row>
      <xdr:rowOff>127747</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1816" y="1124510"/>
          <a:ext cx="5239310" cy="3356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dn.com/signal-powered-linear-optocoupler-provides-isolated-control-signal/" TargetMode="External"/><Relationship Id="rId1" Type="http://schemas.openxmlformats.org/officeDocument/2006/relationships/hyperlink" Target="http://e-rokodelnica.si/A004/A004_EN.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8"/>
  <sheetViews>
    <sheetView tabSelected="1" topLeftCell="J1" zoomScale="85" zoomScaleNormal="85" workbookViewId="0">
      <selection activeCell="N27" sqref="N27"/>
    </sheetView>
  </sheetViews>
  <sheetFormatPr defaultRowHeight="15" x14ac:dyDescent="0.25"/>
  <cols>
    <col min="1" max="1" width="19.85546875" bestFit="1" customWidth="1"/>
    <col min="2" max="2" width="16.7109375" bestFit="1" customWidth="1"/>
    <col min="4" max="4" width="12" bestFit="1" customWidth="1"/>
    <col min="10" max="10" width="10.28515625" customWidth="1"/>
    <col min="11" max="11" width="13.7109375" bestFit="1" customWidth="1"/>
    <col min="12" max="12" width="17.28515625" bestFit="1" customWidth="1"/>
    <col min="13" max="13" width="20.140625" bestFit="1" customWidth="1"/>
    <col min="14" max="14" width="14.7109375" bestFit="1" customWidth="1"/>
    <col min="15" max="15" width="14.7109375" customWidth="1"/>
    <col min="16" max="16" width="18.42578125" customWidth="1"/>
    <col min="17" max="17" width="16" customWidth="1"/>
    <col min="18" max="18" width="13" customWidth="1"/>
    <col min="19" max="19" width="16.28515625" customWidth="1"/>
    <col min="20" max="20" width="15.42578125" bestFit="1" customWidth="1"/>
    <col min="21" max="21" width="15" customWidth="1"/>
    <col min="22" max="23" width="15.85546875" bestFit="1" customWidth="1"/>
    <col min="24" max="24" width="19.28515625" bestFit="1" customWidth="1"/>
    <col min="25" max="25" width="16.42578125" bestFit="1" customWidth="1"/>
    <col min="26" max="26" width="15.85546875" bestFit="1" customWidth="1"/>
    <col min="27" max="27" width="15.5703125" bestFit="1" customWidth="1"/>
    <col min="28" max="28" width="15.5703125" customWidth="1"/>
    <col min="29" max="29" width="18" customWidth="1"/>
    <col min="30" max="30" width="14.5703125" bestFit="1" customWidth="1"/>
    <col min="31" max="31" width="27.42578125" customWidth="1"/>
    <col min="32" max="32" width="11.7109375" bestFit="1" customWidth="1"/>
    <col min="33" max="33" width="14.7109375" bestFit="1" customWidth="1"/>
    <col min="34" max="34" width="12" bestFit="1" customWidth="1"/>
    <col min="35" max="35" width="15.42578125" customWidth="1"/>
    <col min="37" max="37" width="12" bestFit="1" customWidth="1"/>
  </cols>
  <sheetData>
    <row r="1" spans="1:38" x14ac:dyDescent="0.25">
      <c r="A1" s="58" t="s">
        <v>107</v>
      </c>
      <c r="B1" s="58"/>
      <c r="C1" s="58"/>
      <c r="D1" s="58"/>
      <c r="E1" s="58"/>
      <c r="F1" s="58"/>
      <c r="G1" s="58"/>
      <c r="H1" s="58"/>
      <c r="J1" s="11"/>
      <c r="K1" s="12" t="s">
        <v>41</v>
      </c>
      <c r="L1" s="13">
        <v>5</v>
      </c>
      <c r="M1" s="13" t="s">
        <v>50</v>
      </c>
      <c r="N1" s="13"/>
      <c r="O1" s="13"/>
      <c r="P1" s="14" t="s">
        <v>54</v>
      </c>
      <c r="Q1" s="13"/>
      <c r="R1" s="13"/>
      <c r="S1" s="13"/>
      <c r="T1" s="13"/>
      <c r="U1" s="13"/>
      <c r="V1" s="13"/>
      <c r="W1" s="13"/>
      <c r="X1" s="13"/>
      <c r="Y1" s="13"/>
      <c r="Z1" s="13"/>
      <c r="AC1" s="13" t="s">
        <v>63</v>
      </c>
      <c r="AD1" s="13">
        <v>5.4</v>
      </c>
      <c r="AE1" s="13" t="s">
        <v>22</v>
      </c>
      <c r="AF1" s="13"/>
      <c r="AG1" s="13"/>
      <c r="AH1" s="13"/>
      <c r="AI1" s="13"/>
      <c r="AJ1" s="13"/>
      <c r="AK1" s="15"/>
    </row>
    <row r="2" spans="1:38" x14ac:dyDescent="0.25">
      <c r="A2" s="25" t="s">
        <v>108</v>
      </c>
      <c r="B2" s="26"/>
      <c r="C2" s="26"/>
      <c r="D2" s="26"/>
      <c r="E2" s="26"/>
      <c r="F2" s="26"/>
      <c r="G2" s="26"/>
      <c r="H2" s="26"/>
      <c r="K2" s="16" t="s">
        <v>42</v>
      </c>
      <c r="L2" s="17">
        <v>1.25</v>
      </c>
      <c r="M2" s="17" t="s">
        <v>22</v>
      </c>
      <c r="N2" s="17"/>
      <c r="O2" s="17"/>
      <c r="P2" s="18" t="s">
        <v>110</v>
      </c>
      <c r="Q2" s="17"/>
      <c r="R2" s="17"/>
      <c r="S2" s="17"/>
      <c r="T2" s="17"/>
      <c r="U2" s="17"/>
      <c r="V2" s="17"/>
      <c r="W2" s="17"/>
      <c r="X2" s="17"/>
      <c r="Y2" s="17"/>
      <c r="Z2" s="17"/>
      <c r="AC2" s="17" t="s">
        <v>64</v>
      </c>
      <c r="AD2" s="17">
        <v>11500</v>
      </c>
      <c r="AE2" s="17" t="s">
        <v>140</v>
      </c>
      <c r="AF2" s="17"/>
      <c r="AG2" s="17"/>
      <c r="AH2" s="17"/>
      <c r="AI2" s="17"/>
      <c r="AJ2" s="17"/>
      <c r="AK2" s="19"/>
    </row>
    <row r="3" spans="1:38" x14ac:dyDescent="0.25">
      <c r="A3" s="25" t="s">
        <v>109</v>
      </c>
      <c r="B3" s="26"/>
      <c r="C3" s="26"/>
      <c r="D3" s="26"/>
      <c r="E3" s="26"/>
      <c r="F3" s="26"/>
      <c r="G3" s="26"/>
      <c r="H3" s="26"/>
      <c r="K3" s="16" t="s">
        <v>44</v>
      </c>
      <c r="L3" s="17">
        <v>5</v>
      </c>
      <c r="M3" s="17" t="s">
        <v>22</v>
      </c>
      <c r="N3" s="17"/>
      <c r="O3" s="17"/>
      <c r="P3" s="18" t="s">
        <v>48</v>
      </c>
      <c r="Q3" s="17"/>
      <c r="R3" s="17"/>
      <c r="S3" s="17"/>
      <c r="T3" s="17"/>
      <c r="U3" s="17"/>
      <c r="V3" s="17"/>
      <c r="W3" s="17"/>
      <c r="X3" s="17"/>
      <c r="Y3" s="17"/>
      <c r="Z3" s="17"/>
      <c r="AA3" s="17"/>
      <c r="AB3" s="17"/>
      <c r="AC3" s="17"/>
      <c r="AD3" s="17"/>
      <c r="AE3" s="17"/>
      <c r="AF3" s="17"/>
      <c r="AG3" s="17"/>
      <c r="AH3" s="17"/>
      <c r="AI3" s="17"/>
      <c r="AJ3" s="17"/>
      <c r="AK3" s="19"/>
    </row>
    <row r="4" spans="1:38" x14ac:dyDescent="0.25">
      <c r="K4" s="16" t="s">
        <v>45</v>
      </c>
      <c r="L4" s="17">
        <v>150</v>
      </c>
      <c r="M4" s="17"/>
      <c r="N4" s="17"/>
      <c r="O4" s="17"/>
      <c r="P4" s="27" t="s">
        <v>117</v>
      </c>
      <c r="Q4" s="17"/>
      <c r="R4" s="17"/>
      <c r="S4" s="17"/>
      <c r="T4" s="17"/>
      <c r="U4" s="17"/>
      <c r="V4" s="17"/>
      <c r="W4" s="17"/>
      <c r="X4" s="17"/>
      <c r="Y4" s="17"/>
      <c r="Z4" s="17"/>
      <c r="AA4" s="17"/>
      <c r="AB4" s="17"/>
      <c r="AC4" s="17"/>
      <c r="AD4" s="17"/>
      <c r="AE4" s="17"/>
      <c r="AF4" s="17"/>
      <c r="AG4" s="17"/>
      <c r="AH4" s="17"/>
      <c r="AI4" s="17"/>
      <c r="AJ4" s="17"/>
      <c r="AK4" s="19"/>
    </row>
    <row r="5" spans="1:38" x14ac:dyDescent="0.25">
      <c r="K5" s="16" t="s">
        <v>46</v>
      </c>
      <c r="L5" s="17">
        <v>50</v>
      </c>
      <c r="M5" s="17"/>
      <c r="N5" s="17"/>
      <c r="O5" s="17"/>
      <c r="P5" s="27" t="s">
        <v>111</v>
      </c>
      <c r="Q5" s="17"/>
      <c r="R5" s="17"/>
      <c r="S5" s="17"/>
      <c r="T5" s="17"/>
      <c r="U5" s="17"/>
      <c r="V5" s="17"/>
      <c r="W5" s="17"/>
      <c r="X5" s="17"/>
      <c r="Y5" s="17"/>
      <c r="Z5" s="17"/>
      <c r="AA5" s="17"/>
      <c r="AB5" s="17"/>
      <c r="AC5" s="17"/>
      <c r="AD5" s="17"/>
      <c r="AE5" s="17"/>
      <c r="AF5" s="17"/>
      <c r="AG5" s="17"/>
      <c r="AH5" s="17"/>
      <c r="AI5" s="17"/>
      <c r="AJ5" s="17"/>
      <c r="AK5" s="19"/>
    </row>
    <row r="6" spans="1:38" x14ac:dyDescent="0.25">
      <c r="K6" s="16" t="s">
        <v>27</v>
      </c>
      <c r="L6" s="17">
        <v>7.7999999999999996E-3</v>
      </c>
      <c r="M6" s="28" t="s">
        <v>124</v>
      </c>
      <c r="N6" s="17"/>
      <c r="O6" s="17"/>
      <c r="P6" s="27" t="s">
        <v>128</v>
      </c>
      <c r="Q6" s="17"/>
      <c r="R6" s="17"/>
      <c r="S6" s="17"/>
      <c r="T6" s="17"/>
      <c r="U6" s="17"/>
      <c r="V6" s="17"/>
      <c r="W6" s="17"/>
      <c r="X6" s="17"/>
      <c r="Y6" s="17"/>
      <c r="Z6" s="17"/>
      <c r="AA6" s="17"/>
      <c r="AB6" s="17"/>
      <c r="AC6" s="17"/>
      <c r="AD6" s="17"/>
      <c r="AE6" s="17"/>
      <c r="AF6" s="17"/>
      <c r="AG6" s="17"/>
      <c r="AH6" s="17"/>
      <c r="AI6" s="17"/>
      <c r="AJ6" s="17"/>
      <c r="AK6" s="19"/>
    </row>
    <row r="7" spans="1:38" ht="14.25" customHeight="1" x14ac:dyDescent="0.25">
      <c r="K7" s="33"/>
      <c r="L7" s="28"/>
      <c r="M7" s="28"/>
      <c r="N7" s="17"/>
      <c r="O7" s="17"/>
      <c r="P7" s="27" t="s">
        <v>133</v>
      </c>
      <c r="Q7" s="17"/>
      <c r="R7" s="17"/>
      <c r="S7" s="17"/>
      <c r="T7" s="17"/>
      <c r="U7" s="17"/>
      <c r="V7" s="17"/>
      <c r="W7" s="17"/>
      <c r="X7" s="17"/>
      <c r="Y7" s="17"/>
      <c r="Z7" s="17"/>
      <c r="AA7" s="17"/>
      <c r="AB7" s="17"/>
      <c r="AC7" s="17"/>
      <c r="AD7" s="17"/>
      <c r="AE7" s="17"/>
      <c r="AF7" s="17"/>
      <c r="AG7" s="17"/>
      <c r="AH7" s="17"/>
      <c r="AI7" s="17"/>
      <c r="AJ7" s="17"/>
      <c r="AK7" s="19"/>
    </row>
    <row r="8" spans="1:38" ht="14.25" customHeight="1" x14ac:dyDescent="0.25">
      <c r="K8" s="16" t="s">
        <v>26</v>
      </c>
      <c r="L8" s="17">
        <v>9.7999999999999997E-3</v>
      </c>
      <c r="M8" s="28" t="s">
        <v>125</v>
      </c>
      <c r="N8" s="17"/>
      <c r="O8" s="17"/>
      <c r="Q8" s="28" t="s">
        <v>123</v>
      </c>
      <c r="S8" s="17"/>
      <c r="T8" s="17"/>
      <c r="U8" s="17"/>
      <c r="V8" s="17"/>
      <c r="W8" s="17"/>
      <c r="X8" s="17"/>
      <c r="Y8" s="17"/>
      <c r="Z8" s="17"/>
      <c r="AA8" s="17"/>
      <c r="AB8" s="17"/>
      <c r="AC8" s="17"/>
      <c r="AD8" s="17"/>
      <c r="AE8" s="17"/>
      <c r="AF8" s="17"/>
      <c r="AG8" s="17"/>
      <c r="AH8" s="17"/>
      <c r="AI8" s="17"/>
      <c r="AJ8" s="17"/>
      <c r="AK8" s="19"/>
    </row>
    <row r="9" spans="1:38" ht="14.25" customHeight="1" x14ac:dyDescent="0.25">
      <c r="K9" s="16" t="s">
        <v>34</v>
      </c>
      <c r="L9" s="17">
        <f>L8/L6</f>
        <v>1.2564102564102564</v>
      </c>
      <c r="N9" s="17"/>
      <c r="Q9" s="17" t="s">
        <v>120</v>
      </c>
      <c r="R9" s="17">
        <f>L6/0.955</f>
        <v>8.1675392670157061E-3</v>
      </c>
      <c r="S9" s="17"/>
      <c r="T9" s="17"/>
      <c r="U9" s="17"/>
      <c r="V9" s="17"/>
      <c r="W9" s="17"/>
      <c r="X9" s="17"/>
      <c r="Y9" s="17"/>
      <c r="Z9" s="17"/>
      <c r="AA9" s="17"/>
      <c r="AB9" s="17"/>
      <c r="AC9" s="17"/>
      <c r="AD9" s="17"/>
      <c r="AE9" s="17"/>
      <c r="AF9" s="17"/>
      <c r="AG9" s="17"/>
      <c r="AH9" s="17"/>
      <c r="AI9" s="17"/>
      <c r="AJ9" s="17"/>
      <c r="AK9" s="19"/>
    </row>
    <row r="10" spans="1:38" x14ac:dyDescent="0.25">
      <c r="K10" s="16" t="s">
        <v>24</v>
      </c>
      <c r="L10" s="28">
        <v>330000</v>
      </c>
      <c r="M10" s="17"/>
      <c r="N10" s="17"/>
      <c r="Q10" s="17" t="s">
        <v>121</v>
      </c>
      <c r="R10" s="17">
        <f>L7/0.851</f>
        <v>0</v>
      </c>
      <c r="S10" s="17"/>
      <c r="T10" s="17"/>
      <c r="U10" s="17"/>
      <c r="V10" s="17"/>
      <c r="W10" s="17"/>
      <c r="X10" s="17"/>
      <c r="Y10" s="17"/>
      <c r="Z10" s="17"/>
      <c r="AA10" s="17"/>
      <c r="AB10" s="17"/>
      <c r="AC10" s="17"/>
      <c r="AD10" s="17"/>
      <c r="AE10" s="17"/>
      <c r="AF10" s="17"/>
      <c r="AG10" s="17"/>
      <c r="AH10" s="17"/>
      <c r="AI10" s="17"/>
      <c r="AJ10" s="17"/>
      <c r="AK10" s="19"/>
    </row>
    <row r="11" spans="1:38" x14ac:dyDescent="0.25">
      <c r="K11" s="16" t="s">
        <v>118</v>
      </c>
      <c r="L11" s="28">
        <v>1500</v>
      </c>
      <c r="M11" s="17"/>
      <c r="N11" s="17"/>
      <c r="Q11" s="17" t="s">
        <v>122</v>
      </c>
      <c r="R11" s="17">
        <v>1.24</v>
      </c>
      <c r="S11" s="17"/>
      <c r="T11" s="17"/>
      <c r="U11" s="17"/>
      <c r="V11" s="17"/>
      <c r="W11" s="17"/>
      <c r="X11" s="17"/>
      <c r="Y11" s="17"/>
      <c r="Z11" s="17"/>
      <c r="AA11" s="17"/>
      <c r="AB11" s="17"/>
      <c r="AC11" s="17"/>
      <c r="AD11" s="17"/>
      <c r="AE11" s="17"/>
      <c r="AF11" s="17"/>
      <c r="AG11" s="17"/>
      <c r="AH11" s="17"/>
      <c r="AI11" s="17"/>
      <c r="AJ11" s="17"/>
      <c r="AK11" s="19"/>
    </row>
    <row r="12" spans="1:38" x14ac:dyDescent="0.25">
      <c r="K12" s="16" t="s">
        <v>131</v>
      </c>
      <c r="L12" s="28">
        <v>0.55000000000000004</v>
      </c>
      <c r="M12" s="17" t="s">
        <v>22</v>
      </c>
      <c r="N12" s="17"/>
      <c r="Q12" s="17"/>
      <c r="R12" s="17"/>
      <c r="S12" s="17"/>
      <c r="T12" s="17"/>
      <c r="U12" s="17"/>
      <c r="V12" s="17"/>
      <c r="W12" s="17"/>
      <c r="X12" s="17"/>
      <c r="Y12" s="17"/>
      <c r="Z12" s="17"/>
      <c r="AA12" s="17"/>
      <c r="AB12" s="17"/>
      <c r="AC12" s="17"/>
      <c r="AD12" s="17"/>
      <c r="AE12" s="17"/>
      <c r="AF12" s="17"/>
      <c r="AG12" s="17"/>
      <c r="AH12" s="17"/>
      <c r="AI12" s="17"/>
      <c r="AJ12" s="17"/>
      <c r="AK12" s="19"/>
      <c r="AL12" s="10"/>
    </row>
    <row r="13" spans="1:38" x14ac:dyDescent="0.25">
      <c r="K13" s="16"/>
      <c r="L13" s="17"/>
      <c r="M13" s="17"/>
      <c r="N13" s="55" t="s">
        <v>43</v>
      </c>
      <c r="O13" s="55"/>
      <c r="P13" s="55"/>
      <c r="Q13" s="55"/>
      <c r="R13" s="55"/>
      <c r="S13" s="17"/>
      <c r="T13" s="17"/>
      <c r="U13" s="17"/>
      <c r="V13" s="17"/>
      <c r="W13" s="17"/>
      <c r="X13" s="17"/>
      <c r="Y13" s="17"/>
      <c r="Z13" s="17"/>
      <c r="AA13" s="17"/>
      <c r="AB13" s="17"/>
      <c r="AC13" s="17"/>
      <c r="AD13" s="17"/>
      <c r="AE13" s="17"/>
      <c r="AF13" s="17"/>
      <c r="AG13" s="17"/>
      <c r="AH13" s="17"/>
      <c r="AI13" s="17"/>
      <c r="AJ13" s="17"/>
      <c r="AK13" s="19"/>
    </row>
    <row r="14" spans="1:38" x14ac:dyDescent="0.25">
      <c r="K14" s="59" t="s">
        <v>51</v>
      </c>
      <c r="L14" s="60"/>
      <c r="M14" s="60"/>
      <c r="N14" s="60"/>
      <c r="O14" s="60"/>
      <c r="P14" s="60"/>
      <c r="Q14" s="60"/>
      <c r="R14" s="60"/>
      <c r="S14" s="60"/>
      <c r="T14" s="60"/>
      <c r="U14" s="30"/>
      <c r="V14" s="54" t="s">
        <v>112</v>
      </c>
      <c r="W14" s="54"/>
      <c r="X14" s="54"/>
      <c r="Y14" s="54"/>
      <c r="Z14" s="54"/>
      <c r="AA14" s="54"/>
      <c r="AB14" s="31"/>
      <c r="AC14" s="20" t="s">
        <v>139</v>
      </c>
      <c r="AD14" s="56" t="s">
        <v>52</v>
      </c>
      <c r="AE14" s="56"/>
      <c r="AF14" s="56"/>
      <c r="AG14" s="56"/>
      <c r="AH14" s="56"/>
      <c r="AI14" s="56"/>
      <c r="AJ14" s="56"/>
      <c r="AK14" s="57"/>
    </row>
    <row r="15" spans="1:38" x14ac:dyDescent="0.25">
      <c r="K15" s="21" t="s">
        <v>36</v>
      </c>
      <c r="L15" s="22" t="s">
        <v>40</v>
      </c>
      <c r="M15" s="22" t="s">
        <v>38</v>
      </c>
      <c r="N15" s="22" t="s">
        <v>126</v>
      </c>
      <c r="O15" s="22" t="s">
        <v>127</v>
      </c>
      <c r="P15" s="22" t="s">
        <v>39</v>
      </c>
      <c r="Q15" s="22" t="s">
        <v>37</v>
      </c>
      <c r="R15" s="22" t="s">
        <v>119</v>
      </c>
      <c r="S15" s="22" t="s">
        <v>53</v>
      </c>
      <c r="T15" s="22" t="s">
        <v>47</v>
      </c>
      <c r="U15" s="22" t="s">
        <v>132</v>
      </c>
      <c r="V15" s="22" t="s">
        <v>116</v>
      </c>
      <c r="W15" s="32" t="s">
        <v>114</v>
      </c>
      <c r="X15" s="22" t="s">
        <v>113</v>
      </c>
      <c r="Y15" s="22" t="s">
        <v>115</v>
      </c>
      <c r="Z15" s="22" t="s">
        <v>135</v>
      </c>
      <c r="AA15" s="32" t="s">
        <v>130</v>
      </c>
      <c r="AB15" s="32" t="s">
        <v>129</v>
      </c>
      <c r="AC15" s="22" t="s">
        <v>62</v>
      </c>
      <c r="AD15" s="23" t="s">
        <v>58</v>
      </c>
      <c r="AE15" s="22" t="s">
        <v>138</v>
      </c>
      <c r="AF15" s="23" t="s">
        <v>59</v>
      </c>
      <c r="AG15" s="22" t="s">
        <v>60</v>
      </c>
      <c r="AH15" s="22" t="s">
        <v>61</v>
      </c>
      <c r="AI15" s="22" t="s">
        <v>55</v>
      </c>
      <c r="AJ15" s="22" t="s">
        <v>56</v>
      </c>
      <c r="AK15" s="24" t="s">
        <v>57</v>
      </c>
    </row>
    <row r="16" spans="1:38" x14ac:dyDescent="0.25">
      <c r="K16" s="33">
        <v>0.5</v>
      </c>
      <c r="L16" s="28">
        <f t="shared" ref="L16:L27" si="0">(K16-$L$1)/$L$10*1000000</f>
        <v>-13.636363636363637</v>
      </c>
      <c r="M16" s="46">
        <v>0</v>
      </c>
      <c r="N16" s="28">
        <f>$L$6*Q16*1000</f>
        <v>0</v>
      </c>
      <c r="O16" s="28">
        <f t="shared" ref="O16:O20" si="1">(L16*$L$10/1000000)</f>
        <v>-4.5</v>
      </c>
      <c r="P16" s="34">
        <f t="shared" ref="P16:P27" si="2">ABS(L16-(M16+N16))</f>
        <v>13.636363636363637</v>
      </c>
      <c r="Q16" s="28">
        <f>$L$4*$L$5*M16/1000</f>
        <v>0</v>
      </c>
      <c r="R16" s="28">
        <f t="shared" ref="R16:R27" si="3">(Q16/1000*$L$11)</f>
        <v>0</v>
      </c>
      <c r="S16" s="28">
        <f t="shared" ref="S16:S27" si="4">K16-$L$3-R16</f>
        <v>-4.5</v>
      </c>
      <c r="T16" s="28">
        <f t="shared" ref="T16:T27" si="5">M16*$L$4</f>
        <v>0</v>
      </c>
      <c r="U16" s="28">
        <f>1000*(K16-$L$3-$L$2)/$L$11</f>
        <v>-3.8333333333333335</v>
      </c>
      <c r="V16" s="28">
        <f>K16-$L$2-R16</f>
        <v>-0.75</v>
      </c>
      <c r="W16" s="28">
        <f>V16*Q16</f>
        <v>0</v>
      </c>
      <c r="X16" s="28">
        <f>1.25*Q16</f>
        <v>0</v>
      </c>
      <c r="Y16" s="28">
        <f>T16*(Z16)/1000</f>
        <v>0</v>
      </c>
      <c r="Z16" s="28">
        <f t="shared" ref="Z16:Z20" si="6">S16-$L$1</f>
        <v>-9.5</v>
      </c>
      <c r="AA16" s="35">
        <f>(L16/1000000)^2*$L$10</f>
        <v>6.1363636363636362E-5</v>
      </c>
      <c r="AB16" s="28">
        <f t="shared" ref="AB16:AB27" si="7">((Q16/1000)^2)*$L$11</f>
        <v>0</v>
      </c>
      <c r="AC16" s="28">
        <f t="shared" ref="AC16:AC27" si="8">$AD$1-(AE16/1000000 * $AD$2)</f>
        <v>5.4</v>
      </c>
      <c r="AD16" s="36">
        <f t="shared" ref="AD16:AD27" si="9">((K16-$L$1)/150000)*$L$9*1000000</f>
        <v>-37.692307692307693</v>
      </c>
      <c r="AE16" s="28">
        <f t="shared" ref="AE16:AE27" si="10">$L$8*Q16*1000</f>
        <v>0</v>
      </c>
      <c r="AF16" s="36">
        <f t="shared" ref="AF16:AF27" si="11">$L$9*K16</f>
        <v>0.62820512820512819</v>
      </c>
      <c r="AG16" s="28">
        <f>ABS(10.11-((AE16+AK16)/1000000)*150000)</f>
        <v>8.5297008547008542</v>
      </c>
      <c r="AH16" s="28"/>
      <c r="AI16" s="28">
        <f>(AE16+AK16)*150000/1000000</f>
        <v>1.5802991452991453</v>
      </c>
      <c r="AJ16" s="28">
        <f>10.11-AI16</f>
        <v>8.5297008547008542</v>
      </c>
      <c r="AK16" s="37">
        <f t="shared" ref="AK16:AK27" si="12">1000000*(10.11-AF16)/18000/$L$5</f>
        <v>10.535327635327635</v>
      </c>
    </row>
    <row r="17" spans="10:37" x14ac:dyDescent="0.25">
      <c r="K17" s="33">
        <v>1</v>
      </c>
      <c r="L17" s="28">
        <f t="shared" si="0"/>
        <v>-12.121212121212121</v>
      </c>
      <c r="M17" s="46">
        <v>2.0371202560674338E-2</v>
      </c>
      <c r="N17" s="28">
        <f t="shared" ref="N17:N26" si="13">$L$6*Q17*1000</f>
        <v>1.1917153497994488</v>
      </c>
      <c r="O17" s="28">
        <f t="shared" si="1"/>
        <v>-4</v>
      </c>
      <c r="P17" s="34">
        <f t="shared" si="2"/>
        <v>13.333298673572244</v>
      </c>
      <c r="Q17" s="28">
        <f t="shared" ref="Q17:Q18" si="14">$L$4*$L$5*M17/1000</f>
        <v>0.15278401920505755</v>
      </c>
      <c r="R17" s="28">
        <f t="shared" si="3"/>
        <v>0.22917602880758631</v>
      </c>
      <c r="S17" s="28">
        <f t="shared" si="4"/>
        <v>-4.2291760288075864</v>
      </c>
      <c r="T17" s="28">
        <f t="shared" si="5"/>
        <v>3.0556803841011506</v>
      </c>
      <c r="U17" s="28">
        <f t="shared" ref="U17:U27" si="15">1000*(K17-$L$3-$L$2)/$L$11</f>
        <v>-3.5</v>
      </c>
      <c r="V17" s="28">
        <f>K17-$L$2-R17</f>
        <v>-0.47917602880758631</v>
      </c>
      <c r="W17" s="28">
        <f t="shared" ref="W17:W27" si="16">V17*Q17</f>
        <v>-7.3210439587941475E-2</v>
      </c>
      <c r="X17" s="28">
        <f t="shared" ref="X17:X27" si="17">1.25*Q17</f>
        <v>0.19098002400632194</v>
      </c>
      <c r="Y17" s="28">
        <f t="shared" ref="Y17:Y27" si="18">T17*(Z17)/1000</f>
        <v>-2.8201412152643896E-2</v>
      </c>
      <c r="Z17" s="28">
        <f t="shared" si="6"/>
        <v>-9.2291760288075864</v>
      </c>
      <c r="AA17" s="35">
        <f t="shared" ref="AA17:AA27" si="19">(L17/1000000)^2*$L$10</f>
        <v>4.8484848484848488E-5</v>
      </c>
      <c r="AB17" s="28">
        <f t="shared" si="7"/>
        <v>3.5014434786677087E-5</v>
      </c>
      <c r="AC17" s="28">
        <f t="shared" si="8"/>
        <v>5.3827812410355902</v>
      </c>
      <c r="AD17" s="36">
        <f t="shared" si="9"/>
        <v>-33.504273504273506</v>
      </c>
      <c r="AE17" s="28">
        <f t="shared" si="10"/>
        <v>1.497283388209564</v>
      </c>
      <c r="AF17" s="36">
        <f t="shared" si="11"/>
        <v>1.2564102564102564</v>
      </c>
      <c r="AG17" s="28"/>
      <c r="AH17" s="28"/>
      <c r="AI17" s="28"/>
      <c r="AJ17" s="28">
        <f t="shared" ref="AJ17:AJ19" si="20">10.11-AI17</f>
        <v>10.11</v>
      </c>
      <c r="AK17" s="37">
        <f t="shared" si="12"/>
        <v>9.8373219373219385</v>
      </c>
    </row>
    <row r="18" spans="10:37" x14ac:dyDescent="0.25">
      <c r="K18" s="33">
        <v>2</v>
      </c>
      <c r="L18" s="28">
        <f t="shared" si="0"/>
        <v>-9.0909090909090917</v>
      </c>
      <c r="M18" s="46">
        <v>1.8697583271963299E-2</v>
      </c>
      <c r="N18" s="28">
        <f t="shared" si="13"/>
        <v>1.093808621409853</v>
      </c>
      <c r="O18" s="28">
        <f t="shared" si="1"/>
        <v>-3.0000000000000004</v>
      </c>
      <c r="P18" s="34">
        <f t="shared" si="2"/>
        <v>10.203415295590908</v>
      </c>
      <c r="Q18" s="28">
        <f t="shared" si="14"/>
        <v>0.14023187453972474</v>
      </c>
      <c r="R18" s="28">
        <f t="shared" si="3"/>
        <v>0.21034781180958714</v>
      </c>
      <c r="S18" s="28">
        <f t="shared" si="4"/>
        <v>-3.2103478118095872</v>
      </c>
      <c r="T18" s="28">
        <f t="shared" si="5"/>
        <v>2.8046374907944949</v>
      </c>
      <c r="U18" s="28">
        <f t="shared" si="15"/>
        <v>-2.8333333333333335</v>
      </c>
      <c r="V18" s="28">
        <f t="shared" ref="V18:V27" si="21">K18-$L$2-R18</f>
        <v>0.53965218819041283</v>
      </c>
      <c r="W18" s="28">
        <f t="shared" si="16"/>
        <v>7.56764379494059E-2</v>
      </c>
      <c r="X18" s="28">
        <f t="shared" si="17"/>
        <v>0.17528984317465593</v>
      </c>
      <c r="Y18" s="28">
        <f t="shared" si="18"/>
        <v>-2.3027049285463713E-2</v>
      </c>
      <c r="Z18" s="28">
        <f t="shared" si="6"/>
        <v>-8.2103478118095872</v>
      </c>
      <c r="AA18" s="35">
        <f t="shared" si="19"/>
        <v>2.7272727272727276E-5</v>
      </c>
      <c r="AB18" s="28">
        <f t="shared" si="7"/>
        <v>2.9497467955387658E-5</v>
      </c>
      <c r="AC18" s="28">
        <f t="shared" si="8"/>
        <v>5.3841958677393738</v>
      </c>
      <c r="AD18" s="36">
        <f t="shared" si="9"/>
        <v>-25.128205128205131</v>
      </c>
      <c r="AE18" s="28">
        <f t="shared" si="10"/>
        <v>1.3742723704893023</v>
      </c>
      <c r="AF18" s="36">
        <f t="shared" si="11"/>
        <v>2.5128205128205128</v>
      </c>
      <c r="AG18" s="28"/>
      <c r="AH18" s="28"/>
      <c r="AI18" s="28"/>
      <c r="AJ18" s="28">
        <f t="shared" si="20"/>
        <v>10.11</v>
      </c>
      <c r="AK18" s="37">
        <f t="shared" si="12"/>
        <v>8.4413105413105409</v>
      </c>
    </row>
    <row r="19" spans="10:37" x14ac:dyDescent="0.25">
      <c r="K19" s="33">
        <v>4.68</v>
      </c>
      <c r="L19" s="28">
        <f t="shared" si="0"/>
        <v>-0.96969696969697061</v>
      </c>
      <c r="M19" s="46">
        <v>5.3255875112614551E-2</v>
      </c>
      <c r="N19" s="28">
        <f t="shared" si="13"/>
        <v>3.1154686940879515</v>
      </c>
      <c r="O19" s="28">
        <f t="shared" si="1"/>
        <v>-0.32000000000000028</v>
      </c>
      <c r="P19" s="34">
        <f t="shared" si="2"/>
        <v>4.1384215388975365</v>
      </c>
      <c r="Q19" s="28">
        <f t="shared" ref="Q19" si="22">$L$4*$L$5*M19/1000</f>
        <v>0.39941906334460914</v>
      </c>
      <c r="R19" s="28">
        <f t="shared" si="3"/>
        <v>0.59912859501691373</v>
      </c>
      <c r="S19" s="28">
        <f t="shared" si="4"/>
        <v>-0.91912859501691402</v>
      </c>
      <c r="T19" s="28">
        <f t="shared" si="5"/>
        <v>7.9883812668921825</v>
      </c>
      <c r="U19" s="28">
        <f t="shared" si="15"/>
        <v>-1.0466666666666669</v>
      </c>
      <c r="V19" s="28">
        <f t="shared" si="21"/>
        <v>2.8308714049830859</v>
      </c>
      <c r="W19" s="28">
        <f t="shared" si="16"/>
        <v>1.1307040050273818</v>
      </c>
      <c r="X19" s="28">
        <f t="shared" si="17"/>
        <v>0.49927382918076141</v>
      </c>
      <c r="Y19" s="28">
        <f t="shared" si="18"/>
        <v>-4.7284255984758959E-2</v>
      </c>
      <c r="Z19" s="28">
        <f t="shared" si="6"/>
        <v>-5.9191285950169137</v>
      </c>
      <c r="AA19" s="35">
        <f t="shared" si="19"/>
        <v>3.1030303030303085E-7</v>
      </c>
      <c r="AB19" s="28">
        <f t="shared" si="7"/>
        <v>2.3930338224462737E-4</v>
      </c>
      <c r="AC19" s="28">
        <f t="shared" si="8"/>
        <v>5.3549854715610632</v>
      </c>
      <c r="AD19" s="36">
        <f t="shared" si="9"/>
        <v>-2.6803418803418828</v>
      </c>
      <c r="AE19" s="28">
        <f t="shared" si="10"/>
        <v>3.9143068207771696</v>
      </c>
      <c r="AF19" s="36">
        <f t="shared" si="11"/>
        <v>5.88</v>
      </c>
      <c r="AG19" s="28"/>
      <c r="AH19" s="28"/>
      <c r="AI19" s="28"/>
      <c r="AJ19" s="28">
        <f t="shared" si="20"/>
        <v>10.11</v>
      </c>
      <c r="AK19" s="37">
        <f t="shared" si="12"/>
        <v>4.7</v>
      </c>
    </row>
    <row r="20" spans="10:37" x14ac:dyDescent="0.25">
      <c r="K20" s="33">
        <v>6.6</v>
      </c>
      <c r="L20" s="28">
        <f t="shared" si="0"/>
        <v>4.8484848484848468</v>
      </c>
      <c r="M20" s="46">
        <v>8.1487135494967902E-2</v>
      </c>
      <c r="N20" s="28">
        <f t="shared" si="13"/>
        <v>4.7669974264556227</v>
      </c>
      <c r="O20" s="28">
        <f t="shared" si="1"/>
        <v>1.5999999999999996</v>
      </c>
      <c r="P20" s="34">
        <f t="shared" si="2"/>
        <v>2.8653425587776837E-7</v>
      </c>
      <c r="Q20" s="28">
        <f t="shared" ref="Q20:Q27" si="23">$L$4*$L$5*M20/1000</f>
        <v>0.61115351621225933</v>
      </c>
      <c r="R20" s="28">
        <f t="shared" si="3"/>
        <v>0.91673027431838905</v>
      </c>
      <c r="S20" s="28">
        <f t="shared" si="4"/>
        <v>0.6832697256816106</v>
      </c>
      <c r="T20" s="28">
        <f t="shared" si="5"/>
        <v>12.223070324245185</v>
      </c>
      <c r="U20" s="28">
        <f t="shared" si="15"/>
        <v>0.23333333333333311</v>
      </c>
      <c r="V20" s="28">
        <f t="shared" si="21"/>
        <v>4.4332697256816109</v>
      </c>
      <c r="W20" s="28">
        <f t="shared" si="16"/>
        <v>2.709408381167675</v>
      </c>
      <c r="X20" s="28">
        <f t="shared" si="17"/>
        <v>0.76394189526532419</v>
      </c>
      <c r="Y20" s="28">
        <f t="shared" si="18"/>
        <v>-5.2763697713791878E-2</v>
      </c>
      <c r="Z20" s="28">
        <f t="shared" si="6"/>
        <v>-4.3167302743183891</v>
      </c>
      <c r="AA20" s="35">
        <f t="shared" si="19"/>
        <v>7.757575757575753E-6</v>
      </c>
      <c r="AB20" s="28">
        <f t="shared" si="7"/>
        <v>5.6026293056791251E-4</v>
      </c>
      <c r="AC20" s="28">
        <f t="shared" si="8"/>
        <v>5.3311229987228783</v>
      </c>
      <c r="AD20" s="36">
        <f t="shared" si="9"/>
        <v>13.401709401709397</v>
      </c>
      <c r="AE20" s="28">
        <f t="shared" si="10"/>
        <v>5.9893044588801416</v>
      </c>
      <c r="AF20" s="36">
        <f t="shared" si="11"/>
        <v>8.2923076923076913</v>
      </c>
      <c r="AG20" s="28"/>
      <c r="AH20" s="28"/>
      <c r="AI20" s="28"/>
      <c r="AJ20" s="28">
        <f t="shared" ref="AJ20:AJ27" si="24">10.11-AI20</f>
        <v>10.11</v>
      </c>
      <c r="AK20" s="37">
        <f t="shared" si="12"/>
        <v>2.0196581196581205</v>
      </c>
    </row>
    <row r="21" spans="10:37" x14ac:dyDescent="0.25">
      <c r="K21" s="33">
        <v>8.5</v>
      </c>
      <c r="L21" s="28">
        <f t="shared" si="0"/>
        <v>10.606060606060606</v>
      </c>
      <c r="M21" s="46">
        <v>0.10251450576697836</v>
      </c>
      <c r="N21" s="28">
        <f t="shared" si="13"/>
        <v>5.9970985873682343</v>
      </c>
      <c r="O21" s="28">
        <f>(L21*$L$10/1000000)</f>
        <v>3.5</v>
      </c>
      <c r="P21" s="34">
        <f t="shared" si="2"/>
        <v>4.5064475129253925</v>
      </c>
      <c r="Q21" s="28">
        <f t="shared" si="23"/>
        <v>0.76885879325233775</v>
      </c>
      <c r="R21" s="28">
        <f t="shared" si="3"/>
        <v>1.1532881898785066</v>
      </c>
      <c r="S21" s="28">
        <f t="shared" si="4"/>
        <v>2.3467118101214934</v>
      </c>
      <c r="T21" s="28">
        <f t="shared" si="5"/>
        <v>15.377175865046754</v>
      </c>
      <c r="U21" s="28">
        <f t="shared" si="15"/>
        <v>1.5</v>
      </c>
      <c r="V21" s="28">
        <f t="shared" si="21"/>
        <v>6.0967118101214934</v>
      </c>
      <c r="W21" s="28">
        <f t="shared" si="16"/>
        <v>4.6875104851372873</v>
      </c>
      <c r="X21" s="28">
        <f t="shared" si="17"/>
        <v>0.96107349156542221</v>
      </c>
      <c r="Y21" s="28">
        <f t="shared" si="18"/>
        <v>-4.0800079116413354E-2</v>
      </c>
      <c r="Z21" s="28">
        <f>S21-$L$1</f>
        <v>-2.6532881898785066</v>
      </c>
      <c r="AA21" s="35">
        <f t="shared" si="19"/>
        <v>3.7121212121212115E-5</v>
      </c>
      <c r="AB21" s="28">
        <f t="shared" si="7"/>
        <v>8.8671576594216153E-4</v>
      </c>
      <c r="AC21" s="28">
        <f t="shared" si="8"/>
        <v>5.3133496140004617</v>
      </c>
      <c r="AD21" s="36">
        <f t="shared" si="9"/>
        <v>29.316239316239315</v>
      </c>
      <c r="AE21" s="28">
        <f t="shared" si="10"/>
        <v>7.53481617387291</v>
      </c>
      <c r="AF21" s="36">
        <f t="shared" si="11"/>
        <v>10.679487179487179</v>
      </c>
      <c r="AG21" s="28"/>
      <c r="AH21" s="28"/>
      <c r="AI21" s="28"/>
      <c r="AJ21" s="28">
        <f t="shared" si="24"/>
        <v>10.11</v>
      </c>
      <c r="AK21" s="37">
        <f t="shared" si="12"/>
        <v>-0.63276353276353259</v>
      </c>
    </row>
    <row r="22" spans="10:37" x14ac:dyDescent="0.25">
      <c r="K22" s="33">
        <v>10</v>
      </c>
      <c r="L22" s="28">
        <f t="shared" si="0"/>
        <v>15.15151515151515</v>
      </c>
      <c r="M22" s="46">
        <v>0.2546473043913412</v>
      </c>
      <c r="N22" s="28">
        <f t="shared" si="13"/>
        <v>14.89686730689346</v>
      </c>
      <c r="O22" s="28">
        <f t="shared" ref="O22:O27" si="25">(L22*$L$10/1000000)</f>
        <v>5</v>
      </c>
      <c r="P22" s="34">
        <f t="shared" si="2"/>
        <v>5.4023034934402858E-7</v>
      </c>
      <c r="Q22" s="28">
        <f t="shared" si="23"/>
        <v>1.9098547829350589</v>
      </c>
      <c r="R22" s="28">
        <f t="shared" si="3"/>
        <v>2.8647821744025883</v>
      </c>
      <c r="S22" s="28">
        <f t="shared" si="4"/>
        <v>2.1352178255974117</v>
      </c>
      <c r="T22" s="28">
        <f t="shared" si="5"/>
        <v>38.19709565870118</v>
      </c>
      <c r="U22" s="28">
        <f t="shared" si="15"/>
        <v>2.5</v>
      </c>
      <c r="V22" s="28">
        <f t="shared" si="21"/>
        <v>5.8852178255974117</v>
      </c>
      <c r="W22" s="28">
        <f t="shared" si="16"/>
        <v>11.239911412831884</v>
      </c>
      <c r="X22" s="28">
        <f t="shared" si="17"/>
        <v>2.3873184786688237</v>
      </c>
      <c r="Y22" s="28">
        <f t="shared" si="18"/>
        <v>-0.10942635875699763</v>
      </c>
      <c r="Z22" s="28">
        <f t="shared" ref="Z22:Z27" si="26">S22-$L$1</f>
        <v>-2.8647821744025883</v>
      </c>
      <c r="AA22" s="35">
        <f t="shared" si="19"/>
        <v>7.5757575757575744E-5</v>
      </c>
      <c r="AB22" s="28">
        <f t="shared" si="7"/>
        <v>5.4713179378498818E-3</v>
      </c>
      <c r="AC22" s="28">
        <f t="shared" si="8"/>
        <v>5.1847593659632194</v>
      </c>
      <c r="AD22" s="36">
        <f t="shared" si="9"/>
        <v>41.880341880341881</v>
      </c>
      <c r="AE22" s="28">
        <f t="shared" si="10"/>
        <v>18.716576872763579</v>
      </c>
      <c r="AF22" s="36">
        <f t="shared" si="11"/>
        <v>12.564102564102564</v>
      </c>
      <c r="AG22" s="28"/>
      <c r="AH22" s="28"/>
      <c r="AI22" s="28"/>
      <c r="AJ22" s="28">
        <f t="shared" si="24"/>
        <v>10.11</v>
      </c>
      <c r="AK22" s="37">
        <f t="shared" si="12"/>
        <v>-2.7267806267806272</v>
      </c>
    </row>
    <row r="23" spans="10:37" x14ac:dyDescent="0.25">
      <c r="J23" s="29"/>
      <c r="K23" s="33">
        <v>17</v>
      </c>
      <c r="L23" s="28">
        <f t="shared" si="0"/>
        <v>36.363636363636367</v>
      </c>
      <c r="M23" s="46">
        <v>0.61115338391768992</v>
      </c>
      <c r="N23" s="28">
        <f t="shared" si="13"/>
        <v>35.752472959184857</v>
      </c>
      <c r="O23" s="28">
        <f t="shared" si="25"/>
        <v>12.000000000000002</v>
      </c>
      <c r="P23" s="34">
        <f t="shared" si="2"/>
        <v>1.0020533821375466E-5</v>
      </c>
      <c r="Q23" s="28">
        <f t="shared" si="23"/>
        <v>4.5836503793826742</v>
      </c>
      <c r="R23" s="28">
        <f t="shared" si="3"/>
        <v>6.8754755690740117</v>
      </c>
      <c r="S23" s="28">
        <f t="shared" si="4"/>
        <v>5.1245244309259883</v>
      </c>
      <c r="T23" s="28">
        <f t="shared" si="5"/>
        <v>91.673007587653487</v>
      </c>
      <c r="U23" s="28">
        <f t="shared" si="15"/>
        <v>7.166666666666667</v>
      </c>
      <c r="V23" s="28">
        <f t="shared" si="21"/>
        <v>8.8745244309259874</v>
      </c>
      <c r="W23" s="28">
        <f t="shared" si="16"/>
        <v>40.677717274654711</v>
      </c>
      <c r="X23" s="28">
        <f t="shared" si="17"/>
        <v>5.7295629742283429</v>
      </c>
      <c r="Y23" s="28">
        <f t="shared" si="18"/>
        <v>1.1415529101126358E-2</v>
      </c>
      <c r="Z23" s="28">
        <f t="shared" si="26"/>
        <v>0.12452443092598831</v>
      </c>
      <c r="AA23" s="35">
        <f t="shared" si="19"/>
        <v>4.3636363636363642E-4</v>
      </c>
      <c r="AB23" s="28">
        <f t="shared" si="7"/>
        <v>3.1514776200622402E-2</v>
      </c>
      <c r="AC23" s="28">
        <f t="shared" si="8"/>
        <v>4.8834226022435727</v>
      </c>
      <c r="AD23" s="36">
        <f t="shared" si="9"/>
        <v>100.51282051282053</v>
      </c>
      <c r="AE23" s="28">
        <f t="shared" si="10"/>
        <v>44.9197737179502</v>
      </c>
      <c r="AF23" s="36">
        <f t="shared" si="11"/>
        <v>21.358974358974358</v>
      </c>
      <c r="AG23" s="28"/>
      <c r="AH23" s="28"/>
      <c r="AI23" s="28"/>
      <c r="AJ23" s="28">
        <f t="shared" si="24"/>
        <v>10.11</v>
      </c>
      <c r="AK23" s="37">
        <f t="shared" si="12"/>
        <v>-12.498860398860398</v>
      </c>
    </row>
    <row r="24" spans="10:37" s="35" customFormat="1" x14ac:dyDescent="0.25">
      <c r="J24" s="45"/>
      <c r="K24" s="33">
        <v>40</v>
      </c>
      <c r="L24" s="28">
        <f t="shared" si="0"/>
        <v>106.06060606060606</v>
      </c>
      <c r="M24" s="46">
        <v>0.50870386114286514</v>
      </c>
      <c r="N24" s="28">
        <f t="shared" ref="N24:N25" si="27">$L$6*Q24*1000</f>
        <v>29.759175876857611</v>
      </c>
      <c r="O24" s="28">
        <f t="shared" si="25"/>
        <v>35</v>
      </c>
      <c r="P24" s="34">
        <f t="shared" si="2"/>
        <v>75.792726322605589</v>
      </c>
      <c r="Q24" s="28">
        <f t="shared" si="23"/>
        <v>3.8152789585714886</v>
      </c>
      <c r="R24" s="28">
        <f t="shared" si="3"/>
        <v>5.7229184378572331</v>
      </c>
      <c r="S24" s="28">
        <f t="shared" si="4"/>
        <v>29.277081562142769</v>
      </c>
      <c r="T24" s="28">
        <f t="shared" si="5"/>
        <v>76.30557917142977</v>
      </c>
      <c r="U24" s="28">
        <f t="shared" si="15"/>
        <v>22.5</v>
      </c>
      <c r="V24" s="28">
        <f t="shared" ref="V24:V25" si="28">K24-$L$2-R24</f>
        <v>33.027081562142769</v>
      </c>
      <c r="W24" s="28">
        <f t="shared" ref="W24:W25" si="29">V24*Q24</f>
        <v>126.00752934706767</v>
      </c>
      <c r="X24" s="28">
        <f t="shared" ref="X24:X25" si="30">1.25*Q24</f>
        <v>4.7690986982143606</v>
      </c>
      <c r="Y24" s="28">
        <f t="shared" ref="Y24:Y25" si="31">T24*(Z24)/1000</f>
        <v>1.8524767691913431</v>
      </c>
      <c r="Z24" s="28">
        <f t="shared" si="26"/>
        <v>24.277081562142769</v>
      </c>
      <c r="AA24" s="35">
        <f t="shared" ref="AA24:AA25" si="32">(L24/1000000)^2*$L$10</f>
        <v>3.7121212121212126E-3</v>
      </c>
      <c r="AB24" s="28">
        <f t="shared" si="7"/>
        <v>2.1834530297577516E-2</v>
      </c>
      <c r="AC24" s="28">
        <f t="shared" si="8"/>
        <v>4.9700180613689939</v>
      </c>
      <c r="AD24" s="36">
        <f t="shared" si="9"/>
        <v>293.16239316239313</v>
      </c>
      <c r="AE24" s="28">
        <f t="shared" si="10"/>
        <v>37.389733794000591</v>
      </c>
      <c r="AF24" s="36">
        <f t="shared" si="11"/>
        <v>50.256410256410255</v>
      </c>
      <c r="AG24" s="28"/>
      <c r="AH24" s="28"/>
      <c r="AI24" s="28"/>
      <c r="AJ24" s="28">
        <f t="shared" si="24"/>
        <v>10.11</v>
      </c>
      <c r="AK24" s="37">
        <f t="shared" si="12"/>
        <v>-44.607122507122504</v>
      </c>
    </row>
    <row r="25" spans="10:37" s="9" customFormat="1" x14ac:dyDescent="0.25">
      <c r="K25" s="38">
        <v>60</v>
      </c>
      <c r="L25" s="39">
        <f t="shared" si="0"/>
        <v>166.66666666666666</v>
      </c>
      <c r="M25" s="46">
        <v>0.76660218983168738</v>
      </c>
      <c r="N25" s="39">
        <f t="shared" si="27"/>
        <v>44.846228105153713</v>
      </c>
      <c r="O25" s="28">
        <f t="shared" si="25"/>
        <v>55</v>
      </c>
      <c r="P25" s="34">
        <f t="shared" si="2"/>
        <v>121.05383637168126</v>
      </c>
      <c r="Q25" s="39">
        <f t="shared" si="23"/>
        <v>5.7495164237376555</v>
      </c>
      <c r="R25" s="39">
        <f t="shared" si="3"/>
        <v>8.6242746356064828</v>
      </c>
      <c r="S25" s="39">
        <f t="shared" si="4"/>
        <v>46.375725364393517</v>
      </c>
      <c r="T25" s="39">
        <f t="shared" si="5"/>
        <v>114.99032847475311</v>
      </c>
      <c r="U25" s="39">
        <f t="shared" ref="U25" si="33">1000*(K25-$L$3-$L$2)/$L$11</f>
        <v>35.833333333333336</v>
      </c>
      <c r="V25" s="39">
        <f t="shared" si="28"/>
        <v>50.125725364393517</v>
      </c>
      <c r="W25" s="39">
        <f t="shared" si="29"/>
        <v>288.19868123434372</v>
      </c>
      <c r="X25" s="39">
        <f t="shared" si="30"/>
        <v>7.1868955296720696</v>
      </c>
      <c r="Y25" s="39">
        <f t="shared" si="31"/>
        <v>4.7578082505327846</v>
      </c>
      <c r="Z25" s="28">
        <f t="shared" si="26"/>
        <v>41.375725364393517</v>
      </c>
      <c r="AA25" s="40">
        <f t="shared" si="32"/>
        <v>9.1666666666666667E-3</v>
      </c>
      <c r="AB25" s="39">
        <f t="shared" si="7"/>
        <v>4.9585408660243559E-2</v>
      </c>
      <c r="AC25" s="39">
        <f t="shared" si="8"/>
        <v>4.7520294990447667</v>
      </c>
      <c r="AD25" s="39">
        <f t="shared" si="9"/>
        <v>460.68376068376068</v>
      </c>
      <c r="AE25" s="39">
        <f t="shared" si="10"/>
        <v>56.345260952629019</v>
      </c>
      <c r="AF25" s="39">
        <f t="shared" si="11"/>
        <v>75.384615384615387</v>
      </c>
      <c r="AG25" s="39"/>
      <c r="AH25" s="39"/>
      <c r="AI25" s="39"/>
      <c r="AJ25" s="39">
        <f t="shared" si="24"/>
        <v>10.11</v>
      </c>
      <c r="AK25" s="41">
        <f t="shared" si="12"/>
        <v>-72.527350427350427</v>
      </c>
    </row>
    <row r="26" spans="10:37" s="9" customFormat="1" x14ac:dyDescent="0.25">
      <c r="K26" s="38">
        <v>90</v>
      </c>
      <c r="L26" s="39">
        <f t="shared" si="0"/>
        <v>257.57575757575756</v>
      </c>
      <c r="M26" s="46">
        <v>1.1534493844084375</v>
      </c>
      <c r="N26" s="39">
        <f t="shared" si="13"/>
        <v>67.476788987893585</v>
      </c>
      <c r="O26" s="28">
        <f t="shared" si="25"/>
        <v>85</v>
      </c>
      <c r="P26" s="34">
        <f t="shared" si="2"/>
        <v>188.94551920345555</v>
      </c>
      <c r="Q26" s="39">
        <f t="shared" si="23"/>
        <v>8.65087038306328</v>
      </c>
      <c r="R26" s="39">
        <f t="shared" si="3"/>
        <v>12.976305574594921</v>
      </c>
      <c r="S26" s="39">
        <f t="shared" si="4"/>
        <v>72.023694425405083</v>
      </c>
      <c r="T26" s="39">
        <f t="shared" si="5"/>
        <v>173.01740766126562</v>
      </c>
      <c r="U26" s="39">
        <f t="shared" si="15"/>
        <v>55.833333333333336</v>
      </c>
      <c r="V26" s="39">
        <f t="shared" si="21"/>
        <v>75.773694425405083</v>
      </c>
      <c r="W26" s="39">
        <f t="shared" si="16"/>
        <v>655.50840892002395</v>
      </c>
      <c r="X26" s="39">
        <f t="shared" si="17"/>
        <v>10.8135879788291</v>
      </c>
      <c r="Y26" s="39">
        <f t="shared" si="18"/>
        <v>11.596265861364406</v>
      </c>
      <c r="Z26" s="28">
        <f t="shared" si="26"/>
        <v>67.023694425405083</v>
      </c>
      <c r="AA26" s="40">
        <f t="shared" si="19"/>
        <v>2.1893939393939389E-2</v>
      </c>
      <c r="AB26" s="39">
        <f t="shared" si="7"/>
        <v>0.11225633757684214</v>
      </c>
      <c r="AC26" s="39">
        <f t="shared" si="8"/>
        <v>4.4250469078287686</v>
      </c>
      <c r="AD26" s="39">
        <f t="shared" si="9"/>
        <v>711.96581196581201</v>
      </c>
      <c r="AE26" s="39">
        <f t="shared" si="10"/>
        <v>84.778529754020141</v>
      </c>
      <c r="AF26" s="39">
        <f t="shared" si="11"/>
        <v>113.07692307692308</v>
      </c>
      <c r="AG26" s="39"/>
      <c r="AH26" s="39"/>
      <c r="AI26" s="39"/>
      <c r="AJ26" s="39">
        <f t="shared" si="24"/>
        <v>10.11</v>
      </c>
      <c r="AK26" s="41">
        <f t="shared" si="12"/>
        <v>-114.40769230769233</v>
      </c>
    </row>
    <row r="27" spans="10:37" s="9" customFormat="1" ht="15.75" thickBot="1" x14ac:dyDescent="0.3">
      <c r="K27" s="38">
        <v>120</v>
      </c>
      <c r="L27" s="39">
        <f t="shared" si="0"/>
        <v>348.4848484848485</v>
      </c>
      <c r="M27" s="46">
        <v>5.8568881871873151</v>
      </c>
      <c r="N27" s="39">
        <f>$L$6*Q27*1000</f>
        <v>342.62795895045792</v>
      </c>
      <c r="O27" s="28">
        <f t="shared" si="25"/>
        <v>115</v>
      </c>
      <c r="P27" s="34">
        <f t="shared" si="2"/>
        <v>1.3472032378558652E-6</v>
      </c>
      <c r="Q27" s="39">
        <f t="shared" si="23"/>
        <v>43.926661403904866</v>
      </c>
      <c r="R27" s="39">
        <f t="shared" si="3"/>
        <v>65.889992105857303</v>
      </c>
      <c r="S27" s="34">
        <f t="shared" si="4"/>
        <v>49.110007894142697</v>
      </c>
      <c r="T27" s="39">
        <f t="shared" si="5"/>
        <v>878.5332280780973</v>
      </c>
      <c r="U27" s="39">
        <f t="shared" si="15"/>
        <v>75.833333333333329</v>
      </c>
      <c r="V27" s="34">
        <f t="shared" si="21"/>
        <v>52.860007894142697</v>
      </c>
      <c r="W27" s="34">
        <f t="shared" si="16"/>
        <v>2321.9636685737446</v>
      </c>
      <c r="X27" s="39">
        <f t="shared" si="17"/>
        <v>54.908326754881081</v>
      </c>
      <c r="Y27" s="34">
        <f t="shared" si="18"/>
        <v>38.752107625791538</v>
      </c>
      <c r="Z27" s="34">
        <f t="shared" si="26"/>
        <v>44.110007894142697</v>
      </c>
      <c r="AA27" s="39">
        <f t="shared" si="19"/>
        <v>4.0075757575757577E-2</v>
      </c>
      <c r="AB27" s="39">
        <f t="shared" si="7"/>
        <v>2.8943273731399581</v>
      </c>
      <c r="AC27" s="39">
        <f t="shared" si="8"/>
        <v>0.44946525977992291</v>
      </c>
      <c r="AD27" s="42">
        <f t="shared" si="9"/>
        <v>963.24786324786328</v>
      </c>
      <c r="AE27" s="42">
        <f t="shared" si="10"/>
        <v>430.48128175826764</v>
      </c>
      <c r="AF27" s="42">
        <f t="shared" si="11"/>
        <v>150.76923076923077</v>
      </c>
      <c r="AG27" s="42"/>
      <c r="AH27" s="42"/>
      <c r="AI27" s="42"/>
      <c r="AJ27" s="42">
        <f t="shared" si="24"/>
        <v>10.11</v>
      </c>
      <c r="AK27" s="43">
        <f t="shared" si="12"/>
        <v>-156.28803418803417</v>
      </c>
    </row>
    <row r="28" spans="10:37" x14ac:dyDescent="0.25">
      <c r="J28" s="12"/>
      <c r="K28" s="13"/>
      <c r="L28" s="13"/>
      <c r="M28" s="13"/>
      <c r="N28" s="13"/>
      <c r="O28" s="13"/>
      <c r="P28" s="13"/>
      <c r="Q28" s="13"/>
      <c r="R28" s="13"/>
      <c r="S28" s="13"/>
      <c r="T28" s="13"/>
      <c r="U28" s="13"/>
      <c r="V28" s="13"/>
      <c r="W28" s="13"/>
      <c r="X28" s="13"/>
      <c r="Y28" s="13"/>
      <c r="Z28" s="13"/>
      <c r="AA28" s="13"/>
      <c r="AB28" s="13"/>
      <c r="AC28" s="15"/>
    </row>
    <row r="29" spans="10:37" x14ac:dyDescent="0.25">
      <c r="J29" s="47" t="s">
        <v>137</v>
      </c>
      <c r="K29" s="48">
        <v>8.5</v>
      </c>
      <c r="L29" s="17">
        <v>24.4</v>
      </c>
      <c r="M29" s="17" t="s">
        <v>136</v>
      </c>
      <c r="N29" s="17">
        <v>25</v>
      </c>
      <c r="O29" s="17">
        <v>8.07</v>
      </c>
      <c r="P29" s="17"/>
      <c r="Q29" s="17">
        <v>3.18</v>
      </c>
      <c r="R29" s="17">
        <v>4.74</v>
      </c>
      <c r="S29" s="49">
        <v>3.19</v>
      </c>
      <c r="T29" s="49">
        <v>19</v>
      </c>
      <c r="U29" s="49"/>
      <c r="V29" s="49">
        <v>2.5</v>
      </c>
      <c r="W29" s="49"/>
      <c r="X29" s="17"/>
      <c r="Y29" s="17"/>
      <c r="Z29" s="17">
        <v>2.6</v>
      </c>
      <c r="AA29" s="17"/>
      <c r="AB29" s="17"/>
      <c r="AC29" s="19">
        <v>5.0199999999999996</v>
      </c>
    </row>
    <row r="30" spans="10:37" x14ac:dyDescent="0.25">
      <c r="J30" s="16"/>
      <c r="K30" s="39">
        <v>17</v>
      </c>
      <c r="L30" s="17">
        <v>49</v>
      </c>
      <c r="M30" s="17"/>
      <c r="N30" s="17"/>
      <c r="O30" s="17">
        <v>16.5</v>
      </c>
      <c r="P30" s="17"/>
      <c r="Q30" s="17">
        <v>6.2</v>
      </c>
      <c r="R30" s="17">
        <v>9.35</v>
      </c>
      <c r="S30" s="17">
        <v>6.9</v>
      </c>
      <c r="T30" s="17">
        <v>35</v>
      </c>
      <c r="U30" s="17"/>
      <c r="V30" s="17">
        <v>6.3</v>
      </c>
      <c r="W30" s="50"/>
      <c r="X30" s="17"/>
      <c r="Y30" s="17"/>
      <c r="Z30" s="17">
        <v>6.3</v>
      </c>
      <c r="AA30" s="50"/>
      <c r="AB30" s="50"/>
      <c r="AC30" s="19">
        <v>4.6509999999999998</v>
      </c>
    </row>
    <row r="31" spans="10:37" ht="15.75" thickBot="1" x14ac:dyDescent="0.3">
      <c r="J31" s="51"/>
      <c r="K31" s="42">
        <v>10</v>
      </c>
      <c r="L31" s="52"/>
      <c r="M31" s="52"/>
      <c r="N31" s="52"/>
      <c r="O31" s="52"/>
      <c r="P31" s="52"/>
      <c r="Q31" s="52"/>
      <c r="R31" s="52"/>
      <c r="S31" s="52"/>
      <c r="T31" s="52"/>
      <c r="U31" s="52"/>
      <c r="V31" s="52"/>
      <c r="W31" s="52"/>
      <c r="X31" s="52"/>
      <c r="Y31" s="52"/>
      <c r="Z31" s="52"/>
      <c r="AA31" s="52"/>
      <c r="AB31" s="52"/>
      <c r="AC31" s="53">
        <v>4.9400000000000004</v>
      </c>
      <c r="AD31" t="s">
        <v>49</v>
      </c>
    </row>
    <row r="34" spans="1:18" x14ac:dyDescent="0.25">
      <c r="R34" t="s">
        <v>141</v>
      </c>
    </row>
    <row r="35" spans="1:18" x14ac:dyDescent="0.25">
      <c r="R35" t="s">
        <v>134</v>
      </c>
    </row>
    <row r="36" spans="1:18" x14ac:dyDescent="0.25">
      <c r="A36" s="2" t="s">
        <v>87</v>
      </c>
    </row>
    <row r="37" spans="1:18" x14ac:dyDescent="0.25">
      <c r="A37" s="2" t="s">
        <v>88</v>
      </c>
    </row>
    <row r="38" spans="1:18" x14ac:dyDescent="0.25">
      <c r="A38" s="2" t="s">
        <v>89</v>
      </c>
    </row>
    <row r="39" spans="1:18" x14ac:dyDescent="0.25">
      <c r="A39" s="2"/>
    </row>
    <row r="40" spans="1:18" x14ac:dyDescent="0.25">
      <c r="A40" s="2" t="s">
        <v>90</v>
      </c>
      <c r="L40" s="44"/>
    </row>
    <row r="41" spans="1:18" x14ac:dyDescent="0.25">
      <c r="A41" s="2" t="s">
        <v>91</v>
      </c>
    </row>
    <row r="42" spans="1:18" x14ac:dyDescent="0.25">
      <c r="A42" s="2" t="s">
        <v>92</v>
      </c>
    </row>
    <row r="43" spans="1:18" x14ac:dyDescent="0.25">
      <c r="A43" s="2" t="s">
        <v>93</v>
      </c>
    </row>
    <row r="44" spans="1:18" x14ac:dyDescent="0.25">
      <c r="A44" s="2"/>
    </row>
    <row r="45" spans="1:18" x14ac:dyDescent="0.25">
      <c r="A45" s="2" t="s">
        <v>94</v>
      </c>
      <c r="L45" s="8"/>
    </row>
    <row r="46" spans="1:18" x14ac:dyDescent="0.25">
      <c r="A46" s="2" t="s">
        <v>95</v>
      </c>
    </row>
    <row r="47" spans="1:18" x14ac:dyDescent="0.25">
      <c r="A47" s="2" t="s">
        <v>96</v>
      </c>
    </row>
    <row r="48" spans="1:18" x14ac:dyDescent="0.25">
      <c r="A48" s="2" t="s">
        <v>97</v>
      </c>
    </row>
    <row r="49" spans="1:1" x14ac:dyDescent="0.25">
      <c r="A49" s="2" t="s">
        <v>98</v>
      </c>
    </row>
    <row r="50" spans="1:1" x14ac:dyDescent="0.25">
      <c r="A50" s="2" t="s">
        <v>99</v>
      </c>
    </row>
    <row r="51" spans="1:1" x14ac:dyDescent="0.25">
      <c r="A51" s="2" t="s">
        <v>100</v>
      </c>
    </row>
    <row r="52" spans="1:1" x14ac:dyDescent="0.25">
      <c r="A52" s="2"/>
    </row>
    <row r="53" spans="1:1" x14ac:dyDescent="0.25">
      <c r="A53" s="2" t="s">
        <v>101</v>
      </c>
    </row>
    <row r="54" spans="1:1" x14ac:dyDescent="0.25">
      <c r="A54" s="2" t="s">
        <v>102</v>
      </c>
    </row>
    <row r="55" spans="1:1" x14ac:dyDescent="0.25">
      <c r="A55" s="2" t="s">
        <v>103</v>
      </c>
    </row>
    <row r="56" spans="1:1" x14ac:dyDescent="0.25">
      <c r="A56" s="2" t="s">
        <v>104</v>
      </c>
    </row>
    <row r="57" spans="1:1" x14ac:dyDescent="0.25">
      <c r="A57" s="2" t="s">
        <v>105</v>
      </c>
    </row>
    <row r="69" spans="1:3" x14ac:dyDescent="0.25">
      <c r="A69" t="s">
        <v>21</v>
      </c>
      <c r="B69">
        <v>6.6</v>
      </c>
      <c r="C69" t="s">
        <v>22</v>
      </c>
    </row>
    <row r="70" spans="1:3" x14ac:dyDescent="0.25">
      <c r="A70" t="s">
        <v>35</v>
      </c>
      <c r="B70">
        <v>0.1</v>
      </c>
      <c r="C70" t="s">
        <v>28</v>
      </c>
    </row>
    <row r="71" spans="1:3" x14ac:dyDescent="0.25">
      <c r="A71" t="s">
        <v>23</v>
      </c>
      <c r="B71">
        <v>0.55000000000000004</v>
      </c>
      <c r="C71" t="s">
        <v>22</v>
      </c>
    </row>
    <row r="72" spans="1:3" x14ac:dyDescent="0.25">
      <c r="A72" t="s">
        <v>24</v>
      </c>
      <c r="B72">
        <v>150000</v>
      </c>
      <c r="C72" t="s">
        <v>25</v>
      </c>
    </row>
    <row r="73" spans="1:3" x14ac:dyDescent="0.25">
      <c r="A73" t="s">
        <v>26</v>
      </c>
      <c r="B73">
        <v>9.7999999999999997E-3</v>
      </c>
    </row>
    <row r="74" spans="1:3" x14ac:dyDescent="0.25">
      <c r="A74" t="s">
        <v>27</v>
      </c>
      <c r="B74">
        <v>7.7999999999999996E-3</v>
      </c>
    </row>
    <row r="75" spans="1:3" x14ac:dyDescent="0.25">
      <c r="A75" t="s">
        <v>32</v>
      </c>
      <c r="B75">
        <v>0.6</v>
      </c>
      <c r="C75" t="s">
        <v>28</v>
      </c>
    </row>
    <row r="76" spans="1:3" x14ac:dyDescent="0.25">
      <c r="A76" t="s">
        <v>30</v>
      </c>
      <c r="B76">
        <v>150000</v>
      </c>
      <c r="C76" t="s">
        <v>25</v>
      </c>
    </row>
    <row r="77" spans="1:3" x14ac:dyDescent="0.25">
      <c r="A77" t="s">
        <v>31</v>
      </c>
      <c r="B77">
        <v>0.6</v>
      </c>
      <c r="C77" t="s">
        <v>22</v>
      </c>
    </row>
    <row r="78" spans="1:3" x14ac:dyDescent="0.25">
      <c r="A78" t="s">
        <v>34</v>
      </c>
      <c r="B78">
        <f>B73/B74</f>
        <v>1.2564102564102564</v>
      </c>
    </row>
    <row r="80" spans="1:3" x14ac:dyDescent="0.25">
      <c r="A80" t="s">
        <v>20</v>
      </c>
      <c r="B80" s="7">
        <f>(B69-B71)*1/B72*B73/B74*1000*1000</f>
        <v>50.675213675213676</v>
      </c>
      <c r="C80" t="s">
        <v>28</v>
      </c>
    </row>
    <row r="83" spans="1:4" x14ac:dyDescent="0.25">
      <c r="A83" t="s">
        <v>29</v>
      </c>
      <c r="B83" s="2">
        <f>(B80+B75)/(1000000)*B76+B77</f>
        <v>8.2912820512820513</v>
      </c>
      <c r="C83" t="s">
        <v>22</v>
      </c>
    </row>
    <row r="87" spans="1:4" x14ac:dyDescent="0.25">
      <c r="A87" t="s">
        <v>33</v>
      </c>
      <c r="B87">
        <f>B69*(B76/B72)*B78</f>
        <v>8.2923076923076913</v>
      </c>
      <c r="C87">
        <f>(B77-B71*B76/B72*B78)</f>
        <v>-9.1025641025641146E-2</v>
      </c>
      <c r="D87">
        <f>B76*(B75-B70*B78)/1000000</f>
        <v>7.1153846153846151E-2</v>
      </c>
    </row>
    <row r="88" spans="1:4" x14ac:dyDescent="0.25">
      <c r="B88">
        <f>B87+C87+D87</f>
        <v>8.272435897435896</v>
      </c>
    </row>
  </sheetData>
  <scenarios current="0">
    <scenario name="baseCurrent" count="1" user="Numaan" comment="Created by Numaan on 9/16/2020">
      <inputCells r="M27" val="1.69432623055875"/>
    </scenario>
  </scenarios>
  <mergeCells count="5">
    <mergeCell ref="V14:AA14"/>
    <mergeCell ref="N13:R13"/>
    <mergeCell ref="AD14:AK14"/>
    <mergeCell ref="A1:H1"/>
    <mergeCell ref="K14:T14"/>
  </mergeCells>
  <hyperlinks>
    <hyperlink ref="A2" r:id="rId1" location="Naslov_NaZacetek" display="http://e-rokodelnica.si/A004/A004_EN.html - Naslov_NaZacetek"/>
    <hyperlink ref="A3" r:id="rId2"/>
  </hyperlinks>
  <pageMargins left="0.7" right="0.7" top="0.75" bottom="0.75" header="0.3" footer="0.3"/>
  <pageSetup paperSize="9" orientation="portrait" horizontalDpi="4294967293"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heetViews>
  <sheetFormatPr defaultRowHeight="15" x14ac:dyDescent="0.25"/>
  <cols>
    <col min="1" max="1" width="19" style="2" customWidth="1"/>
    <col min="2" max="2" width="12.42578125" style="2" customWidth="1"/>
    <col min="3" max="3" width="34.7109375" style="2" customWidth="1"/>
    <col min="4" max="16384" width="9.140625" style="2"/>
  </cols>
  <sheetData>
    <row r="1" spans="1:23" ht="15" customHeight="1" x14ac:dyDescent="0.25">
      <c r="A1" s="1" t="s">
        <v>9</v>
      </c>
      <c r="C1" s="2" t="s">
        <v>13</v>
      </c>
      <c r="D1" s="2">
        <f>5.39/2</f>
        <v>2.6949999999999998</v>
      </c>
      <c r="E1" s="2" t="s">
        <v>14</v>
      </c>
      <c r="F1" s="2">
        <v>10.53</v>
      </c>
      <c r="M1" s="61" t="s">
        <v>106</v>
      </c>
      <c r="N1" s="62"/>
      <c r="O1" s="63"/>
      <c r="T1" s="2" t="s">
        <v>65</v>
      </c>
    </row>
    <row r="2" spans="1:23" x14ac:dyDescent="0.25">
      <c r="B2" s="3">
        <v>0.154</v>
      </c>
      <c r="C2" s="3" t="s">
        <v>15</v>
      </c>
      <c r="D2" s="3">
        <v>0.104</v>
      </c>
      <c r="G2" s="4">
        <f>B2-D2</f>
        <v>0.05</v>
      </c>
      <c r="H2" s="4" t="s">
        <v>4</v>
      </c>
      <c r="M2" s="64"/>
      <c r="N2" s="65"/>
      <c r="O2" s="66"/>
      <c r="T2" s="2" t="s">
        <v>66</v>
      </c>
    </row>
    <row r="3" spans="1:23" x14ac:dyDescent="0.25">
      <c r="G3" s="4"/>
      <c r="H3" s="4"/>
      <c r="M3" s="64"/>
      <c r="N3" s="65"/>
      <c r="O3" s="66"/>
      <c r="T3" s="2" t="s">
        <v>67</v>
      </c>
    </row>
    <row r="4" spans="1:23" x14ac:dyDescent="0.25">
      <c r="A4" s="5" t="str">
        <f>CONCATENATE("@",F1," V/V")</f>
        <v>@10.53 V/V</v>
      </c>
      <c r="B4" s="2">
        <f>D1+B2*F1</f>
        <v>4.3166199999999995</v>
      </c>
      <c r="C4" s="2" t="s">
        <v>0</v>
      </c>
      <c r="D4" s="2">
        <f>D1+D2*F1</f>
        <v>3.7901199999999999</v>
      </c>
      <c r="G4" s="4">
        <f>G2*10.53</f>
        <v>0.52649999999999997</v>
      </c>
      <c r="H4" s="4" t="s">
        <v>3</v>
      </c>
      <c r="M4" s="64"/>
      <c r="N4" s="65"/>
      <c r="O4" s="66"/>
    </row>
    <row r="5" spans="1:23" x14ac:dyDescent="0.25">
      <c r="G5" s="4"/>
      <c r="H5" s="4"/>
      <c r="M5" s="64"/>
      <c r="N5" s="65"/>
      <c r="O5" s="66"/>
      <c r="T5" s="2" t="s">
        <v>68</v>
      </c>
    </row>
    <row r="6" spans="1:23" x14ac:dyDescent="0.25">
      <c r="B6" s="2">
        <v>1.1599999999999999</v>
      </c>
      <c r="C6" s="2" t="s">
        <v>1</v>
      </c>
      <c r="D6" s="2">
        <v>1.7250000000000001</v>
      </c>
      <c r="G6" s="4"/>
      <c r="H6" s="4"/>
      <c r="M6" s="64"/>
      <c r="N6" s="65"/>
      <c r="O6" s="66"/>
      <c r="T6" s="2" t="s">
        <v>69</v>
      </c>
    </row>
    <row r="7" spans="1:23" x14ac:dyDescent="0.25">
      <c r="B7" s="2">
        <f>5.39-B6</f>
        <v>4.2299999999999995</v>
      </c>
      <c r="C7" s="2" t="s">
        <v>2</v>
      </c>
      <c r="D7" s="2">
        <f>5.39-D6</f>
        <v>3.6649999999999996</v>
      </c>
      <c r="G7" s="4">
        <f>B7-D7</f>
        <v>0.56499999999999995</v>
      </c>
      <c r="H7" s="4" t="s">
        <v>12</v>
      </c>
      <c r="M7" s="64"/>
      <c r="N7" s="65"/>
      <c r="O7" s="66"/>
      <c r="U7" s="2" t="s">
        <v>70</v>
      </c>
      <c r="V7" s="2" t="s">
        <v>71</v>
      </c>
    </row>
    <row r="8" spans="1:23" x14ac:dyDescent="0.25">
      <c r="B8" s="2">
        <f>B7-D1</f>
        <v>1.5349999999999997</v>
      </c>
      <c r="C8" s="2" t="s">
        <v>5</v>
      </c>
      <c r="D8" s="2">
        <f>D7-D1</f>
        <v>0.96999999999999975</v>
      </c>
      <c r="M8" s="64"/>
      <c r="N8" s="65"/>
      <c r="O8" s="66"/>
      <c r="U8" s="2" t="s">
        <v>72</v>
      </c>
      <c r="W8" s="2" t="s">
        <v>73</v>
      </c>
    </row>
    <row r="9" spans="1:23" x14ac:dyDescent="0.25">
      <c r="B9" s="6">
        <f>B4-B7</f>
        <v>8.6619999999999919E-2</v>
      </c>
      <c r="C9" s="2" t="s">
        <v>18</v>
      </c>
      <c r="D9" s="6">
        <f>D4-D7</f>
        <v>0.12512000000000034</v>
      </c>
      <c r="M9" s="64"/>
      <c r="N9" s="65"/>
      <c r="O9" s="66"/>
      <c r="U9" s="2" t="s">
        <v>74</v>
      </c>
      <c r="W9" s="2" t="s">
        <v>75</v>
      </c>
    </row>
    <row r="10" spans="1:23" ht="15.75" thickBot="1" x14ac:dyDescent="0.3">
      <c r="M10" s="67"/>
      <c r="N10" s="68"/>
      <c r="O10" s="69"/>
      <c r="T10" s="2" t="s">
        <v>76</v>
      </c>
    </row>
    <row r="11" spans="1:23" x14ac:dyDescent="0.25">
      <c r="B11" s="2">
        <f>B7/B2</f>
        <v>27.467532467532465</v>
      </c>
      <c r="C11" s="2" t="s">
        <v>6</v>
      </c>
      <c r="D11" s="2">
        <f>D7/D2</f>
        <v>35.240384615384613</v>
      </c>
      <c r="G11" s="2">
        <f>B11-D11</f>
        <v>-7.7728521478521486</v>
      </c>
      <c r="U11" s="2" t="s">
        <v>72</v>
      </c>
      <c r="W11" s="2" t="s">
        <v>77</v>
      </c>
    </row>
    <row r="12" spans="1:23" x14ac:dyDescent="0.25">
      <c r="B12" s="2">
        <f>B8/B2</f>
        <v>9.9675324675324664</v>
      </c>
      <c r="C12" s="2" t="s">
        <v>7</v>
      </c>
      <c r="D12" s="2">
        <f>D8/D2</f>
        <v>9.3269230769230749</v>
      </c>
      <c r="G12" s="2">
        <f>B12-D12</f>
        <v>0.64060939060939148</v>
      </c>
      <c r="I12" s="2" t="s">
        <v>10</v>
      </c>
      <c r="J12" s="2">
        <f>100*G12/D12</f>
        <v>6.8683893426161573</v>
      </c>
    </row>
    <row r="14" spans="1:23" x14ac:dyDescent="0.25">
      <c r="A14" s="1" t="s">
        <v>8</v>
      </c>
      <c r="C14" s="2" t="s">
        <v>13</v>
      </c>
      <c r="D14" s="2">
        <f>4.9/2</f>
        <v>2.4500000000000002</v>
      </c>
      <c r="E14" s="2" t="s">
        <v>14</v>
      </c>
      <c r="F14" s="2">
        <v>9.57</v>
      </c>
      <c r="T14" s="2" t="s">
        <v>78</v>
      </c>
    </row>
    <row r="15" spans="1:23" x14ac:dyDescent="0.25">
      <c r="B15" s="3">
        <v>0.154</v>
      </c>
      <c r="C15" s="3" t="s">
        <v>15</v>
      </c>
      <c r="D15" s="3">
        <v>0.104</v>
      </c>
      <c r="G15" s="4">
        <f>B15-D15</f>
        <v>0.05</v>
      </c>
      <c r="H15" s="4" t="s">
        <v>4</v>
      </c>
      <c r="T15" s="2" t="s">
        <v>79</v>
      </c>
    </row>
    <row r="16" spans="1:23" x14ac:dyDescent="0.25">
      <c r="G16" s="4"/>
      <c r="H16" s="4"/>
      <c r="T16" s="2" t="s">
        <v>69</v>
      </c>
    </row>
    <row r="17" spans="1:24" x14ac:dyDescent="0.25">
      <c r="A17" s="5" t="str">
        <f>CONCATENATE("@",F14," V/V")</f>
        <v>@9.57 V/V</v>
      </c>
      <c r="B17" s="2">
        <f>D14+B15*F14</f>
        <v>3.9237800000000003</v>
      </c>
      <c r="C17" s="2" t="s">
        <v>0</v>
      </c>
      <c r="D17" s="2">
        <f>D14+D15*F14</f>
        <v>3.4452800000000003</v>
      </c>
      <c r="G17" s="4">
        <f>G15*9.57</f>
        <v>0.47850000000000004</v>
      </c>
      <c r="H17" s="4" t="s">
        <v>3</v>
      </c>
      <c r="U17" s="2" t="s">
        <v>72</v>
      </c>
      <c r="V17" s="2" t="s">
        <v>80</v>
      </c>
    </row>
    <row r="18" spans="1:24" x14ac:dyDescent="0.25">
      <c r="G18" s="4"/>
      <c r="H18" s="4"/>
      <c r="U18" s="2" t="s">
        <v>72</v>
      </c>
      <c r="V18" s="2" t="s">
        <v>81</v>
      </c>
    </row>
    <row r="19" spans="1:24" x14ac:dyDescent="0.25">
      <c r="B19" s="2">
        <v>1.99</v>
      </c>
      <c r="C19" s="2" t="s">
        <v>1</v>
      </c>
      <c r="D19" s="2">
        <v>2.33</v>
      </c>
      <c r="G19" s="4"/>
      <c r="H19" s="4"/>
      <c r="T19" s="2" t="s">
        <v>76</v>
      </c>
    </row>
    <row r="20" spans="1:24" x14ac:dyDescent="0.25">
      <c r="B20" s="2">
        <f>5.39-B19</f>
        <v>3.3999999999999995</v>
      </c>
      <c r="C20" s="2" t="s">
        <v>2</v>
      </c>
      <c r="D20" s="2">
        <f>5.39-D19</f>
        <v>3.0599999999999996</v>
      </c>
      <c r="G20" s="4">
        <f>B20-D20</f>
        <v>0.33999999999999986</v>
      </c>
      <c r="H20" s="4" t="s">
        <v>12</v>
      </c>
      <c r="U20" s="2" t="s">
        <v>72</v>
      </c>
      <c r="W20" s="2" t="s">
        <v>82</v>
      </c>
    </row>
    <row r="21" spans="1:24" x14ac:dyDescent="0.25">
      <c r="B21" s="2">
        <f>B20-D14</f>
        <v>0.94999999999999929</v>
      </c>
      <c r="C21" s="2" t="s">
        <v>5</v>
      </c>
      <c r="D21" s="2">
        <f>D20-D14</f>
        <v>0.60999999999999943</v>
      </c>
    </row>
    <row r="22" spans="1:24" x14ac:dyDescent="0.25">
      <c r="B22" s="6">
        <f>B17-B20</f>
        <v>0.5237800000000008</v>
      </c>
      <c r="C22" s="2" t="s">
        <v>18</v>
      </c>
      <c r="D22" s="6">
        <f>D17-D20</f>
        <v>0.38528000000000073</v>
      </c>
    </row>
    <row r="23" spans="1:24" x14ac:dyDescent="0.25">
      <c r="T23" s="2" t="s">
        <v>83</v>
      </c>
    </row>
    <row r="24" spans="1:24" x14ac:dyDescent="0.25">
      <c r="B24" s="2">
        <f>B20/B15</f>
        <v>22.077922077922075</v>
      </c>
      <c r="C24" s="2" t="s">
        <v>6</v>
      </c>
      <c r="D24" s="2">
        <f>D20/D15</f>
        <v>29.42307692307692</v>
      </c>
      <c r="G24" s="2">
        <f>B24-D24</f>
        <v>-7.3451548451548447</v>
      </c>
      <c r="T24" s="2" t="s">
        <v>79</v>
      </c>
    </row>
    <row r="25" spans="1:24" x14ac:dyDescent="0.25">
      <c r="B25" s="2">
        <f>B21/B15</f>
        <v>6.1688311688311641</v>
      </c>
      <c r="C25" s="2" t="s">
        <v>7</v>
      </c>
      <c r="D25" s="2">
        <f>D21/D15</f>
        <v>5.8653846153846105</v>
      </c>
      <c r="G25" s="2">
        <f>B25-D25</f>
        <v>0.30344655344655358</v>
      </c>
      <c r="I25" s="2" t="s">
        <v>10</v>
      </c>
      <c r="J25" s="2">
        <f>100*G25/D25</f>
        <v>5.1735150095805897</v>
      </c>
    </row>
    <row r="26" spans="1:24" x14ac:dyDescent="0.25">
      <c r="T26" s="2" t="s">
        <v>69</v>
      </c>
    </row>
    <row r="27" spans="1:24" x14ac:dyDescent="0.25">
      <c r="U27" s="2" t="s">
        <v>72</v>
      </c>
      <c r="V27" s="2" t="s">
        <v>84</v>
      </c>
    </row>
    <row r="28" spans="1:24" x14ac:dyDescent="0.25">
      <c r="A28" s="1" t="s">
        <v>17</v>
      </c>
      <c r="C28" s="2" t="s">
        <v>13</v>
      </c>
      <c r="D28" s="2">
        <f>2.16</f>
        <v>2.16</v>
      </c>
      <c r="E28" s="2" t="s">
        <v>14</v>
      </c>
      <c r="F28" s="2">
        <f>4.383/0.512</f>
        <v>8.560546875</v>
      </c>
      <c r="U28" s="2" t="s">
        <v>72</v>
      </c>
      <c r="V28" s="2" t="s">
        <v>85</v>
      </c>
    </row>
    <row r="29" spans="1:24" x14ac:dyDescent="0.25">
      <c r="B29" s="3">
        <v>0.154</v>
      </c>
      <c r="C29" s="3" t="s">
        <v>15</v>
      </c>
      <c r="D29" s="3">
        <v>0.104</v>
      </c>
      <c r="G29" s="4">
        <f>B29-D29</f>
        <v>0.05</v>
      </c>
      <c r="H29" s="4" t="s">
        <v>4</v>
      </c>
      <c r="K29" s="2" t="s">
        <v>16</v>
      </c>
      <c r="T29" s="2" t="s">
        <v>76</v>
      </c>
    </row>
    <row r="30" spans="1:24" x14ac:dyDescent="0.25">
      <c r="G30" s="4"/>
      <c r="H30" s="4"/>
      <c r="U30" s="2" t="s">
        <v>72</v>
      </c>
      <c r="X30" s="2" t="s">
        <v>86</v>
      </c>
    </row>
    <row r="31" spans="1:24" x14ac:dyDescent="0.25">
      <c r="A31" s="5" t="str">
        <f>CONCATENATE("@",F28," V/V")</f>
        <v>@8.560546875 V/V</v>
      </c>
      <c r="B31" s="2">
        <f>D28+(B29*F28)</f>
        <v>3.4783242187500001</v>
      </c>
      <c r="C31" s="2" t="s">
        <v>0</v>
      </c>
      <c r="D31" s="2">
        <f>D28+(D29*F28)</f>
        <v>3.0502968749999999</v>
      </c>
      <c r="G31" s="4">
        <f>G29*8.61</f>
        <v>0.43049999999999999</v>
      </c>
      <c r="H31" s="4" t="s">
        <v>3</v>
      </c>
    </row>
    <row r="32" spans="1:24" x14ac:dyDescent="0.25">
      <c r="G32" s="4"/>
      <c r="H32" s="4"/>
    </row>
    <row r="33" spans="1:10" x14ac:dyDescent="0.25">
      <c r="A33" s="2">
        <f>100000/200</f>
        <v>500</v>
      </c>
      <c r="B33" s="2">
        <v>2.34</v>
      </c>
      <c r="C33" s="2" t="s">
        <v>1</v>
      </c>
      <c r="D33" s="2">
        <v>2.66</v>
      </c>
      <c r="G33" s="4"/>
      <c r="H33" s="4"/>
    </row>
    <row r="34" spans="1:10" x14ac:dyDescent="0.25">
      <c r="A34" s="2">
        <f>0.5*430</f>
        <v>215</v>
      </c>
      <c r="B34" s="2">
        <f>5.39-B33</f>
        <v>3.05</v>
      </c>
      <c r="C34" s="2" t="s">
        <v>2</v>
      </c>
      <c r="D34" s="2">
        <f>5.39-D33</f>
        <v>2.7299999999999995</v>
      </c>
      <c r="G34" s="4">
        <f>B34-D34</f>
        <v>0.32000000000000028</v>
      </c>
      <c r="H34" s="4" t="s">
        <v>12</v>
      </c>
    </row>
    <row r="35" spans="1:10" x14ac:dyDescent="0.25">
      <c r="B35" s="2">
        <f>B34-D28</f>
        <v>0.88999999999999968</v>
      </c>
      <c r="C35" s="2" t="s">
        <v>5</v>
      </c>
      <c r="D35" s="2">
        <f>D34-D28</f>
        <v>0.5699999999999994</v>
      </c>
    </row>
    <row r="36" spans="1:10" x14ac:dyDescent="0.25">
      <c r="B36" s="6">
        <f>B31-B34</f>
        <v>0.42832421875000026</v>
      </c>
      <c r="C36" s="2" t="s">
        <v>18</v>
      </c>
      <c r="D36" s="6">
        <f>D31-D34</f>
        <v>0.32029687500000037</v>
      </c>
    </row>
    <row r="38" spans="1:10" x14ac:dyDescent="0.25">
      <c r="B38" s="2">
        <f>B34/B29</f>
        <v>19.805194805194805</v>
      </c>
      <c r="C38" s="2" t="s">
        <v>6</v>
      </c>
      <c r="D38" s="2">
        <f>D34/D29</f>
        <v>26.249999999999996</v>
      </c>
      <c r="G38" s="2">
        <f>B38-D38</f>
        <v>-6.4448051948051912</v>
      </c>
    </row>
    <row r="39" spans="1:10" x14ac:dyDescent="0.25">
      <c r="B39" s="2">
        <f>B35/B29</f>
        <v>5.7792207792207773</v>
      </c>
      <c r="C39" s="2" t="s">
        <v>7</v>
      </c>
      <c r="D39" s="2">
        <f>D35/D29</f>
        <v>5.4807692307692255</v>
      </c>
      <c r="G39" s="2">
        <f>B39-D39</f>
        <v>0.29845154845155175</v>
      </c>
      <c r="I39" s="2" t="s">
        <v>10</v>
      </c>
      <c r="J39" s="2">
        <f>100*G39/D39</f>
        <v>5.4454317612213003</v>
      </c>
    </row>
    <row r="43" spans="1:10" x14ac:dyDescent="0.25">
      <c r="C43" s="3"/>
    </row>
    <row r="44" spans="1:10" x14ac:dyDescent="0.25">
      <c r="C44" s="3" t="s">
        <v>11</v>
      </c>
    </row>
    <row r="45" spans="1:10" x14ac:dyDescent="0.25">
      <c r="C45" s="2" t="s">
        <v>19</v>
      </c>
    </row>
  </sheetData>
  <mergeCells count="1">
    <mergeCell ref="M1:O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Numaan</dc:creator>
  <cp:lastModifiedBy>Numaan</cp:lastModifiedBy>
  <dcterms:created xsi:type="dcterms:W3CDTF">2020-08-12T17:33:04Z</dcterms:created>
  <dcterms:modified xsi:type="dcterms:W3CDTF">2020-09-23T09:36:22Z</dcterms:modified>
</cp:coreProperties>
</file>