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60" windowWidth="17235" windowHeight="8505" tabRatio="497"/>
  </bookViews>
  <sheets>
    <sheet name="Sheet2" sheetId="2" r:id="rId1"/>
    <sheet name="Sheet1" sheetId="1" r:id="rId2"/>
    <sheet name="Sheet3" sheetId="3" r:id="rId3"/>
  </sheets>
  <definedNames>
    <definedName name="solver_adj" localSheetId="0" hidden="1">Sheet2!$M$27</definedName>
    <definedName name="solver_cvg" localSheetId="0" hidden="1">0.0001</definedName>
    <definedName name="solver_drv" localSheetId="0" hidden="1">1</definedName>
    <definedName name="solver_eng" localSheetId="0" hidden="1">1</definedName>
    <definedName name="solver_est" localSheetId="0" hidden="1">1</definedName>
    <definedName name="solver_itr" localSheetId="0" hidden="1">2147483647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0</definedName>
    <definedName name="solver_nwt" localSheetId="0" hidden="1">1</definedName>
    <definedName name="solver_opt" localSheetId="0" hidden="1">Sheet2!$P$27</definedName>
    <definedName name="solver_pre" localSheetId="0" hidden="1">0.000001</definedName>
    <definedName name="solver_rbv" localSheetId="0" hidden="1">1</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3</definedName>
  </definedNames>
  <calcPr calcId="145621"/>
  <fileRecoveryPr repairLoad="1"/>
</workbook>
</file>

<file path=xl/calcChain.xml><?xml version="1.0" encoding="utf-8"?>
<calcChain xmlns="http://schemas.openxmlformats.org/spreadsheetml/2006/main">
  <c r="L38" i="2" l="1"/>
  <c r="L42" i="2"/>
  <c r="L41" i="2"/>
  <c r="L37" i="2"/>
  <c r="L36" i="2"/>
  <c r="L34" i="2"/>
  <c r="U16" i="2"/>
  <c r="U17" i="2"/>
  <c r="U18" i="2"/>
  <c r="U19" i="2"/>
  <c r="U20" i="2"/>
  <c r="U21" i="2"/>
  <c r="U22" i="2"/>
  <c r="U23" i="2"/>
  <c r="U24" i="2"/>
  <c r="U25" i="2"/>
  <c r="U26" i="2"/>
  <c r="U27" i="2"/>
  <c r="AJ24" i="2"/>
  <c r="AF24" i="2"/>
  <c r="AK24" i="2" s="1"/>
  <c r="AD24" i="2"/>
  <c r="T24" i="2"/>
  <c r="Q24" i="2"/>
  <c r="AE24" i="2" s="1"/>
  <c r="AC24" i="2" s="1"/>
  <c r="L24" i="2"/>
  <c r="AA24" i="2" s="1"/>
  <c r="R10" i="2"/>
  <c r="R9" i="2"/>
  <c r="L26" i="2"/>
  <c r="AA26" i="2" s="1"/>
  <c r="L17" i="2"/>
  <c r="O17" i="2" s="1"/>
  <c r="L18" i="2"/>
  <c r="O18" i="2" s="1"/>
  <c r="L19" i="2"/>
  <c r="O19" i="2" s="1"/>
  <c r="L20" i="2"/>
  <c r="AA20" i="2" s="1"/>
  <c r="L21" i="2"/>
  <c r="AA21" i="2" s="1"/>
  <c r="L22" i="2"/>
  <c r="O22" i="2" s="1"/>
  <c r="L23" i="2"/>
  <c r="O23" i="2" s="1"/>
  <c r="L25" i="2"/>
  <c r="AA25" i="2" s="1"/>
  <c r="L27" i="2"/>
  <c r="AA27" i="2" s="1"/>
  <c r="L16" i="2"/>
  <c r="O16" i="2" s="1"/>
  <c r="AJ27" i="2"/>
  <c r="T27" i="2"/>
  <c r="Q27" i="2"/>
  <c r="AB27" i="2" s="1"/>
  <c r="AJ25" i="2"/>
  <c r="T25" i="2"/>
  <c r="Q25" i="2"/>
  <c r="AE25" i="2" s="1"/>
  <c r="AC25" i="2" s="1"/>
  <c r="L9" i="2"/>
  <c r="AD18" i="2" s="1"/>
  <c r="Q19" i="2"/>
  <c r="AB19" i="2" s="1"/>
  <c r="T19" i="2"/>
  <c r="T18" i="2"/>
  <c r="T20" i="2"/>
  <c r="T21" i="2"/>
  <c r="T22" i="2"/>
  <c r="T23" i="2"/>
  <c r="T26" i="2"/>
  <c r="T16" i="2"/>
  <c r="Q18" i="2"/>
  <c r="N18" i="2" s="1"/>
  <c r="Q20" i="2"/>
  <c r="N20" i="2" s="1"/>
  <c r="Q21" i="2"/>
  <c r="X21" i="2" s="1"/>
  <c r="Q22" i="2"/>
  <c r="AE22" i="2" s="1"/>
  <c r="AC22" i="2" s="1"/>
  <c r="Q23" i="2"/>
  <c r="AE23" i="2" s="1"/>
  <c r="AC23" i="2" s="1"/>
  <c r="Q26" i="2"/>
  <c r="AE26" i="2" s="1"/>
  <c r="AC26" i="2" s="1"/>
  <c r="Q16" i="2"/>
  <c r="X16" i="2" s="1"/>
  <c r="L43" i="2" l="1"/>
  <c r="L45" i="2" s="1"/>
  <c r="AB25" i="2"/>
  <c r="AB23" i="2"/>
  <c r="R25" i="2"/>
  <c r="V25" i="2" s="1"/>
  <c r="AB26" i="2"/>
  <c r="AB16" i="2"/>
  <c r="AB20" i="2"/>
  <c r="AB21" i="2"/>
  <c r="AB22" i="2"/>
  <c r="O21" i="2"/>
  <c r="AA18" i="2"/>
  <c r="O24" i="2"/>
  <c r="AA17" i="2"/>
  <c r="AB18" i="2"/>
  <c r="X24" i="2"/>
  <c r="AB24" i="2"/>
  <c r="N24" i="2"/>
  <c r="P24" i="2" s="1"/>
  <c r="R24" i="2"/>
  <c r="AA23" i="2"/>
  <c r="AA22" i="2"/>
  <c r="O27" i="2"/>
  <c r="AA19" i="2"/>
  <c r="O25" i="2"/>
  <c r="O20" i="2"/>
  <c r="O26" i="2"/>
  <c r="AA16" i="2"/>
  <c r="R16" i="2"/>
  <c r="V16" i="2" s="1"/>
  <c r="R20" i="2"/>
  <c r="V20" i="2" s="1"/>
  <c r="R21" i="2"/>
  <c r="V21" i="2" s="1"/>
  <c r="R22" i="2"/>
  <c r="V22" i="2" s="1"/>
  <c r="R23" i="2"/>
  <c r="V23" i="2" s="1"/>
  <c r="R26" i="2"/>
  <c r="V26" i="2" s="1"/>
  <c r="N26" i="2"/>
  <c r="R27" i="2"/>
  <c r="V27" i="2" s="1"/>
  <c r="N27" i="2"/>
  <c r="R18" i="2"/>
  <c r="V18" i="2" s="1"/>
  <c r="R19" i="2"/>
  <c r="X18" i="2"/>
  <c r="X27" i="2"/>
  <c r="N25" i="2"/>
  <c r="X25" i="2"/>
  <c r="AD27" i="2"/>
  <c r="N19" i="2"/>
  <c r="X22" i="2"/>
  <c r="AF27" i="2"/>
  <c r="AK27" i="2" s="1"/>
  <c r="AE20" i="2"/>
  <c r="AC20" i="2" s="1"/>
  <c r="N23" i="2"/>
  <c r="X20" i="2"/>
  <c r="N16" i="2"/>
  <c r="N22" i="2"/>
  <c r="X23" i="2"/>
  <c r="X19" i="2"/>
  <c r="N21" i="2"/>
  <c r="AE21" i="2"/>
  <c r="AC21" i="2" s="1"/>
  <c r="X26" i="2"/>
  <c r="AE27" i="2"/>
  <c r="AC27" i="2" s="1"/>
  <c r="AD25" i="2"/>
  <c r="AF25" i="2"/>
  <c r="AK25" i="2" s="1"/>
  <c r="AE19" i="2"/>
  <c r="AC19" i="2" s="1"/>
  <c r="AE16" i="2"/>
  <c r="AE18" i="2"/>
  <c r="AC18" i="2" s="1"/>
  <c r="AF21" i="2"/>
  <c r="AK21" i="2" s="1"/>
  <c r="AF16" i="2"/>
  <c r="AK16" i="2" s="1"/>
  <c r="AD23" i="2"/>
  <c r="AD19" i="2"/>
  <c r="AJ19" i="2" s="1"/>
  <c r="AF26" i="2"/>
  <c r="AK26" i="2" s="1"/>
  <c r="AF20" i="2"/>
  <c r="AK20" i="2" s="1"/>
  <c r="AD22" i="2"/>
  <c r="AD17" i="2"/>
  <c r="AF23" i="2"/>
  <c r="AK23" i="2" s="1"/>
  <c r="AF18" i="2"/>
  <c r="AK18" i="2" s="1"/>
  <c r="AD21" i="2"/>
  <c r="AJ21" i="2" s="1"/>
  <c r="AD16" i="2"/>
  <c r="AF22" i="2"/>
  <c r="AK22" i="2" s="1"/>
  <c r="AF17" i="2"/>
  <c r="AK17" i="2" s="1"/>
  <c r="AF19" i="2"/>
  <c r="AK19" i="2" s="1"/>
  <c r="AD26" i="2"/>
  <c r="AD20" i="2"/>
  <c r="AJ18" i="2"/>
  <c r="AJ23" i="2"/>
  <c r="AJ17" i="2"/>
  <c r="AJ22" i="2"/>
  <c r="AJ26" i="2"/>
  <c r="AJ20" i="2"/>
  <c r="P18" i="2"/>
  <c r="V24" i="2" l="1"/>
  <c r="S24" i="2"/>
  <c r="P16" i="2"/>
  <c r="P19" i="2"/>
  <c r="P21" i="2"/>
  <c r="P25" i="2"/>
  <c r="P27" i="2"/>
  <c r="S27" i="2"/>
  <c r="S19" i="2"/>
  <c r="V19" i="2"/>
  <c r="W19" i="2" s="1"/>
  <c r="S21" i="2"/>
  <c r="S25" i="2"/>
  <c r="S16" i="2"/>
  <c r="S18" i="2"/>
  <c r="Z27" i="2"/>
  <c r="Y27" i="2" s="1"/>
  <c r="W27" i="2"/>
  <c r="AI16" i="2"/>
  <c r="AJ16" i="2" s="1"/>
  <c r="AG16" i="2"/>
  <c r="AC16" i="2"/>
  <c r="B78" i="2"/>
  <c r="C87" i="2" s="1"/>
  <c r="B80" i="2"/>
  <c r="B83" i="2" s="1"/>
  <c r="W24" i="2" l="1"/>
  <c r="Z24" i="2"/>
  <c r="Y24" i="2" s="1"/>
  <c r="Z19" i="2"/>
  <c r="Y19" i="2" s="1"/>
  <c r="S26" i="2"/>
  <c r="W16" i="2"/>
  <c r="Z16" i="2"/>
  <c r="Y16" i="2" s="1"/>
  <c r="Z21" i="2"/>
  <c r="Y21" i="2" s="1"/>
  <c r="W21" i="2"/>
  <c r="S22" i="2"/>
  <c r="Z18" i="2"/>
  <c r="Y18" i="2" s="1"/>
  <c r="W18" i="2"/>
  <c r="W25" i="2"/>
  <c r="Z25" i="2"/>
  <c r="Y25" i="2" s="1"/>
  <c r="S23" i="2"/>
  <c r="P20" i="2"/>
  <c r="D87" i="2"/>
  <c r="P23" i="2"/>
  <c r="P22" i="2"/>
  <c r="P26" i="2"/>
  <c r="B87" i="2"/>
  <c r="B88" i="2" s="1"/>
  <c r="A34" i="1"/>
  <c r="A33" i="1"/>
  <c r="G34" i="1"/>
  <c r="D9" i="1"/>
  <c r="B9" i="1"/>
  <c r="D4" i="1"/>
  <c r="B4" i="1"/>
  <c r="D22" i="1"/>
  <c r="B22" i="1"/>
  <c r="D17" i="1"/>
  <c r="B17" i="1"/>
  <c r="D36" i="1"/>
  <c r="B36" i="1"/>
  <c r="D28" i="1"/>
  <c r="D31" i="1" s="1"/>
  <c r="B31" i="1"/>
  <c r="F28" i="1"/>
  <c r="A17" i="1"/>
  <c r="A4" i="1"/>
  <c r="G31" i="1"/>
  <c r="G17" i="1"/>
  <c r="G29" i="1"/>
  <c r="G20" i="1"/>
  <c r="G15" i="1"/>
  <c r="D1" i="1"/>
  <c r="D8" i="1"/>
  <c r="D14" i="1"/>
  <c r="D21" i="1" s="1"/>
  <c r="D25" i="1" s="1"/>
  <c r="B8" i="1"/>
  <c r="B12" i="1" s="1"/>
  <c r="B21" i="1"/>
  <c r="B25" i="1" s="1"/>
  <c r="D34" i="1"/>
  <c r="B34" i="1"/>
  <c r="B38" i="1" s="1"/>
  <c r="D7" i="1"/>
  <c r="B7" i="1"/>
  <c r="G24" i="1"/>
  <c r="D20" i="1"/>
  <c r="D24" i="1" s="1"/>
  <c r="B20" i="1"/>
  <c r="G2" i="1"/>
  <c r="G4" i="1" s="1"/>
  <c r="D11" i="1"/>
  <c r="W23" i="2" l="1"/>
  <c r="Z23" i="2"/>
  <c r="Y23" i="2" s="1"/>
  <c r="Z26" i="2"/>
  <c r="Y26" i="2" s="1"/>
  <c r="W26" i="2"/>
  <c r="S20" i="2"/>
  <c r="Z22" i="2"/>
  <c r="Y22" i="2" s="1"/>
  <c r="W22" i="2"/>
  <c r="D35" i="1"/>
  <c r="A31" i="1"/>
  <c r="B35" i="1"/>
  <c r="B39" i="1" s="1"/>
  <c r="D39" i="1"/>
  <c r="D38" i="1"/>
  <c r="G38" i="1" s="1"/>
  <c r="G25" i="1"/>
  <c r="J25" i="1" s="1"/>
  <c r="B24" i="1"/>
  <c r="B11" i="1"/>
  <c r="G11" i="1" s="1"/>
  <c r="D12" i="1"/>
  <c r="G12" i="1" s="1"/>
  <c r="J12" i="1" s="1"/>
  <c r="G7" i="1"/>
  <c r="W20" i="2" l="1"/>
  <c r="Z20" i="2"/>
  <c r="Y20" i="2" s="1"/>
  <c r="G39" i="1"/>
  <c r="J39" i="1" s="1"/>
  <c r="T17" i="2"/>
  <c r="Q17" i="2"/>
  <c r="N17" i="2" l="1"/>
  <c r="P17" i="2" s="1"/>
  <c r="AB17" i="2"/>
  <c r="X17" i="2"/>
  <c r="R17" i="2"/>
  <c r="V17" i="2" s="1"/>
  <c r="AE17" i="2"/>
  <c r="AC17" i="2" s="1"/>
  <c r="S17" i="2" l="1"/>
  <c r="Z17" i="2"/>
  <c r="Y17" i="2" s="1"/>
  <c r="W17" i="2"/>
</calcChain>
</file>

<file path=xl/sharedStrings.xml><?xml version="1.0" encoding="utf-8"?>
<sst xmlns="http://schemas.openxmlformats.org/spreadsheetml/2006/main" count="224" uniqueCount="157">
  <si>
    <t>Expected output voltage</t>
  </si>
  <si>
    <t>Actual output voltage</t>
  </si>
  <si>
    <t>Actual output voltage (GND)</t>
  </si>
  <si>
    <t>Expected output voltage diff</t>
  </si>
  <si>
    <t>Input diff</t>
  </si>
  <si>
    <t>Actual output voltage (GND) (ADJ)</t>
  </si>
  <si>
    <t>Actual Gain (GND)</t>
  </si>
  <si>
    <t>Actual Gain (GND) (ADJ)</t>
  </si>
  <si>
    <t>@vRef=4.9, Vhdd2-GND=5.39</t>
  </si>
  <si>
    <t>vRef=5.39v(vhdd_2)</t>
  </si>
  <si>
    <t>As %</t>
  </si>
  <si>
    <t>TEST: INPUT can be +/- 2V</t>
  </si>
  <si>
    <t>Actual output voltage diff</t>
  </si>
  <si>
    <t>vRef ADJ =&gt;</t>
  </si>
  <si>
    <t>Gain =&gt;</t>
  </si>
  <si>
    <r>
      <t>Input voltage</t>
    </r>
    <r>
      <rPr>
        <sz val="11"/>
        <color theme="1"/>
        <rFont val="Calibri"/>
        <family val="2"/>
        <scheme val="minor"/>
      </rPr>
      <t xml:space="preserve"> (V_dd1=5.007V)</t>
    </r>
  </si>
  <si>
    <t>4.41/2+ (.15*(4.41/.512))</t>
  </si>
  <si>
    <t>@vRef=4.383, Vhdd2-GND=5.39</t>
  </si>
  <si>
    <t>Diff from expected</t>
  </si>
  <si>
    <t>TEST: Dedicated different 5V source. Try it up to 12V. Swap them and try to 30V.</t>
  </si>
  <si>
    <t>Feedforward Current</t>
  </si>
  <si>
    <t>Input voltage</t>
  </si>
  <si>
    <t>V</t>
  </si>
  <si>
    <t>BE_1</t>
  </si>
  <si>
    <t>R1</t>
  </si>
  <si>
    <t>Ohms</t>
  </si>
  <si>
    <t>K2</t>
  </si>
  <si>
    <t>K1</t>
  </si>
  <si>
    <t>uA</t>
  </si>
  <si>
    <t>Output Voltage</t>
  </si>
  <si>
    <t>R3</t>
  </si>
  <si>
    <t>BE_3</t>
  </si>
  <si>
    <t>Base_3</t>
  </si>
  <si>
    <t>Output Voltage(2)</t>
  </si>
  <si>
    <t>K3</t>
  </si>
  <si>
    <t>Base_1</t>
  </si>
  <si>
    <t>Input Voltage</t>
  </si>
  <si>
    <t>LED Current (mA)</t>
  </si>
  <si>
    <t>Q1 Base Current (uA)</t>
  </si>
  <si>
    <t>Excess Current (uA)</t>
  </si>
  <si>
    <t>Total Current (uA)</t>
  </si>
  <si>
    <t>Q1_V_BE</t>
  </si>
  <si>
    <t>Led_Drop</t>
  </si>
  <si>
    <t>Use Excel Solver to Determine Base-Current By Minimising Excess-Current</t>
  </si>
  <si>
    <t>Q2_V_BE</t>
  </si>
  <si>
    <t>Q1_hFE</t>
  </si>
  <si>
    <t>Q2_hFE</t>
  </si>
  <si>
    <t>Q2_I_B (uA)</t>
  </si>
  <si>
    <t>Q2_I_B current must be &gt; 5uA, Q1's collector-base cut-off current</t>
  </si>
  <si>
    <t xml:space="preserve"> </t>
  </si>
  <si>
    <t>(to .72) V</t>
  </si>
  <si>
    <t>Transmitter Side</t>
  </si>
  <si>
    <t>Receiver Side</t>
  </si>
  <si>
    <t>Q1_V_C&amp;Q2_V_B</t>
  </si>
  <si>
    <t>Q1_V_C voltage must be &gt; 0.90, Q1's Base-Emitter Saturation Voltage, for Active Mode</t>
  </si>
  <si>
    <t>FF Current @ K2</t>
  </si>
  <si>
    <t>V_Drop @ 150k</t>
  </si>
  <si>
    <t>V_Pin 5-6</t>
  </si>
  <si>
    <t>I_B3 (uA)</t>
  </si>
  <si>
    <t>X-FF Current (uA)</t>
  </si>
  <si>
    <t>X-FF Voltage 2</t>
  </si>
  <si>
    <t>KVL_1 Diff</t>
  </si>
  <si>
    <t>KVL_2 Diff</t>
  </si>
  <si>
    <t>V_Drop @ Alpha1'</t>
  </si>
  <si>
    <t>Custom Simple Receiver</t>
  </si>
  <si>
    <t>Android Voltage</t>
  </si>
  <si>
    <t>Alpha2 Resistor</t>
  </si>
  <si>
    <t>Ohms (6.5k ideal for 100V ones)</t>
  </si>
  <si>
    <t>103mV -&gt; 2.2mV (10/470)</t>
  </si>
  <si>
    <t>154mV -&gt; 2.2mV output, 10mA current through R@15Ohms, 11mA current through Vdd1 (15/470)</t>
  </si>
  <si>
    <t xml:space="preserve">NO INPUT -&gt; 2.2mV </t>
  </si>
  <si>
    <t>vRef=5v(vhdd_2)</t>
  </si>
  <si>
    <t>15/470 (154mV)</t>
  </si>
  <si>
    <t>no input (floating)</t>
  </si>
  <si>
    <t>= +92mV vhdd_2 -&gt; vout (so 5v-.092= ~4.9V )</t>
  </si>
  <si>
    <t>input connected</t>
  </si>
  <si>
    <t>= 1.16V</t>
  </si>
  <si>
    <t>input to ground</t>
  </si>
  <si>
    <t xml:space="preserve">= 2.7V </t>
  </si>
  <si>
    <t>10/470 (104mV)</t>
  </si>
  <si>
    <t>= +1.725V - 1.689 (constantly fluctuating)</t>
  </si>
  <si>
    <t>@vRef=4.9 (680/6800 divider)</t>
  </si>
  <si>
    <t>Vhdd2-GND = 5.39</t>
  </si>
  <si>
    <t>but off = 2.42V</t>
  </si>
  <si>
    <t xml:space="preserve">        = 1.99V</t>
  </si>
  <si>
    <t>= 2.33V (minimal fluctuation, +/- 2mV)</t>
  </si>
  <si>
    <t>@vRef=4.38 (1500/6800 divider (theoretical=4.42))</t>
  </si>
  <si>
    <t>but off = 2.16V</t>
  </si>
  <si>
    <t xml:space="preserve">        = 2.34V</t>
  </si>
  <si>
    <t>= 2.66V</t>
  </si>
  <si>
    <t>il300-with-self-feedback</t>
  </si>
  <si>
    <t>1.22, transmitter main</t>
  </si>
  <si>
    <t>0.539, transmitter feedback</t>
  </si>
  <si>
    <t>*Receiver with same src of 5V*</t>
  </si>
  <si>
    <t xml:space="preserve">0.398@4.4v input </t>
  </si>
  <si>
    <t>0.412 @6.4V input</t>
  </si>
  <si>
    <t>0.425 @8.49v input)</t>
  </si>
  <si>
    <t>*with another 5.4v src on receiver*</t>
  </si>
  <si>
    <t xml:space="preserve"> 38.3 uA@R3</t>
  </si>
  <si>
    <t>5.39 output @ 10.44v input - 39 uA@R3, 8.2mA into pin 2 (Pin 1-&gt;2 voltage drop=1.26V, 5-&gt;6=0.38V), 38.2uA into pin 6</t>
  </si>
  <si>
    <t>5.39 output @ 8.51v input  - 38 uA@R3, 53 uA@R1, 6.6mA into pin 2 (1-&gt;2 VD=1.24V, 5-&gt;6=0.364V), 38.1uA into pin 6</t>
  </si>
  <si>
    <t>5.39 output @ 6.4v input   - 37.1 uA@R3 , 5.1mA into pin 2 (1-&gt;2 VD=1.235V, 5-&gt;6=0.318), 37uA into pin 6</t>
  </si>
  <si>
    <t xml:space="preserve">5.39 output @ 4.68v input , 3.5mA into pin 2 </t>
  </si>
  <si>
    <t>0.92 output @ 0v input</t>
  </si>
  <si>
    <t>* with 10.11v src receiver</t>
  </si>
  <si>
    <t xml:space="preserve">10.09V output @ 10.44v input </t>
  </si>
  <si>
    <t xml:space="preserve">10.09V output @ 8.5v input </t>
  </si>
  <si>
    <t>8.3V output @ 6.6v input, 39.6uA into T1 base, 29uA into T2 base, 5.0mA into pin 2 (Pin2-&gt;1=1.23V,   )</t>
  </si>
  <si>
    <t>6.2V output @ 4.68v input</t>
  </si>
  <si>
    <r>
      <rPr>
        <b/>
        <sz val="11"/>
        <color rgb="FFFF0000"/>
        <rFont val="Calibri"/>
        <family val="2"/>
        <scheme val="minor"/>
      </rPr>
      <t xml:space="preserve">REDUNDANT PAGE                      </t>
    </r>
    <r>
      <rPr>
        <sz val="11"/>
        <color rgb="FFFF0000"/>
        <rFont val="Calibri"/>
        <family val="2"/>
        <scheme val="minor"/>
      </rPr>
      <t>THIS SHEET WAS FOR OPTOCOUPLER READING WITH ANOTHER 5V SRC ON PV RECEIVING SIDE LIKE MOST OPTOCOUPLER CIRCUITS ARE BUT NOT DOING THIS AS DOESN'T TRULY ISOLATE PV SUPPLY FROM MODULE</t>
    </r>
  </si>
  <si>
    <t>This doesn't require another dedicated power supply on Input so going with this approach for Optocoupler</t>
  </si>
  <si>
    <t>http://e-rokodelnica.si/A004/A004_EN.html#Naslov_NaZacetek</t>
  </si>
  <si>
    <t>https://www.edn.com/signal-powered-linear-optocoupler-provides-isolated-control-signal/</t>
  </si>
  <si>
    <t>Max voltage drop at LED is 1.25V so rest is dropped across PNP</t>
  </si>
  <si>
    <t>Large capacitor should go somewhere wrt PV input alongside C1</t>
  </si>
  <si>
    <t>BJT drops should be &lt;&lt; 40V and Power Dissipation with temperature derating=500-(4*25)=400mW and 250mW (PNP)</t>
  </si>
  <si>
    <t>Safety</t>
  </si>
  <si>
    <t>LED_PWR (mW)</t>
  </si>
  <si>
    <t>Q2 Pwr (mW)</t>
  </si>
  <si>
    <t>Q1_Pwr (mW)</t>
  </si>
  <si>
    <t>Q2 V_Drop</t>
  </si>
  <si>
    <t>Q1 V_Drop</t>
  </si>
  <si>
    <t>LED_PWR must be &lt; 150mW, LED_Current &lt; 50mA</t>
  </si>
  <si>
    <t>R2</t>
  </si>
  <si>
    <t>V_Drop @ R2</t>
  </si>
  <si>
    <t>K2 Min</t>
  </si>
  <si>
    <t>K2 Max</t>
  </si>
  <si>
    <t>Bin-H Middle</t>
  </si>
  <si>
    <t>(0.851 to 0.955, 0.90 Middle, +/-6% Change - Band E)</t>
  </si>
  <si>
    <t>Current value for Class H one (Can be .006 to .017)</t>
  </si>
  <si>
    <t>Current value for Class H</t>
  </si>
  <si>
    <t>FB Current(uA)</t>
  </si>
  <si>
    <t>V_Drop @ R1</t>
  </si>
  <si>
    <t>Resistors should have &lt; 1/8W power (220 Ohm@50mA LED current =&gt; 0.55W, 150k Ohm@394uA=&gt;23mW) and &lt;200V</t>
  </si>
  <si>
    <t>R2_Pwr (W)</t>
  </si>
  <si>
    <t>Q1/Q2 hFEs verify. Which class are they?</t>
  </si>
  <si>
    <t>R1_Pwr (W)</t>
  </si>
  <si>
    <t>IL300_Fb_Drop</t>
  </si>
  <si>
    <t>Q2_E_Max(mA)</t>
  </si>
  <si>
    <t>Q2_E_Max should be &gt; LED_Current, so can be limited to LED_Current by the BJTs</t>
  </si>
  <si>
    <t>^^^^^</t>
  </si>
  <si>
    <t>(47k*2)</t>
  </si>
  <si>
    <t>Voltage divider resistor values to make it a 1/3 =&gt; 120V becomes 40V (max)</t>
  </si>
  <si>
    <t>Voltage Divider Calcs</t>
  </si>
  <si>
    <t>V_In</t>
  </si>
  <si>
    <t>V_Out</t>
  </si>
  <si>
    <t>A (max LED)</t>
  </si>
  <si>
    <t>Load Current</t>
  </si>
  <si>
    <t>Use single-bucket IL300-E ones and add to order-list</t>
  </si>
  <si>
    <t>R2 Current</t>
  </si>
  <si>
    <t>R1 Current</t>
  </si>
  <si>
    <t>A</t>
  </si>
  <si>
    <t>Load Resistance</t>
  </si>
  <si>
    <t>Total Lower R</t>
  </si>
  <si>
    <t>Total Current</t>
  </si>
  <si>
    <t>Difference</t>
  </si>
  <si>
    <t>Single Circuit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</si>
</sst>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8" formatCode="0.0"/>
  </numFmts>
  <fonts count="11" x14ac:knownFonts="1">
    <font>
      <sz val="11"/>
      <color theme="1"/>
      <name val="Calibri"/>
      <family val="2"/>
      <scheme val="minor"/>
    </font>
    <font>
      <b/>
      <sz val="11"/>
      <color theme="1"/>
      <name val="Calibri"/>
      <family val="2"/>
      <scheme val="minor"/>
    </font>
    <font>
      <i/>
      <sz val="11"/>
      <color theme="1"/>
      <name val="Calibri"/>
      <family val="2"/>
      <scheme val="minor"/>
    </font>
    <font>
      <b/>
      <sz val="11"/>
      <color rgb="FFFF0000"/>
      <name val="Calibri"/>
      <family val="2"/>
      <scheme val="minor"/>
    </font>
    <font>
      <sz val="11"/>
      <color rgb="FFFF0000"/>
      <name val="Calibri"/>
      <family val="2"/>
      <scheme val="minor"/>
    </font>
    <font>
      <sz val="11"/>
      <color theme="8"/>
      <name val="Calibri"/>
      <family val="2"/>
      <scheme val="minor"/>
    </font>
    <font>
      <u/>
      <sz val="11"/>
      <color theme="10"/>
      <name val="Calibri"/>
      <family val="2"/>
      <scheme val="minor"/>
    </font>
    <font>
      <sz val="11"/>
      <color theme="0" tint="-0.34998626667073579"/>
      <name val="Calibri"/>
      <family val="2"/>
      <scheme val="minor"/>
    </font>
    <font>
      <b/>
      <sz val="11"/>
      <color theme="0" tint="-0.499984740745262"/>
      <name val="Calibri"/>
      <family val="2"/>
      <scheme val="minor"/>
    </font>
    <font>
      <sz val="11"/>
      <color theme="0" tint="-0.499984740745262"/>
      <name val="Calibri"/>
      <family val="2"/>
      <scheme val="minor"/>
    </font>
    <font>
      <b/>
      <u/>
      <sz val="11"/>
      <color theme="1"/>
      <name val="Calibri"/>
      <family val="2"/>
      <scheme val="minor"/>
    </font>
  </fonts>
  <fills count="9">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6" tint="0.59999389629810485"/>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6" fillId="0" borderId="0" applyNumberFormat="0" applyFill="0" applyBorder="0" applyAlignment="0" applyProtection="0"/>
  </cellStyleXfs>
  <cellXfs count="68">
    <xf numFmtId="0" fontId="0" fillId="0" borderId="0" xfId="0"/>
    <xf numFmtId="2" fontId="1" fillId="0" borderId="0" xfId="0" quotePrefix="1" applyNumberFormat="1" applyFont="1"/>
    <xf numFmtId="2" fontId="0" fillId="0" borderId="0" xfId="0" applyNumberFormat="1"/>
    <xf numFmtId="2" fontId="1" fillId="0" borderId="0" xfId="0" applyNumberFormat="1" applyFont="1"/>
    <xf numFmtId="2" fontId="2" fillId="0" borderId="0" xfId="0" applyNumberFormat="1" applyFont="1"/>
    <xf numFmtId="2" fontId="0" fillId="0" borderId="0" xfId="0" quotePrefix="1" applyNumberFormat="1"/>
    <xf numFmtId="2" fontId="3" fillId="0" borderId="0" xfId="0" applyNumberFormat="1" applyFont="1"/>
    <xf numFmtId="168" fontId="0" fillId="0" borderId="0" xfId="0" applyNumberFormat="1"/>
    <xf numFmtId="0" fontId="4" fillId="0" borderId="0" xfId="0" applyFont="1"/>
    <xf numFmtId="0" fontId="1" fillId="0" borderId="0" xfId="0" applyFont="1"/>
    <xf numFmtId="0" fontId="3" fillId="0" borderId="0" xfId="0" applyFont="1"/>
    <xf numFmtId="0" fontId="1" fillId="3" borderId="0" xfId="0" applyFont="1" applyFill="1" applyAlignment="1">
      <alignment horizontal="center"/>
    </xf>
    <xf numFmtId="0" fontId="0" fillId="0" borderId="1" xfId="0" applyBorder="1"/>
    <xf numFmtId="0" fontId="0" fillId="0" borderId="2" xfId="0" applyBorder="1"/>
    <xf numFmtId="0" fontId="2" fillId="0" borderId="2" xfId="0" applyFont="1" applyBorder="1"/>
    <xf numFmtId="0" fontId="0" fillId="0" borderId="3" xfId="0" applyBorder="1"/>
    <xf numFmtId="0" fontId="0" fillId="0" borderId="4" xfId="0" applyBorder="1"/>
    <xf numFmtId="0" fontId="0" fillId="0" borderId="0" xfId="0" applyBorder="1"/>
    <xf numFmtId="0" fontId="2" fillId="0" borderId="0" xfId="0" applyFont="1" applyBorder="1"/>
    <xf numFmtId="0" fontId="0" fillId="0" borderId="5" xfId="0" applyBorder="1"/>
    <xf numFmtId="0" fontId="1" fillId="3" borderId="4" xfId="0" applyFont="1" applyFill="1" applyBorder="1" applyAlignment="1">
      <alignment horizontal="center"/>
    </xf>
    <xf numFmtId="0" fontId="1" fillId="3" borderId="0" xfId="0" applyFont="1" applyFill="1" applyBorder="1" applyAlignment="1">
      <alignment horizontal="center"/>
    </xf>
    <xf numFmtId="0" fontId="1" fillId="2" borderId="0" xfId="0" applyFont="1" applyFill="1" applyBorder="1" applyAlignment="1">
      <alignment horizontal="center"/>
    </xf>
    <xf numFmtId="0" fontId="1" fillId="4" borderId="0" xfId="0" applyFont="1" applyFill="1" applyBorder="1" applyAlignment="1">
      <alignment horizontal="center"/>
    </xf>
    <xf numFmtId="0" fontId="1" fillId="4" borderId="5" xfId="0" applyFont="1" applyFill="1" applyBorder="1" applyAlignment="1">
      <alignment horizontal="center"/>
    </xf>
    <xf numFmtId="0" fontId="1" fillId="0" borderId="4" xfId="0" applyFont="1" applyBorder="1"/>
    <xf numFmtId="0" fontId="1" fillId="0" borderId="0" xfId="0" applyFont="1" applyBorder="1"/>
    <xf numFmtId="0" fontId="8" fillId="0" borderId="0" xfId="0" applyFont="1" applyBorder="1"/>
    <xf numFmtId="0" fontId="1" fillId="0" borderId="5" xfId="0" applyFont="1" applyBorder="1"/>
    <xf numFmtId="0" fontId="5" fillId="0" borderId="0" xfId="0" applyFont="1" applyBorder="1"/>
    <xf numFmtId="0" fontId="4" fillId="0" borderId="0" xfId="0" applyFont="1" applyBorder="1"/>
    <xf numFmtId="0" fontId="9" fillId="0" borderId="0" xfId="0" applyFont="1" applyBorder="1"/>
    <xf numFmtId="2" fontId="4" fillId="5" borderId="1" xfId="0" applyNumberFormat="1" applyFont="1" applyFill="1" applyBorder="1" applyAlignment="1">
      <alignment horizontal="center" wrapText="1"/>
    </xf>
    <xf numFmtId="2" fontId="4" fillId="5" borderId="2" xfId="0" applyNumberFormat="1" applyFont="1" applyFill="1" applyBorder="1" applyAlignment="1">
      <alignment horizontal="center" wrapText="1"/>
    </xf>
    <xf numFmtId="2" fontId="4" fillId="5" borderId="3" xfId="0" applyNumberFormat="1" applyFont="1" applyFill="1" applyBorder="1" applyAlignment="1">
      <alignment horizontal="center" wrapText="1"/>
    </xf>
    <xf numFmtId="2" fontId="4" fillId="5" borderId="4" xfId="0" applyNumberFormat="1" applyFont="1" applyFill="1" applyBorder="1" applyAlignment="1">
      <alignment horizontal="center" wrapText="1"/>
    </xf>
    <xf numFmtId="2" fontId="4" fillId="5" borderId="0" xfId="0" applyNumberFormat="1" applyFont="1" applyFill="1" applyBorder="1" applyAlignment="1">
      <alignment horizontal="center" wrapText="1"/>
    </xf>
    <xf numFmtId="2" fontId="4" fillId="5" borderId="5" xfId="0" applyNumberFormat="1" applyFont="1" applyFill="1" applyBorder="1" applyAlignment="1">
      <alignment horizontal="center" wrapText="1"/>
    </xf>
    <xf numFmtId="2" fontId="4" fillId="5" borderId="6" xfId="0" applyNumberFormat="1" applyFont="1" applyFill="1" applyBorder="1" applyAlignment="1">
      <alignment horizontal="center" wrapText="1"/>
    </xf>
    <xf numFmtId="2" fontId="4" fillId="5" borderId="7" xfId="0" applyNumberFormat="1" applyFont="1" applyFill="1" applyBorder="1" applyAlignment="1">
      <alignment horizontal="center" wrapText="1"/>
    </xf>
    <xf numFmtId="2" fontId="4" fillId="5" borderId="8" xfId="0" applyNumberFormat="1" applyFont="1" applyFill="1" applyBorder="1" applyAlignment="1">
      <alignment horizontal="center" wrapText="1"/>
    </xf>
    <xf numFmtId="0" fontId="6" fillId="3" borderId="0" xfId="1" applyFill="1"/>
    <xf numFmtId="0" fontId="0" fillId="3" borderId="0" xfId="0" applyFill="1"/>
    <xf numFmtId="0" fontId="2" fillId="0" borderId="0" xfId="0" applyFont="1" applyFill="1" applyBorder="1"/>
    <xf numFmtId="0" fontId="0" fillId="0" borderId="0" xfId="0" applyFill="1" applyBorder="1"/>
    <xf numFmtId="0" fontId="3" fillId="0" borderId="0" xfId="0" applyFont="1" applyAlignment="1">
      <alignment horizontal="right"/>
    </xf>
    <xf numFmtId="0" fontId="1" fillId="3" borderId="0" xfId="0" applyFont="1" applyFill="1" applyBorder="1" applyAlignment="1">
      <alignment horizontal="center"/>
    </xf>
    <xf numFmtId="0" fontId="1" fillId="8" borderId="0" xfId="0" applyFont="1" applyFill="1" applyBorder="1" applyAlignment="1">
      <alignment horizontal="center"/>
    </xf>
    <xf numFmtId="0" fontId="1" fillId="8" borderId="0" xfId="0" applyFont="1" applyFill="1" applyBorder="1" applyAlignment="1">
      <alignment horizontal="center"/>
    </xf>
    <xf numFmtId="0" fontId="1" fillId="0" borderId="0" xfId="0" applyFont="1" applyFill="1" applyBorder="1"/>
    <xf numFmtId="0" fontId="0" fillId="0" borderId="4" xfId="0" applyFill="1" applyBorder="1"/>
    <xf numFmtId="0" fontId="1" fillId="6" borderId="0" xfId="0" applyFont="1" applyFill="1" applyBorder="1" applyAlignment="1">
      <alignment horizontal="center"/>
    </xf>
    <xf numFmtId="0" fontId="3" fillId="7" borderId="0" xfId="0" applyFont="1" applyFill="1" applyAlignment="1">
      <alignment horizontal="right"/>
    </xf>
    <xf numFmtId="0" fontId="0" fillId="7" borderId="4" xfId="0" applyFill="1" applyBorder="1"/>
    <xf numFmtId="0" fontId="0" fillId="7" borderId="0" xfId="0" applyFill="1" applyBorder="1"/>
    <xf numFmtId="0" fontId="5" fillId="7" borderId="0" xfId="0" applyFont="1" applyFill="1" applyBorder="1"/>
    <xf numFmtId="0" fontId="4" fillId="7" borderId="0" xfId="0" applyFont="1" applyFill="1" applyBorder="1"/>
    <xf numFmtId="0" fontId="0" fillId="7" borderId="0" xfId="0" applyFill="1"/>
    <xf numFmtId="0" fontId="9" fillId="7" borderId="0" xfId="0" applyFont="1" applyFill="1" applyBorder="1"/>
    <xf numFmtId="0" fontId="0" fillId="7" borderId="5" xfId="0" applyFill="1" applyBorder="1"/>
    <xf numFmtId="0" fontId="7" fillId="0" borderId="4" xfId="0" applyFont="1" applyFill="1" applyBorder="1"/>
    <xf numFmtId="0" fontId="7" fillId="0" borderId="0" xfId="0" applyFont="1" applyFill="1" applyBorder="1"/>
    <xf numFmtId="0" fontId="7" fillId="0" borderId="0" xfId="0" applyFont="1" applyFill="1"/>
    <xf numFmtId="0" fontId="7" fillId="0" borderId="5" xfId="0" applyFont="1" applyFill="1" applyBorder="1"/>
    <xf numFmtId="0" fontId="7" fillId="0" borderId="6" xfId="0" applyFont="1" applyFill="1" applyBorder="1"/>
    <xf numFmtId="0" fontId="7" fillId="0" borderId="7" xfId="0" applyFont="1" applyFill="1" applyBorder="1"/>
    <xf numFmtId="0" fontId="7" fillId="0" borderId="8" xfId="0" applyFont="1" applyFill="1" applyBorder="1"/>
    <xf numFmtId="0" fontId="10"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gi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400050</xdr:colOff>
      <xdr:row>77</xdr:row>
      <xdr:rowOff>85725</xdr:rowOff>
    </xdr:from>
    <xdr:to>
      <xdr:col>9</xdr:col>
      <xdr:colOff>476250</xdr:colOff>
      <xdr:row>79</xdr:row>
      <xdr:rowOff>104775</xdr:rowOff>
    </xdr:to>
    <xdr:pic>
      <xdr:nvPicPr>
        <xdr:cNvPr id="2" name="Picture 1" descr="https://www.edn.com/wp-content/uploads/media-1126416-266393-14di3eq6.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57750" y="1771650"/>
          <a:ext cx="2514600" cy="400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180975</xdr:colOff>
      <xdr:row>82</xdr:row>
      <xdr:rowOff>9525</xdr:rowOff>
    </xdr:from>
    <xdr:to>
      <xdr:col>9</xdr:col>
      <xdr:colOff>123825</xdr:colOff>
      <xdr:row>83</xdr:row>
      <xdr:rowOff>47625</xdr:rowOff>
    </xdr:to>
    <xdr:pic>
      <xdr:nvPicPr>
        <xdr:cNvPr id="3" name="Picture 2" descr="https://www.edn.com/wp-content/uploads/media-1126418-267001-14di3eq8.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743450" y="1905000"/>
          <a:ext cx="177165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219075</xdr:colOff>
      <xdr:row>85</xdr:row>
      <xdr:rowOff>114300</xdr:rowOff>
    </xdr:from>
    <xdr:to>
      <xdr:col>9</xdr:col>
      <xdr:colOff>600075</xdr:colOff>
      <xdr:row>88</xdr:row>
      <xdr:rowOff>9525</xdr:rowOff>
    </xdr:to>
    <xdr:pic>
      <xdr:nvPicPr>
        <xdr:cNvPr id="4" name="Picture 3" descr="https://www.edn.com/wp-content/uploads/media-1126420-267040-14di3eq10.gif"/>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67175" y="3324225"/>
          <a:ext cx="3429000"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411816</xdr:colOff>
      <xdr:row>5</xdr:row>
      <xdr:rowOff>172010</xdr:rowOff>
    </xdr:from>
    <xdr:to>
      <xdr:col>6</xdr:col>
      <xdr:colOff>583826</xdr:colOff>
      <xdr:row>23</xdr:row>
      <xdr:rowOff>127747</xdr:rowOff>
    </xdr:to>
    <xdr:pic>
      <xdr:nvPicPr>
        <xdr:cNvPr id="5" name="Picture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1816" y="1124510"/>
          <a:ext cx="5239310" cy="33561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dn.com/signal-powered-linear-optocoupler-provides-isolated-control-signal/" TargetMode="External"/><Relationship Id="rId1" Type="http://schemas.openxmlformats.org/officeDocument/2006/relationships/hyperlink" Target="http://e-rokodelnica.si/A004/A004_EN.html"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88"/>
  <sheetViews>
    <sheetView tabSelected="1" topLeftCell="F1" zoomScale="85" zoomScaleNormal="85" workbookViewId="0">
      <selection activeCell="P27" sqref="P27"/>
    </sheetView>
  </sheetViews>
  <sheetFormatPr defaultRowHeight="15" x14ac:dyDescent="0.25"/>
  <cols>
    <col min="1" max="1" width="19.85546875" bestFit="1" customWidth="1"/>
    <col min="2" max="2" width="16.7109375" bestFit="1" customWidth="1"/>
    <col min="4" max="4" width="12" bestFit="1" customWidth="1"/>
    <col min="10" max="10" width="10.28515625" customWidth="1"/>
    <col min="11" max="11" width="13.7109375" bestFit="1" customWidth="1"/>
    <col min="12" max="12" width="17.28515625" bestFit="1" customWidth="1"/>
    <col min="13" max="13" width="20.140625" bestFit="1" customWidth="1"/>
    <col min="14" max="14" width="14.7109375" bestFit="1" customWidth="1"/>
    <col min="15" max="15" width="14.7109375" customWidth="1"/>
    <col min="16" max="16" width="18.5703125" bestFit="1" customWidth="1"/>
    <col min="17" max="17" width="16.28515625" bestFit="1" customWidth="1"/>
    <col min="18" max="18" width="12.42578125" bestFit="1" customWidth="1"/>
    <col min="19" max="19" width="16.42578125" bestFit="1" customWidth="1"/>
    <col min="20" max="20" width="12" customWidth="1"/>
    <col min="21" max="21" width="14.42578125" bestFit="1" customWidth="1"/>
    <col min="22" max="22" width="11.42578125" bestFit="1" customWidth="1"/>
    <col min="23" max="23" width="12.85546875" bestFit="1" customWidth="1"/>
    <col min="24" max="24" width="15.5703125" customWidth="1"/>
    <col min="25" max="25" width="13.5703125" bestFit="1" customWidth="1"/>
    <col min="26" max="26" width="12.7109375" bestFit="1" customWidth="1"/>
    <col min="27" max="27" width="15.5703125" bestFit="1" customWidth="1"/>
    <col min="28" max="28" width="15.5703125" customWidth="1"/>
    <col min="29" max="29" width="22.85546875" customWidth="1"/>
    <col min="30" max="30" width="14.5703125" bestFit="1" customWidth="1"/>
    <col min="31" max="31" width="16.42578125" customWidth="1"/>
    <col min="32" max="32" width="11.7109375" bestFit="1" customWidth="1"/>
    <col min="33" max="33" width="14.7109375" bestFit="1" customWidth="1"/>
    <col min="34" max="34" width="12" bestFit="1" customWidth="1"/>
    <col min="35" max="35" width="15.42578125" customWidth="1"/>
    <col min="37" max="37" width="12" bestFit="1" customWidth="1"/>
  </cols>
  <sheetData>
    <row r="1" spans="1:38" x14ac:dyDescent="0.25">
      <c r="A1" s="11" t="s">
        <v>110</v>
      </c>
      <c r="B1" s="11"/>
      <c r="C1" s="11"/>
      <c r="D1" s="11"/>
      <c r="E1" s="11"/>
      <c r="F1" s="11"/>
      <c r="G1" s="11"/>
      <c r="H1" s="11"/>
      <c r="J1" s="10"/>
      <c r="K1" s="12" t="s">
        <v>41</v>
      </c>
      <c r="L1" s="13">
        <v>0.55000000000000004</v>
      </c>
      <c r="M1" s="13" t="s">
        <v>50</v>
      </c>
      <c r="N1" s="13"/>
      <c r="O1" s="13"/>
      <c r="P1" s="14" t="s">
        <v>54</v>
      </c>
      <c r="Q1" s="13"/>
      <c r="R1" s="13"/>
      <c r="S1" s="13"/>
      <c r="T1" s="13"/>
      <c r="U1" s="13"/>
      <c r="V1" s="13"/>
      <c r="W1" s="13"/>
      <c r="X1" s="13"/>
      <c r="Y1" s="13"/>
      <c r="Z1" s="13"/>
      <c r="AC1" s="13" t="s">
        <v>65</v>
      </c>
      <c r="AD1" s="13">
        <v>5.4</v>
      </c>
      <c r="AE1" s="13" t="s">
        <v>22</v>
      </c>
      <c r="AF1" s="13"/>
      <c r="AG1" s="13"/>
      <c r="AH1" s="13"/>
      <c r="AI1" s="13"/>
      <c r="AJ1" s="13"/>
      <c r="AK1" s="15"/>
    </row>
    <row r="2" spans="1:38" x14ac:dyDescent="0.25">
      <c r="A2" s="41" t="s">
        <v>111</v>
      </c>
      <c r="B2" s="42"/>
      <c r="C2" s="42"/>
      <c r="D2" s="42"/>
      <c r="E2" s="42"/>
      <c r="F2" s="42"/>
      <c r="G2" s="42"/>
      <c r="H2" s="42"/>
      <c r="K2" s="16" t="s">
        <v>42</v>
      </c>
      <c r="L2" s="17">
        <v>1.25</v>
      </c>
      <c r="M2" s="17" t="s">
        <v>22</v>
      </c>
      <c r="N2" s="17"/>
      <c r="O2" s="17"/>
      <c r="P2" s="18" t="s">
        <v>113</v>
      </c>
      <c r="Q2" s="17"/>
      <c r="R2" s="17"/>
      <c r="S2" s="17"/>
      <c r="T2" s="17"/>
      <c r="U2" s="17"/>
      <c r="V2" s="17"/>
      <c r="W2" s="17"/>
      <c r="X2" s="17"/>
      <c r="Y2" s="17"/>
      <c r="Z2" s="17"/>
      <c r="AC2" s="17" t="s">
        <v>66</v>
      </c>
      <c r="AD2" s="17">
        <v>47000</v>
      </c>
      <c r="AE2" s="17" t="s">
        <v>67</v>
      </c>
      <c r="AF2" s="17"/>
      <c r="AG2" s="17"/>
      <c r="AH2" s="17"/>
      <c r="AI2" s="17"/>
      <c r="AJ2" s="17"/>
      <c r="AK2" s="19"/>
    </row>
    <row r="3" spans="1:38" x14ac:dyDescent="0.25">
      <c r="A3" s="41" t="s">
        <v>112</v>
      </c>
      <c r="B3" s="42"/>
      <c r="C3" s="42"/>
      <c r="D3" s="42"/>
      <c r="E3" s="42"/>
      <c r="F3" s="42"/>
      <c r="G3" s="42"/>
      <c r="H3" s="42"/>
      <c r="K3" s="16" t="s">
        <v>44</v>
      </c>
      <c r="L3" s="17">
        <v>0.69</v>
      </c>
      <c r="M3" s="17" t="s">
        <v>22</v>
      </c>
      <c r="N3" s="17"/>
      <c r="O3" s="17"/>
      <c r="P3" s="18" t="s">
        <v>48</v>
      </c>
      <c r="Q3" s="17"/>
      <c r="R3" s="17"/>
      <c r="S3" s="17"/>
      <c r="T3" s="17"/>
      <c r="U3" s="17"/>
      <c r="V3" s="17"/>
      <c r="W3" s="17"/>
      <c r="X3" s="17"/>
      <c r="Y3" s="17"/>
      <c r="Z3" s="17"/>
      <c r="AA3" s="17"/>
      <c r="AB3" s="17"/>
      <c r="AC3" s="17"/>
      <c r="AD3" s="17"/>
      <c r="AE3" s="17"/>
      <c r="AF3" s="17"/>
      <c r="AG3" s="17"/>
      <c r="AH3" s="17"/>
      <c r="AI3" s="17"/>
      <c r="AJ3" s="17"/>
      <c r="AK3" s="19"/>
    </row>
    <row r="4" spans="1:38" x14ac:dyDescent="0.25">
      <c r="K4" s="16" t="s">
        <v>45</v>
      </c>
      <c r="L4" s="17">
        <v>200</v>
      </c>
      <c r="M4" s="17"/>
      <c r="N4" s="17"/>
      <c r="O4" s="17"/>
      <c r="P4" s="43" t="s">
        <v>122</v>
      </c>
      <c r="Q4" s="17"/>
      <c r="R4" s="17"/>
      <c r="S4" s="17"/>
      <c r="T4" s="17"/>
      <c r="U4" s="17"/>
      <c r="V4" s="17"/>
      <c r="W4" s="17"/>
      <c r="X4" s="17"/>
      <c r="Y4" s="17"/>
      <c r="Z4" s="17"/>
      <c r="AA4" s="17"/>
      <c r="AB4" s="17"/>
      <c r="AC4" s="17"/>
      <c r="AD4" s="17"/>
      <c r="AE4" s="17"/>
      <c r="AF4" s="17"/>
      <c r="AG4" s="17"/>
      <c r="AH4" s="17"/>
      <c r="AI4" s="17"/>
      <c r="AJ4" s="17"/>
      <c r="AK4" s="19"/>
    </row>
    <row r="5" spans="1:38" x14ac:dyDescent="0.25">
      <c r="K5" s="16" t="s">
        <v>46</v>
      </c>
      <c r="L5" s="17">
        <v>150</v>
      </c>
      <c r="M5" s="17"/>
      <c r="N5" s="17"/>
      <c r="O5" s="17"/>
      <c r="P5" s="43" t="s">
        <v>115</v>
      </c>
      <c r="Q5" s="17"/>
      <c r="R5" s="17"/>
      <c r="S5" s="17"/>
      <c r="T5" s="17"/>
      <c r="U5" s="17"/>
      <c r="V5" s="17"/>
      <c r="W5" s="17"/>
      <c r="X5" s="17"/>
      <c r="Y5" s="17"/>
      <c r="Z5" s="17"/>
      <c r="AA5" s="17"/>
      <c r="AB5" s="17"/>
      <c r="AC5" s="17"/>
      <c r="AD5" s="17"/>
      <c r="AE5" s="17"/>
      <c r="AF5" s="17"/>
      <c r="AG5" s="17"/>
      <c r="AH5" s="17"/>
      <c r="AI5" s="17"/>
      <c r="AJ5" s="17"/>
      <c r="AK5" s="19"/>
    </row>
    <row r="6" spans="1:38" x14ac:dyDescent="0.25">
      <c r="K6" s="16" t="s">
        <v>27</v>
      </c>
      <c r="L6" s="17">
        <v>7.7999999999999996E-3</v>
      </c>
      <c r="M6" s="44" t="s">
        <v>129</v>
      </c>
      <c r="N6" s="17"/>
      <c r="O6" s="17"/>
      <c r="P6" s="43" t="s">
        <v>133</v>
      </c>
      <c r="Q6" s="17"/>
      <c r="R6" s="17"/>
      <c r="S6" s="17"/>
      <c r="T6" s="17"/>
      <c r="U6" s="17"/>
      <c r="V6" s="17"/>
      <c r="W6" s="17"/>
      <c r="X6" s="17"/>
      <c r="Y6" s="17"/>
      <c r="Z6" s="17"/>
      <c r="AA6" s="17"/>
      <c r="AB6" s="17"/>
      <c r="AC6" s="17"/>
      <c r="AD6" s="17"/>
      <c r="AE6" s="17"/>
      <c r="AF6" s="17"/>
      <c r="AG6" s="17"/>
      <c r="AH6" s="17"/>
      <c r="AI6" s="17"/>
      <c r="AJ6" s="17"/>
      <c r="AK6" s="19"/>
    </row>
    <row r="7" spans="1:38" ht="14.25" customHeight="1" x14ac:dyDescent="0.25">
      <c r="K7" s="50"/>
      <c r="L7" s="44"/>
      <c r="M7" s="44"/>
      <c r="N7" s="17"/>
      <c r="O7" s="17"/>
      <c r="P7" s="43" t="s">
        <v>139</v>
      </c>
      <c r="Q7" s="17"/>
      <c r="R7" s="17"/>
      <c r="S7" s="17"/>
      <c r="T7" s="17"/>
      <c r="U7" s="17"/>
      <c r="V7" s="17"/>
      <c r="W7" s="17"/>
      <c r="X7" s="17"/>
      <c r="Y7" s="17"/>
      <c r="Z7" s="17"/>
      <c r="AA7" s="17"/>
      <c r="AB7" s="17"/>
      <c r="AC7" s="17"/>
      <c r="AD7" s="17"/>
      <c r="AE7" s="17"/>
      <c r="AF7" s="17"/>
      <c r="AG7" s="17"/>
      <c r="AH7" s="17"/>
      <c r="AI7" s="17"/>
      <c r="AJ7" s="17"/>
      <c r="AK7" s="19"/>
    </row>
    <row r="8" spans="1:38" ht="14.25" customHeight="1" x14ac:dyDescent="0.25">
      <c r="K8" s="16" t="s">
        <v>26</v>
      </c>
      <c r="L8" s="17">
        <v>9.7999999999999997E-3</v>
      </c>
      <c r="M8" s="44" t="s">
        <v>130</v>
      </c>
      <c r="N8" s="17"/>
      <c r="O8" s="17"/>
      <c r="Q8" s="44" t="s">
        <v>128</v>
      </c>
      <c r="S8" s="17"/>
      <c r="T8" s="17"/>
      <c r="U8" s="17"/>
      <c r="V8" s="17"/>
      <c r="W8" s="17"/>
      <c r="X8" s="17"/>
      <c r="Y8" s="17"/>
      <c r="Z8" s="17"/>
      <c r="AA8" s="17"/>
      <c r="AB8" s="17"/>
      <c r="AC8" s="17"/>
      <c r="AD8" s="17"/>
      <c r="AE8" s="17"/>
      <c r="AF8" s="17"/>
      <c r="AG8" s="17"/>
      <c r="AH8" s="17"/>
      <c r="AI8" s="17"/>
      <c r="AJ8" s="17"/>
      <c r="AK8" s="19"/>
    </row>
    <row r="9" spans="1:38" ht="14.25" customHeight="1" x14ac:dyDescent="0.25">
      <c r="K9" s="16" t="s">
        <v>34</v>
      </c>
      <c r="L9" s="17">
        <f>L8/L6</f>
        <v>1.2564102564102564</v>
      </c>
      <c r="N9" s="17"/>
      <c r="Q9" s="17" t="s">
        <v>125</v>
      </c>
      <c r="R9" s="17">
        <f>L6/0.955</f>
        <v>8.1675392670157061E-3</v>
      </c>
      <c r="S9" s="17"/>
      <c r="T9" s="17"/>
      <c r="U9" s="17"/>
      <c r="V9" s="17"/>
      <c r="W9" s="17"/>
      <c r="X9" s="17"/>
      <c r="Y9" s="17"/>
      <c r="Z9" s="17"/>
      <c r="AA9" s="17"/>
      <c r="AB9" s="17"/>
      <c r="AC9" s="17"/>
      <c r="AD9" s="17"/>
      <c r="AE9" s="17"/>
      <c r="AF9" s="17"/>
      <c r="AG9" s="17"/>
      <c r="AH9" s="17"/>
      <c r="AI9" s="17"/>
      <c r="AJ9" s="17"/>
      <c r="AK9" s="19"/>
    </row>
    <row r="10" spans="1:38" x14ac:dyDescent="0.25">
      <c r="K10" s="16" t="s">
        <v>24</v>
      </c>
      <c r="L10" s="44">
        <v>94000</v>
      </c>
      <c r="M10" s="17" t="s">
        <v>141</v>
      </c>
      <c r="N10" s="17"/>
      <c r="Q10" s="17" t="s">
        <v>126</v>
      </c>
      <c r="R10" s="17">
        <f>L7/0.851</f>
        <v>0</v>
      </c>
      <c r="S10" s="17"/>
      <c r="T10" s="17"/>
      <c r="U10" s="17"/>
      <c r="V10" s="17"/>
      <c r="W10" s="17"/>
      <c r="X10" s="17"/>
      <c r="Y10" s="17"/>
      <c r="Z10" s="17"/>
      <c r="AA10" s="17"/>
      <c r="AB10" s="17"/>
      <c r="AC10" s="17"/>
      <c r="AD10" s="17"/>
      <c r="AE10" s="17"/>
      <c r="AF10" s="17"/>
      <c r="AG10" s="17"/>
      <c r="AH10" s="17"/>
      <c r="AI10" s="17"/>
      <c r="AJ10" s="17"/>
      <c r="AK10" s="19"/>
    </row>
    <row r="11" spans="1:38" x14ac:dyDescent="0.25">
      <c r="K11" s="16" t="s">
        <v>123</v>
      </c>
      <c r="L11" s="44">
        <v>300</v>
      </c>
      <c r="M11" s="17"/>
      <c r="N11" s="17"/>
      <c r="Q11" s="17" t="s">
        <v>127</v>
      </c>
      <c r="R11" s="17">
        <v>1.24</v>
      </c>
      <c r="S11" s="17"/>
      <c r="T11" s="17"/>
      <c r="U11" s="17"/>
      <c r="V11" s="17"/>
      <c r="W11" s="17"/>
      <c r="X11" s="17"/>
      <c r="Y11" s="17"/>
      <c r="Z11" s="17"/>
      <c r="AA11" s="17"/>
      <c r="AB11" s="17"/>
      <c r="AC11" s="17"/>
      <c r="AD11" s="17"/>
      <c r="AE11" s="17"/>
      <c r="AF11" s="17"/>
      <c r="AG11" s="17"/>
      <c r="AH11" s="17"/>
      <c r="AI11" s="17"/>
      <c r="AJ11" s="17"/>
      <c r="AK11" s="19"/>
    </row>
    <row r="12" spans="1:38" x14ac:dyDescent="0.25">
      <c r="K12" s="16" t="s">
        <v>137</v>
      </c>
      <c r="L12" s="44">
        <v>0.55000000000000004</v>
      </c>
      <c r="M12" s="17" t="s">
        <v>22</v>
      </c>
      <c r="N12" s="17"/>
      <c r="Q12" s="17"/>
      <c r="R12" s="17"/>
      <c r="S12" s="17"/>
      <c r="T12" s="17"/>
      <c r="U12" s="17"/>
      <c r="V12" s="17"/>
      <c r="W12" s="17"/>
      <c r="X12" s="17"/>
      <c r="Y12" s="17"/>
      <c r="Z12" s="17"/>
      <c r="AA12" s="17"/>
      <c r="AB12" s="17"/>
      <c r="AC12" s="17"/>
      <c r="AD12" s="17"/>
      <c r="AE12" s="17"/>
      <c r="AF12" s="17"/>
      <c r="AG12" s="17"/>
      <c r="AH12" s="17"/>
      <c r="AI12" s="17"/>
      <c r="AJ12" s="17"/>
      <c r="AK12" s="19"/>
      <c r="AL12" s="9"/>
    </row>
    <row r="13" spans="1:38" x14ac:dyDescent="0.25">
      <c r="K13" s="16"/>
      <c r="L13" s="17"/>
      <c r="M13" s="17"/>
      <c r="N13" s="51" t="s">
        <v>43</v>
      </c>
      <c r="O13" s="51"/>
      <c r="P13" s="51"/>
      <c r="Q13" s="51"/>
      <c r="R13" s="51"/>
      <c r="S13" s="17"/>
      <c r="T13" s="17"/>
      <c r="U13" s="17"/>
      <c r="V13" s="17"/>
      <c r="W13" s="17"/>
      <c r="X13" s="17"/>
      <c r="Y13" s="17"/>
      <c r="Z13" s="17"/>
      <c r="AA13" s="17"/>
      <c r="AB13" s="17"/>
      <c r="AC13" s="17"/>
      <c r="AD13" s="17"/>
      <c r="AE13" s="17"/>
      <c r="AF13" s="17"/>
      <c r="AG13" s="17"/>
      <c r="AH13" s="17"/>
      <c r="AI13" s="17"/>
      <c r="AJ13" s="17"/>
      <c r="AK13" s="19"/>
    </row>
    <row r="14" spans="1:38" x14ac:dyDescent="0.25">
      <c r="K14" s="20" t="s">
        <v>51</v>
      </c>
      <c r="L14" s="21"/>
      <c r="M14" s="21"/>
      <c r="N14" s="21"/>
      <c r="O14" s="21"/>
      <c r="P14" s="21"/>
      <c r="Q14" s="21"/>
      <c r="R14" s="21"/>
      <c r="S14" s="21"/>
      <c r="T14" s="21"/>
      <c r="U14" s="46"/>
      <c r="V14" s="47" t="s">
        <v>116</v>
      </c>
      <c r="W14" s="47"/>
      <c r="X14" s="47"/>
      <c r="Y14" s="47"/>
      <c r="Z14" s="47"/>
      <c r="AA14" s="47"/>
      <c r="AB14" s="48"/>
      <c r="AC14" s="22" t="s">
        <v>64</v>
      </c>
      <c r="AD14" s="23" t="s">
        <v>52</v>
      </c>
      <c r="AE14" s="23"/>
      <c r="AF14" s="23"/>
      <c r="AG14" s="23"/>
      <c r="AH14" s="23"/>
      <c r="AI14" s="23"/>
      <c r="AJ14" s="23"/>
      <c r="AK14" s="24"/>
    </row>
    <row r="15" spans="1:38" x14ac:dyDescent="0.25">
      <c r="K15" s="25" t="s">
        <v>36</v>
      </c>
      <c r="L15" s="26" t="s">
        <v>40</v>
      </c>
      <c r="M15" s="26" t="s">
        <v>38</v>
      </c>
      <c r="N15" s="26" t="s">
        <v>131</v>
      </c>
      <c r="O15" s="26" t="s">
        <v>132</v>
      </c>
      <c r="P15" s="26" t="s">
        <v>39</v>
      </c>
      <c r="Q15" s="26" t="s">
        <v>37</v>
      </c>
      <c r="R15" s="26" t="s">
        <v>124</v>
      </c>
      <c r="S15" s="26" t="s">
        <v>53</v>
      </c>
      <c r="T15" s="26" t="s">
        <v>47</v>
      </c>
      <c r="U15" s="26" t="s">
        <v>138</v>
      </c>
      <c r="V15" s="26" t="s">
        <v>120</v>
      </c>
      <c r="W15" s="49" t="s">
        <v>118</v>
      </c>
      <c r="X15" s="26" t="s">
        <v>117</v>
      </c>
      <c r="Y15" s="26" t="s">
        <v>119</v>
      </c>
      <c r="Z15" s="26" t="s">
        <v>121</v>
      </c>
      <c r="AA15" s="49" t="s">
        <v>136</v>
      </c>
      <c r="AB15" s="49" t="s">
        <v>134</v>
      </c>
      <c r="AC15" s="26" t="s">
        <v>63</v>
      </c>
      <c r="AD15" s="27" t="s">
        <v>59</v>
      </c>
      <c r="AE15" s="26" t="s">
        <v>55</v>
      </c>
      <c r="AF15" s="27" t="s">
        <v>60</v>
      </c>
      <c r="AG15" s="26" t="s">
        <v>61</v>
      </c>
      <c r="AH15" s="26" t="s">
        <v>62</v>
      </c>
      <c r="AI15" s="26" t="s">
        <v>56</v>
      </c>
      <c r="AJ15" s="26" t="s">
        <v>57</v>
      </c>
      <c r="AK15" s="28" t="s">
        <v>58</v>
      </c>
    </row>
    <row r="16" spans="1:38" x14ac:dyDescent="0.25">
      <c r="K16" s="16">
        <v>0.5</v>
      </c>
      <c r="L16" s="17">
        <f>(K16-$L$1)/$L$10*1000000</f>
        <v>-0.53191489361702171</v>
      </c>
      <c r="M16" s="29">
        <v>0</v>
      </c>
      <c r="N16" s="17">
        <f>$L$6*Q16*1000</f>
        <v>0</v>
      </c>
      <c r="O16" s="17">
        <f>(L16/1000000*$L$10)-$L$12</f>
        <v>-0.60000000000000009</v>
      </c>
      <c r="P16" s="30">
        <f>ABS(L16-(M16+N16))</f>
        <v>0.53191489361702171</v>
      </c>
      <c r="Q16" s="17">
        <f>$L$4*$L$5*M16/1000</f>
        <v>0</v>
      </c>
      <c r="R16" s="17">
        <f>(Q16/1000*$L$11)</f>
        <v>0</v>
      </c>
      <c r="S16" s="17">
        <f>K16-$L$3-R16</f>
        <v>-0.18999999999999995</v>
      </c>
      <c r="T16" s="17">
        <f>M16*$L$4</f>
        <v>0</v>
      </c>
      <c r="U16" s="17">
        <f>1000*(K16-$L$3-$L$2)/$L$11</f>
        <v>-4.8</v>
      </c>
      <c r="V16" s="17">
        <f>K16-$L$2-R16</f>
        <v>-0.75</v>
      </c>
      <c r="W16" s="17">
        <f>V16*Q16</f>
        <v>0</v>
      </c>
      <c r="X16" s="17">
        <f>1.25*Q16</f>
        <v>0</v>
      </c>
      <c r="Y16" s="17">
        <f>T16*(Z16)/1000</f>
        <v>0</v>
      </c>
      <c r="Z16" s="17">
        <f>V16-$L$3</f>
        <v>-1.44</v>
      </c>
      <c r="AA16">
        <f>(L16/1000000)^2*$L$10</f>
        <v>2.6595744680851108E-8</v>
      </c>
      <c r="AB16" s="17">
        <f>((Q16/1000)^2)*$L$11</f>
        <v>0</v>
      </c>
      <c r="AC16" s="17">
        <f>$AD$1-(AE16/1000000 * $AD$2)</f>
        <v>5.4</v>
      </c>
      <c r="AD16" s="31">
        <f>((K16-$L$1)/150000)*$L$9*1000000</f>
        <v>-0.41880341880341915</v>
      </c>
      <c r="AE16" s="17">
        <f>$L$8*Q16*1000</f>
        <v>0</v>
      </c>
      <c r="AF16" s="31">
        <f>$L$9*K16</f>
        <v>0.62820512820512819</v>
      </c>
      <c r="AG16" s="17">
        <f>ABS(10.11-((AE16+AK16)/1000000)*150000)</f>
        <v>9.5832336182336171</v>
      </c>
      <c r="AH16" s="17"/>
      <c r="AI16" s="17">
        <f>(AE16+AK16)*150000/1000000</f>
        <v>0.5267663817663818</v>
      </c>
      <c r="AJ16" s="17">
        <f>10.11-AI16</f>
        <v>9.5832336182336171</v>
      </c>
      <c r="AK16" s="19">
        <f>1000000*(10.11-AF16)/18000/$L$5</f>
        <v>3.511775878442545</v>
      </c>
    </row>
    <row r="17" spans="10:37" x14ac:dyDescent="0.25">
      <c r="K17" s="16">
        <v>1</v>
      </c>
      <c r="L17" s="17">
        <f>(K17-$L$1)/$L$10*1000000</f>
        <v>4.7872340425531918</v>
      </c>
      <c r="M17" s="29">
        <v>2.0371202560674338E-2</v>
      </c>
      <c r="N17" s="17">
        <f t="shared" ref="N17:N27" si="0">$L$6*Q17*1000</f>
        <v>4.7668613991977953</v>
      </c>
      <c r="O17" s="17">
        <f t="shared" ref="O17:O27" si="1">(L17/1000000*$L$10)-$L$12</f>
        <v>-9.9999999999999978E-2</v>
      </c>
      <c r="P17" s="30">
        <f>ABS(L17-(M17+N17))</f>
        <v>1.4407947226402484E-6</v>
      </c>
      <c r="Q17" s="17">
        <f t="shared" ref="Q17:Q18" si="2">$L$4*$L$5*M17/1000</f>
        <v>0.61113607682023019</v>
      </c>
      <c r="R17" s="17">
        <f>(Q17/1000*$L$11)</f>
        <v>0.18334082304606905</v>
      </c>
      <c r="S17" s="17">
        <f>K17-$L$3-R17</f>
        <v>0.126659176953931</v>
      </c>
      <c r="T17" s="17">
        <f>M17*$L$4</f>
        <v>4.0742405121348675</v>
      </c>
      <c r="U17" s="17">
        <f t="shared" ref="U17:U27" si="3">1000*(K17-$L$3-$L$2)/$L$11</f>
        <v>-3.1333333333333333</v>
      </c>
      <c r="V17" s="17">
        <f>K17-$L$2-R17</f>
        <v>-0.43334082304606902</v>
      </c>
      <c r="W17" s="17">
        <f t="shared" ref="W17:W27" si="4">V17*Q17</f>
        <v>-0.26483021052242423</v>
      </c>
      <c r="X17" s="17">
        <f t="shared" ref="X17:X27" si="5">1.25*Q17</f>
        <v>0.76392009602528776</v>
      </c>
      <c r="Y17" s="17">
        <f t="shared" ref="Y17:Y27" si="6">T17*(Z17)/1000</f>
        <v>-4.5767606901892192E-3</v>
      </c>
      <c r="Z17" s="17">
        <f t="shared" ref="Z17:Z27" si="7">V17-$L$3</f>
        <v>-1.1233408230460689</v>
      </c>
      <c r="AA17">
        <f t="shared" ref="AA17:AA28" si="8">(L17/1000000)^2*$L$10</f>
        <v>2.1542553191489369E-6</v>
      </c>
      <c r="AB17" s="17">
        <f>((Q17/1000)^2)*$L$11</f>
        <v>1.1204619131736667E-4</v>
      </c>
      <c r="AC17" s="17">
        <f>$AD$1-(AE17/1000000 * $AD$2)</f>
        <v>5.1185107230166027</v>
      </c>
      <c r="AD17" s="31">
        <f>((K17-$L$1)/150000)*$L$9*1000000</f>
        <v>3.7692307692307687</v>
      </c>
      <c r="AE17" s="17">
        <f>$L$8*Q17*1000</f>
        <v>5.9891335528382559</v>
      </c>
      <c r="AF17" s="31">
        <f>$L$9*K17</f>
        <v>1.2564102564102564</v>
      </c>
      <c r="AG17" s="17"/>
      <c r="AH17" s="17"/>
      <c r="AI17" s="17"/>
      <c r="AJ17" s="17">
        <f t="shared" ref="AJ17:AJ23" si="9">10.11-AI17</f>
        <v>10.11</v>
      </c>
      <c r="AK17" s="19">
        <f>1000000*(10.11-AF17)/18000/$L$5</f>
        <v>3.279107312440646</v>
      </c>
    </row>
    <row r="18" spans="10:37" x14ac:dyDescent="0.25">
      <c r="K18" s="16">
        <v>2</v>
      </c>
      <c r="L18" s="17">
        <f>(K18-$L$1)/$L$10*1000000</f>
        <v>15.425531914893616</v>
      </c>
      <c r="M18" s="29">
        <v>6.5640540592249483E-2</v>
      </c>
      <c r="N18" s="17">
        <f t="shared" si="0"/>
        <v>15.359886498586379</v>
      </c>
      <c r="O18" s="17">
        <f t="shared" si="1"/>
        <v>0.89999999999999991</v>
      </c>
      <c r="P18" s="30">
        <f>ABS(L18-(M18+N18))</f>
        <v>4.8757149873068784E-6</v>
      </c>
      <c r="Q18" s="17">
        <f t="shared" si="2"/>
        <v>1.9692162177674846</v>
      </c>
      <c r="R18" s="17">
        <f>(Q18/1000*$L$11)</f>
        <v>0.5907648653302453</v>
      </c>
      <c r="S18" s="17">
        <f>K18-$L$3-R18</f>
        <v>0.71923513466975475</v>
      </c>
      <c r="T18" s="17">
        <f>M18*$L$4</f>
        <v>13.128108118449896</v>
      </c>
      <c r="U18" s="17">
        <f t="shared" si="3"/>
        <v>0.20000000000000018</v>
      </c>
      <c r="V18" s="17">
        <f t="shared" ref="V18:V27" si="10">K18-$L$2-R18</f>
        <v>0.1592351346697547</v>
      </c>
      <c r="W18" s="17">
        <f t="shared" si="4"/>
        <v>0.31356840963007038</v>
      </c>
      <c r="X18" s="17">
        <f t="shared" si="5"/>
        <v>2.4615202722093557</v>
      </c>
      <c r="Y18" s="17">
        <f t="shared" si="6"/>
        <v>-6.9679385375299588E-3</v>
      </c>
      <c r="Z18" s="17">
        <f t="shared" si="7"/>
        <v>-0.53076486533024525</v>
      </c>
      <c r="AA18">
        <f t="shared" si="8"/>
        <v>2.2367021276595745E-5</v>
      </c>
      <c r="AB18" s="17">
        <f>((Q18/1000)^2)*$L$11</f>
        <v>1.1633437536955431E-3</v>
      </c>
      <c r="AC18" s="17">
        <f>$AD$1-(AE18/1000000 * $AD$2)</f>
        <v>4.4929790100962972</v>
      </c>
      <c r="AD18" s="31">
        <f>((K18-$L$1)/150000)*$L$9*1000000</f>
        <v>12.145299145299145</v>
      </c>
      <c r="AE18" s="17">
        <f>$L$8*Q18*1000</f>
        <v>19.298318934121347</v>
      </c>
      <c r="AF18" s="31">
        <f>$L$9*K18</f>
        <v>2.5128205128205128</v>
      </c>
      <c r="AG18" s="17"/>
      <c r="AH18" s="17"/>
      <c r="AI18" s="17"/>
      <c r="AJ18" s="17">
        <f t="shared" si="9"/>
        <v>10.11</v>
      </c>
      <c r="AK18" s="19">
        <f>1000000*(10.11-AF18)/18000/$L$5</f>
        <v>2.8137701804368471</v>
      </c>
    </row>
    <row r="19" spans="10:37" x14ac:dyDescent="0.25">
      <c r="K19" s="16">
        <v>4.68</v>
      </c>
      <c r="L19" s="17">
        <f>(K19-$L$1)/$L$10*1000000</f>
        <v>43.936170212765951</v>
      </c>
      <c r="M19" s="29">
        <v>0.1869623673187876</v>
      </c>
      <c r="N19" s="17">
        <f t="shared" si="0"/>
        <v>43.749193952596293</v>
      </c>
      <c r="O19" s="17">
        <f t="shared" si="1"/>
        <v>3.58</v>
      </c>
      <c r="P19" s="30">
        <f>ABS(L19-(M19+N19))</f>
        <v>1.3892850873276075E-5</v>
      </c>
      <c r="Q19" s="17">
        <f t="shared" ref="Q19" si="11">$L$4*$L$5*M19/1000</f>
        <v>5.6088710195636278</v>
      </c>
      <c r="R19" s="17">
        <f>(Q19/1000*$L$11)</f>
        <v>1.6826613058690885</v>
      </c>
      <c r="S19" s="17">
        <f>K19-$L$3-R19</f>
        <v>2.3073386941309115</v>
      </c>
      <c r="T19" s="17">
        <f>M19*$L$4</f>
        <v>37.392473463757518</v>
      </c>
      <c r="U19" s="17">
        <f t="shared" si="3"/>
        <v>9.1333333333333311</v>
      </c>
      <c r="V19" s="17">
        <f t="shared" si="10"/>
        <v>1.7473386941309113</v>
      </c>
      <c r="W19" s="17">
        <f t="shared" si="4"/>
        <v>9.8005973628730221</v>
      </c>
      <c r="X19" s="17">
        <f t="shared" si="5"/>
        <v>7.0110887744545352</v>
      </c>
      <c r="Y19" s="17">
        <f t="shared" si="6"/>
        <v>3.9536509062494125E-2</v>
      </c>
      <c r="Z19" s="17">
        <f t="shared" si="7"/>
        <v>1.0573386941309113</v>
      </c>
      <c r="AA19">
        <f t="shared" si="8"/>
        <v>1.8145638297872339E-4</v>
      </c>
      <c r="AB19" s="17">
        <f>((Q19/1000)^2)*$L$11</f>
        <v>9.4378302342302198E-3</v>
      </c>
      <c r="AC19" s="17">
        <f>$AD$1-(AE19/1000000 * $AD$2)</f>
        <v>2.8165540083889931</v>
      </c>
      <c r="AD19" s="31">
        <f>((K19-$L$1)/150000)*$L$9*1000000</f>
        <v>34.593162393162395</v>
      </c>
      <c r="AE19" s="17">
        <f>$L$8*Q19*1000</f>
        <v>54.966935991723552</v>
      </c>
      <c r="AF19" s="31">
        <f>$L$9*K19</f>
        <v>5.88</v>
      </c>
      <c r="AG19" s="17"/>
      <c r="AH19" s="17"/>
      <c r="AI19" s="17"/>
      <c r="AJ19" s="17">
        <f t="shared" si="9"/>
        <v>10.11</v>
      </c>
      <c r="AK19" s="19">
        <f>1000000*(10.11-AF19)/18000/$L$5</f>
        <v>1.5666666666666667</v>
      </c>
    </row>
    <row r="20" spans="10:37" x14ac:dyDescent="0.25">
      <c r="K20" s="16">
        <v>6.6</v>
      </c>
      <c r="L20" s="17">
        <f>(K20-$L$1)/$L$10*1000000</f>
        <v>64.361702127659584</v>
      </c>
      <c r="M20" s="29">
        <v>0.27387949711130727</v>
      </c>
      <c r="N20" s="17">
        <f t="shared" si="0"/>
        <v>64.087802324045882</v>
      </c>
      <c r="O20" s="17">
        <f t="shared" si="1"/>
        <v>5.5000000000000009</v>
      </c>
      <c r="P20" s="30">
        <f>ABS(L20-(M20+N20))</f>
        <v>2.0306502392486436E-5</v>
      </c>
      <c r="Q20" s="17">
        <f>$L$4*$L$5*M20/1000</f>
        <v>8.2163849133392173</v>
      </c>
      <c r="R20" s="17">
        <f>(Q20/1000*$L$11)</f>
        <v>2.4649154740017649</v>
      </c>
      <c r="S20" s="17">
        <f>K20-$L$3-R20</f>
        <v>3.4450845259982352</v>
      </c>
      <c r="T20" s="17">
        <f>M20*$L$4</f>
        <v>54.775899422261453</v>
      </c>
      <c r="U20" s="17">
        <f t="shared" si="3"/>
        <v>15.533333333333333</v>
      </c>
      <c r="V20" s="17">
        <f t="shared" si="10"/>
        <v>2.8850845259982347</v>
      </c>
      <c r="W20" s="17">
        <f t="shared" si="4"/>
        <v>23.704964973120322</v>
      </c>
      <c r="X20" s="17">
        <f t="shared" si="5"/>
        <v>10.270481141674022</v>
      </c>
      <c r="Y20" s="17">
        <f t="shared" si="6"/>
        <v>0.12023772921944176</v>
      </c>
      <c r="Z20" s="17">
        <f t="shared" si="7"/>
        <v>2.1950845259982348</v>
      </c>
      <c r="AA20">
        <f t="shared" si="8"/>
        <v>3.8938829787234046E-4</v>
      </c>
      <c r="AB20" s="17">
        <f>((Q20/1000)^2)*$L$11</f>
        <v>2.0252694313244488E-2</v>
      </c>
      <c r="AC20" s="17">
        <f>$AD$1-(AE20/1000000 * $AD$2)</f>
        <v>1.6155331089159572</v>
      </c>
      <c r="AD20" s="31">
        <f>((K20-$L$1)/150000)*$L$9*1000000</f>
        <v>50.675213675213669</v>
      </c>
      <c r="AE20" s="17">
        <f>$L$8*Q20*1000</f>
        <v>80.52057215072432</v>
      </c>
      <c r="AF20" s="31">
        <f>$L$9*K20</f>
        <v>8.2923076923076913</v>
      </c>
      <c r="AG20" s="17"/>
      <c r="AH20" s="17"/>
      <c r="AI20" s="17"/>
      <c r="AJ20" s="17">
        <f>10.11-AI20</f>
        <v>10.11</v>
      </c>
      <c r="AK20" s="19">
        <f>1000000*(10.11-AF20)/18000/$L$5</f>
        <v>0.67321937321937342</v>
      </c>
    </row>
    <row r="21" spans="10:37" x14ac:dyDescent="0.25">
      <c r="K21" s="16">
        <v>8.5</v>
      </c>
      <c r="L21" s="17">
        <f>(K21-$L$1)/$L$10*1000000</f>
        <v>84.574468085106375</v>
      </c>
      <c r="M21" s="29">
        <v>0.3598912399682121</v>
      </c>
      <c r="N21" s="17">
        <f t="shared" si="0"/>
        <v>84.214550152561628</v>
      </c>
      <c r="O21" s="17">
        <f t="shared" si="1"/>
        <v>7.4</v>
      </c>
      <c r="P21" s="30">
        <f>ABS(L21-(M21+N21))</f>
        <v>2.6692576540199298E-5</v>
      </c>
      <c r="Q21" s="17">
        <f>$L$4*$L$5*M21/1000</f>
        <v>10.796737199046364</v>
      </c>
      <c r="R21" s="17">
        <f>(Q21/1000*$L$11)</f>
        <v>3.2390211597139089</v>
      </c>
      <c r="S21" s="17">
        <f>K21-$L$3-R21</f>
        <v>4.5709788402860916</v>
      </c>
      <c r="T21" s="17">
        <f>M21*$L$4</f>
        <v>71.978247993642412</v>
      </c>
      <c r="U21" s="17">
        <f t="shared" si="3"/>
        <v>21.866666666666671</v>
      </c>
      <c r="V21" s="17">
        <f t="shared" si="10"/>
        <v>4.0109788402860911</v>
      </c>
      <c r="W21" s="17">
        <f t="shared" si="4"/>
        <v>43.305484449504682</v>
      </c>
      <c r="X21" s="17">
        <f t="shared" si="5"/>
        <v>13.495921498807954</v>
      </c>
      <c r="Y21" s="17">
        <f t="shared" si="6"/>
        <v>0.23903823854775125</v>
      </c>
      <c r="Z21" s="17">
        <f t="shared" si="7"/>
        <v>3.3209788402860911</v>
      </c>
      <c r="AA21">
        <f t="shared" si="8"/>
        <v>6.7236702127659571E-4</v>
      </c>
      <c r="AB21" s="17">
        <f>((Q21/1000)^2)*$L$11</f>
        <v>3.4970860243581453E-2</v>
      </c>
      <c r="AC21" s="17">
        <f>$AD$1-(AE21/1000000 * $AD$2)</f>
        <v>0.42702284611924579</v>
      </c>
      <c r="AD21" s="31">
        <f>((K21-$L$1)/150000)*$L$9*1000000</f>
        <v>66.589743589743591</v>
      </c>
      <c r="AE21" s="17">
        <f>$L$8*Q21*1000</f>
        <v>105.80802455065435</v>
      </c>
      <c r="AF21" s="31">
        <f>$L$9*K21</f>
        <v>10.679487179487179</v>
      </c>
      <c r="AG21" s="17"/>
      <c r="AH21" s="17"/>
      <c r="AI21" s="17"/>
      <c r="AJ21" s="17">
        <f>10.11-AI21</f>
        <v>10.11</v>
      </c>
      <c r="AK21" s="19">
        <f>1000000*(10.11-AF21)/18000/$L$5</f>
        <v>-0.21092117758784421</v>
      </c>
    </row>
    <row r="22" spans="10:37" x14ac:dyDescent="0.25">
      <c r="K22" s="16">
        <v>10</v>
      </c>
      <c r="L22" s="17">
        <f>(K22-$L$1)/$L$10*1000000</f>
        <v>100.53191489361701</v>
      </c>
      <c r="M22" s="29">
        <v>0.4277952473099686</v>
      </c>
      <c r="N22" s="17">
        <f t="shared" si="0"/>
        <v>100.10408787053264</v>
      </c>
      <c r="O22" s="17">
        <f t="shared" si="1"/>
        <v>8.8999999999999986</v>
      </c>
      <c r="P22" s="30">
        <f>ABS(L22-(M22+N22))</f>
        <v>3.1775774402831303E-5</v>
      </c>
      <c r="Q22" s="17">
        <f>$L$4*$L$5*M22/1000</f>
        <v>12.833857419299058</v>
      </c>
      <c r="R22" s="17">
        <f>(Q22/1000*$L$11)</f>
        <v>3.8501572257897174</v>
      </c>
      <c r="S22" s="17">
        <f>K22-$L$3-R22</f>
        <v>5.4598427742102835</v>
      </c>
      <c r="T22" s="17">
        <f>M22*$L$4</f>
        <v>85.559049461993723</v>
      </c>
      <c r="U22" s="17">
        <f t="shared" si="3"/>
        <v>26.866666666666671</v>
      </c>
      <c r="V22" s="17">
        <f t="shared" si="10"/>
        <v>4.899842774210283</v>
      </c>
      <c r="W22" s="17">
        <f t="shared" si="4"/>
        <v>62.88388354119752</v>
      </c>
      <c r="X22" s="17">
        <f t="shared" si="5"/>
        <v>16.04232177412382</v>
      </c>
      <c r="Y22" s="17">
        <f t="shared" si="6"/>
        <v>0.36019014614587452</v>
      </c>
      <c r="Z22" s="17">
        <f t="shared" si="7"/>
        <v>4.2098427742102835</v>
      </c>
      <c r="AA22">
        <f t="shared" si="8"/>
        <v>9.5002659574468077E-4</v>
      </c>
      <c r="AB22" s="17">
        <f>((Q22/1000)^2)*$L$11</f>
        <v>4.9412368877669241E-2</v>
      </c>
      <c r="AC22" s="17">
        <f>$AD$1-(AE22/1000000 * $AD$2)</f>
        <v>-0.51127472732914558</v>
      </c>
      <c r="AD22" s="31">
        <f>((K22-$L$1)/150000)*$L$9*1000000</f>
        <v>79.153846153846146</v>
      </c>
      <c r="AE22" s="17">
        <f>$L$8*Q22*1000</f>
        <v>125.77180270913077</v>
      </c>
      <c r="AF22" s="31">
        <f>$L$9*K22</f>
        <v>12.564102564102564</v>
      </c>
      <c r="AG22" s="17"/>
      <c r="AH22" s="17"/>
      <c r="AI22" s="17"/>
      <c r="AJ22" s="17">
        <f>10.11-AI22</f>
        <v>10.11</v>
      </c>
      <c r="AK22" s="19">
        <f>1000000*(10.11-AF22)/18000/$L$5</f>
        <v>-0.90892687559354235</v>
      </c>
    </row>
    <row r="23" spans="10:37" x14ac:dyDescent="0.25">
      <c r="J23" s="45"/>
      <c r="K23" s="16">
        <v>15</v>
      </c>
      <c r="L23" s="17">
        <f>(K23-$L$1)/$L$10*1000000</f>
        <v>153.72340425531914</v>
      </c>
      <c r="M23" s="29">
        <v>0.65414194098901579</v>
      </c>
      <c r="N23" s="17">
        <f t="shared" si="0"/>
        <v>153.06921419142969</v>
      </c>
      <c r="O23" s="17">
        <f t="shared" si="1"/>
        <v>13.899999999999999</v>
      </c>
      <c r="P23" s="30">
        <f>ABS(L23-(M23+N23))</f>
        <v>4.8122900437874705E-5</v>
      </c>
      <c r="Q23" s="17">
        <f>$L$4*$L$5*M23/1000</f>
        <v>19.624258229670474</v>
      </c>
      <c r="R23" s="17">
        <f>(Q23/1000*$L$11)</f>
        <v>5.8872774689011429</v>
      </c>
      <c r="S23" s="17">
        <f>K23-$L$3-R23</f>
        <v>8.4227225310988576</v>
      </c>
      <c r="T23" s="17">
        <f>M23*$L$4</f>
        <v>130.82838819780315</v>
      </c>
      <c r="U23" s="17">
        <f t="shared" si="3"/>
        <v>43.533333333333331</v>
      </c>
      <c r="V23" s="17">
        <f t="shared" si="10"/>
        <v>7.8627225310988571</v>
      </c>
      <c r="W23" s="17">
        <f t="shared" si="4"/>
        <v>154.3000973385322</v>
      </c>
      <c r="X23" s="17">
        <f t="shared" si="5"/>
        <v>24.530322787088092</v>
      </c>
      <c r="Y23" s="17">
        <f t="shared" si="6"/>
        <v>0.93839572773373048</v>
      </c>
      <c r="Z23" s="17">
        <f t="shared" si="7"/>
        <v>7.1727225310988576</v>
      </c>
      <c r="AA23">
        <f t="shared" si="8"/>
        <v>2.2213031914893613E-3</v>
      </c>
      <c r="AB23" s="17">
        <f>((Q23/1000)^2)*$L$11</f>
        <v>0.11553345331943682</v>
      </c>
      <c r="AC23" s="17">
        <f>$AD$1-(AE23/1000000 * $AD$2)</f>
        <v>-3.6389333405862203</v>
      </c>
      <c r="AD23" s="31">
        <f>((K23-$L$1)/150000)*$L$9*1000000</f>
        <v>121.03418803418803</v>
      </c>
      <c r="AE23" s="17">
        <f>$L$8*Q23*1000</f>
        <v>192.31773065077064</v>
      </c>
      <c r="AF23" s="31">
        <f>$L$9*K23</f>
        <v>18.846153846153847</v>
      </c>
      <c r="AG23" s="17"/>
      <c r="AH23" s="17"/>
      <c r="AI23" s="17"/>
      <c r="AJ23" s="17">
        <f>10.11-AI23</f>
        <v>10.11</v>
      </c>
      <c r="AK23" s="19">
        <f>1000000*(10.11-AF23)/18000/$L$5</f>
        <v>-3.2356125356125363</v>
      </c>
    </row>
    <row r="24" spans="10:37" s="57" customFormat="1" x14ac:dyDescent="0.25">
      <c r="J24" s="52"/>
      <c r="K24" s="53">
        <v>40</v>
      </c>
      <c r="L24" s="54">
        <f>(K24-$L$1)/$L$10*1000000</f>
        <v>419.68085106382983</v>
      </c>
      <c r="M24" s="55">
        <v>1.7858753974866339</v>
      </c>
      <c r="N24" s="54">
        <f t="shared" ref="N24" si="12">$L$6*Q24*1000</f>
        <v>417.89484301187235</v>
      </c>
      <c r="O24" s="54">
        <f t="shared" ref="O24" si="13">(L24/1000000*$L$10)-$L$12</f>
        <v>38.900000000000006</v>
      </c>
      <c r="P24" s="56">
        <f>ABS(L24-(M24+N24))</f>
        <v>1.3265447086041604E-4</v>
      </c>
      <c r="Q24" s="54">
        <f>$L$4*$L$5*M24/1000</f>
        <v>53.576261924599024</v>
      </c>
      <c r="R24" s="54">
        <f>(Q24/1000*$L$11)</f>
        <v>16.072878577379708</v>
      </c>
      <c r="S24" s="54">
        <f>K24-$L$3-R24</f>
        <v>23.237121422620294</v>
      </c>
      <c r="T24" s="54">
        <f>M24*$L$4</f>
        <v>357.17507949732681</v>
      </c>
      <c r="U24" s="17">
        <f t="shared" si="3"/>
        <v>126.86666666666666</v>
      </c>
      <c r="V24" s="54">
        <f t="shared" ref="V24" si="14">K24-$L$2-R24</f>
        <v>22.677121422620292</v>
      </c>
      <c r="W24" s="54">
        <f t="shared" ref="W24" si="15">V24*Q24</f>
        <v>1214.9553970342404</v>
      </c>
      <c r="X24" s="54">
        <f t="shared" ref="X24" si="16">1.25*Q24</f>
        <v>66.970327405748776</v>
      </c>
      <c r="Y24" s="54">
        <f t="shared" ref="Y24" si="17">T24*(Z24)/1000</f>
        <v>7.8532518420417796</v>
      </c>
      <c r="Z24" s="54">
        <f t="shared" ref="Z24" si="18">V24-$L$3</f>
        <v>21.987121422620291</v>
      </c>
      <c r="AA24" s="57">
        <f t="shared" ref="AA24" si="19">(L24/1000000)^2*$L$10</f>
        <v>1.6556409574468089E-2</v>
      </c>
      <c r="AB24" s="54">
        <f>((Q24/1000)^2)*$L$11</f>
        <v>0.86112475254397158</v>
      </c>
      <c r="AC24" s="54">
        <f>$AD$1-(AE24/1000000 * $AD$2)</f>
        <v>-19.277226242470313</v>
      </c>
      <c r="AD24" s="58">
        <f>((K24-$L$1)/150000)*$L$9*1000000</f>
        <v>330.4358974358974</v>
      </c>
      <c r="AE24" s="54">
        <f>$L$8*Q24*1000</f>
        <v>525.04736686107049</v>
      </c>
      <c r="AF24" s="58">
        <f>$L$9*K24</f>
        <v>50.256410256410255</v>
      </c>
      <c r="AG24" s="54"/>
      <c r="AH24" s="54"/>
      <c r="AI24" s="54"/>
      <c r="AJ24" s="54">
        <f>10.11-AI24</f>
        <v>10.11</v>
      </c>
      <c r="AK24" s="59">
        <f>1000000*(10.11-AF24)/18000/$L$5</f>
        <v>-14.869040835707501</v>
      </c>
    </row>
    <row r="25" spans="10:37" x14ac:dyDescent="0.25">
      <c r="K25" s="60">
        <v>40</v>
      </c>
      <c r="L25" s="61">
        <f>(K25-$L$1)/$L$10*1000000</f>
        <v>419.68085106382983</v>
      </c>
      <c r="M25" s="61">
        <v>1.6787233346664518</v>
      </c>
      <c r="N25" s="61">
        <f t="shared" si="0"/>
        <v>392.82126031194974</v>
      </c>
      <c r="O25" s="61">
        <f t="shared" si="1"/>
        <v>38.900000000000006</v>
      </c>
      <c r="P25" s="61">
        <f>ABS(L25-(M25+N25))</f>
        <v>25.180867417213619</v>
      </c>
      <c r="Q25" s="61">
        <f>$L$4*$L$5*M25/1000</f>
        <v>50.361700039993558</v>
      </c>
      <c r="R25" s="61">
        <f>(Q25/1000*$L$11)</f>
        <v>15.108510011998067</v>
      </c>
      <c r="S25" s="61">
        <f>K25-$L$3-R25</f>
        <v>24.201489988001935</v>
      </c>
      <c r="T25" s="61">
        <f>M25*$L$4</f>
        <v>335.74466693329038</v>
      </c>
      <c r="U25" s="61">
        <f t="shared" si="3"/>
        <v>126.86666666666666</v>
      </c>
      <c r="V25" s="61">
        <f t="shared" si="10"/>
        <v>23.641489988001933</v>
      </c>
      <c r="W25" s="61">
        <f t="shared" si="4"/>
        <v>1190.6256272742642</v>
      </c>
      <c r="X25" s="61">
        <f t="shared" si="5"/>
        <v>62.952125049991949</v>
      </c>
      <c r="Y25" s="61">
        <f t="shared" si="6"/>
        <v>7.7058403616444577</v>
      </c>
      <c r="Z25" s="61">
        <f t="shared" si="7"/>
        <v>22.951489988001931</v>
      </c>
      <c r="AA25" s="62">
        <f t="shared" si="8"/>
        <v>1.6556409574468089E-2</v>
      </c>
      <c r="AB25" s="61">
        <f>((Q25/1000)^2)*$L$11</f>
        <v>0.76089024927548621</v>
      </c>
      <c r="AC25" s="61">
        <f>$AD$1-(AE25/1000000 * $AD$2)</f>
        <v>-17.796599038421029</v>
      </c>
      <c r="AD25" s="61">
        <f>((K25-$L$1)/150000)*$L$9*1000000</f>
        <v>330.4358974358974</v>
      </c>
      <c r="AE25" s="61">
        <f>$L$8*Q25*1000</f>
        <v>493.54466039193682</v>
      </c>
      <c r="AF25" s="61">
        <f>$L$9*K25</f>
        <v>50.256410256410255</v>
      </c>
      <c r="AG25" s="61"/>
      <c r="AH25" s="61"/>
      <c r="AI25" s="61"/>
      <c r="AJ25" s="61">
        <f>10.11-AI25</f>
        <v>10.11</v>
      </c>
      <c r="AK25" s="63">
        <f>1000000*(10.11-AF25)/18000/$L$5</f>
        <v>-14.869040835707501</v>
      </c>
    </row>
    <row r="26" spans="10:37" x14ac:dyDescent="0.25">
      <c r="K26" s="60">
        <v>60</v>
      </c>
      <c r="L26" s="61">
        <f>(K26-$L$1)/$L$10*1000000</f>
        <v>632.44680851063833</v>
      </c>
      <c r="M26" s="61">
        <v>0.84326240448059819</v>
      </c>
      <c r="N26" s="61">
        <f t="shared" si="0"/>
        <v>197.32340264845999</v>
      </c>
      <c r="O26" s="61">
        <f t="shared" si="1"/>
        <v>58.900000000000013</v>
      </c>
      <c r="P26" s="61">
        <f>ABS(L26-(M26+N26))</f>
        <v>434.2801434576977</v>
      </c>
      <c r="Q26" s="61">
        <f>$L$4*$L$5*M26/1000</f>
        <v>25.297872134417947</v>
      </c>
      <c r="R26" s="61">
        <f>(Q26/1000*$L$11)</f>
        <v>7.5893616403253841</v>
      </c>
      <c r="S26" s="61">
        <f>K26-$L$3-R26</f>
        <v>51.720638359674616</v>
      </c>
      <c r="T26" s="61">
        <f>M26*$L$4</f>
        <v>168.65248089611964</v>
      </c>
      <c r="U26" s="61">
        <f t="shared" si="3"/>
        <v>193.53333333333333</v>
      </c>
      <c r="V26" s="61">
        <f t="shared" si="10"/>
        <v>51.160638359674614</v>
      </c>
      <c r="W26" s="61">
        <f t="shared" si="4"/>
        <v>1294.2552875382464</v>
      </c>
      <c r="X26" s="61">
        <f t="shared" si="5"/>
        <v>31.622340168022433</v>
      </c>
      <c r="Y26" s="61">
        <f t="shared" si="6"/>
        <v>8.5119983717699874</v>
      </c>
      <c r="Z26" s="61">
        <f t="shared" si="7"/>
        <v>50.470638359674616</v>
      </c>
      <c r="AA26" s="62">
        <f t="shared" si="8"/>
        <v>3.7598962765957457E-2</v>
      </c>
      <c r="AB26" s="61">
        <f>((Q26/1000)^2)*$L$11</f>
        <v>0.19199470035880806</v>
      </c>
      <c r="AC26" s="61">
        <f>$AD$1-(AE26/1000000 * $AD$2)</f>
        <v>-6.2521999051129047</v>
      </c>
      <c r="AD26" s="61">
        <f>((K26-$L$1)/150000)*$L$9*1000000</f>
        <v>497.95726495726495</v>
      </c>
      <c r="AE26" s="61">
        <f>$L$8*Q26*1000</f>
        <v>247.91914691729588</v>
      </c>
      <c r="AF26" s="61">
        <f>$L$9*K26</f>
        <v>75.384615384615387</v>
      </c>
      <c r="AG26" s="61"/>
      <c r="AH26" s="61"/>
      <c r="AI26" s="61"/>
      <c r="AJ26" s="61">
        <f>10.11-AI26</f>
        <v>10.11</v>
      </c>
      <c r="AK26" s="63">
        <f>1000000*(10.11-AF26)/18000/$L$5</f>
        <v>-24.175783475783476</v>
      </c>
    </row>
    <row r="27" spans="10:37" ht="15.75" thickBot="1" x14ac:dyDescent="0.3">
      <c r="K27" s="64">
        <v>120</v>
      </c>
      <c r="L27" s="65">
        <f>(K27-$L$1)/$L$10*1000000</f>
        <v>1270.7446808510638</v>
      </c>
      <c r="M27" s="65">
        <v>5.4074234030813848</v>
      </c>
      <c r="N27" s="65">
        <f>$L$6*Q27*1000</f>
        <v>1265.3370763210442</v>
      </c>
      <c r="O27" s="65">
        <f t="shared" si="1"/>
        <v>118.89999999999999</v>
      </c>
      <c r="P27" s="65">
        <f>ABS(L27-(M27+N27))</f>
        <v>1.8112693828697957E-4</v>
      </c>
      <c r="Q27" s="65">
        <f>$L$4*$L$5*M27/1000</f>
        <v>162.22270209244155</v>
      </c>
      <c r="R27" s="65">
        <f>(Q27/1000*$L$11)</f>
        <v>48.666810627732467</v>
      </c>
      <c r="S27" s="65">
        <f>K27-$L$3-R27</f>
        <v>70.643189372267528</v>
      </c>
      <c r="T27" s="65">
        <f>M27*$L$4</f>
        <v>1081.484680616277</v>
      </c>
      <c r="U27" s="61">
        <f t="shared" si="3"/>
        <v>393.53333333333336</v>
      </c>
      <c r="V27" s="65">
        <f t="shared" si="10"/>
        <v>70.083189372267526</v>
      </c>
      <c r="W27" s="65">
        <f t="shared" si="4"/>
        <v>11369.084351225521</v>
      </c>
      <c r="X27" s="65">
        <f t="shared" si="5"/>
        <v>202.77837761555193</v>
      </c>
      <c r="Y27" s="65">
        <f t="shared" si="6"/>
        <v>75.047671245211575</v>
      </c>
      <c r="Z27" s="65">
        <f t="shared" si="7"/>
        <v>69.393189372267528</v>
      </c>
      <c r="AA27" s="65">
        <f t="shared" si="8"/>
        <v>0.15179045212765957</v>
      </c>
      <c r="AB27" s="65">
        <f>((Q27/1000)^2)*$L$11</f>
        <v>7.8948615222519125</v>
      </c>
      <c r="AC27" s="65">
        <f>$AD$1-(AE27/1000000 * $AD$2)</f>
        <v>-69.319776583778562</v>
      </c>
      <c r="AD27" s="65">
        <f>((K27-$L$1)/150000)*$L$9*1000000</f>
        <v>1000.5213675213676</v>
      </c>
      <c r="AE27" s="65">
        <f>$L$8*Q27*1000</f>
        <v>1589.782480505927</v>
      </c>
      <c r="AF27" s="65">
        <f>$L$9*K27</f>
        <v>150.76923076923077</v>
      </c>
      <c r="AG27" s="65"/>
      <c r="AH27" s="65"/>
      <c r="AI27" s="65"/>
      <c r="AJ27" s="65">
        <f>10.11-AI27</f>
        <v>10.11</v>
      </c>
      <c r="AK27" s="66">
        <f>1000000*(10.11-AF27)/18000/$L$5</f>
        <v>-52.096011396011384</v>
      </c>
    </row>
    <row r="29" spans="10:37" x14ac:dyDescent="0.25">
      <c r="K29" s="67" t="s">
        <v>143</v>
      </c>
      <c r="S29" s="8"/>
      <c r="V29" s="8"/>
    </row>
    <row r="30" spans="10:37" x14ac:dyDescent="0.25">
      <c r="W30" s="8" t="s">
        <v>140</v>
      </c>
      <c r="AA30" s="8" t="s">
        <v>140</v>
      </c>
      <c r="AB30" s="8" t="s">
        <v>140</v>
      </c>
    </row>
    <row r="31" spans="10:37" x14ac:dyDescent="0.25">
      <c r="K31" t="s">
        <v>24</v>
      </c>
      <c r="L31">
        <v>300</v>
      </c>
      <c r="M31" t="s">
        <v>25</v>
      </c>
      <c r="R31" t="s">
        <v>142</v>
      </c>
      <c r="AD31" t="s">
        <v>49</v>
      </c>
    </row>
    <row r="32" spans="10:37" x14ac:dyDescent="0.25">
      <c r="K32" t="s">
        <v>123</v>
      </c>
      <c r="L32">
        <v>150</v>
      </c>
      <c r="M32" t="s">
        <v>25</v>
      </c>
      <c r="R32" t="s">
        <v>148</v>
      </c>
    </row>
    <row r="33" spans="1:18" x14ac:dyDescent="0.25">
      <c r="K33" t="s">
        <v>144</v>
      </c>
      <c r="L33">
        <v>120</v>
      </c>
      <c r="M33" t="s">
        <v>22</v>
      </c>
      <c r="R33" t="s">
        <v>114</v>
      </c>
    </row>
    <row r="34" spans="1:18" x14ac:dyDescent="0.25">
      <c r="K34" t="s">
        <v>145</v>
      </c>
      <c r="L34">
        <f>L33*(L32/(L32+L31))</f>
        <v>40</v>
      </c>
      <c r="M34" t="s">
        <v>22</v>
      </c>
      <c r="R34" t="s">
        <v>135</v>
      </c>
    </row>
    <row r="35" spans="1:18" x14ac:dyDescent="0.25">
      <c r="K35" t="s">
        <v>147</v>
      </c>
      <c r="L35">
        <v>0.06</v>
      </c>
      <c r="M35" t="s">
        <v>146</v>
      </c>
    </row>
    <row r="36" spans="1:18" x14ac:dyDescent="0.25">
      <c r="A36" s="2" t="s">
        <v>90</v>
      </c>
      <c r="K36" t="s">
        <v>149</v>
      </c>
      <c r="L36">
        <f>L34/L32</f>
        <v>0.26666666666666666</v>
      </c>
      <c r="M36" t="s">
        <v>151</v>
      </c>
    </row>
    <row r="37" spans="1:18" x14ac:dyDescent="0.25">
      <c r="A37" s="2" t="s">
        <v>91</v>
      </c>
      <c r="K37" t="s">
        <v>150</v>
      </c>
      <c r="L37">
        <f>L36+L35</f>
        <v>0.32666666666666666</v>
      </c>
      <c r="M37" t="s">
        <v>151</v>
      </c>
    </row>
    <row r="38" spans="1:18" x14ac:dyDescent="0.25">
      <c r="A38" s="2" t="s">
        <v>92</v>
      </c>
      <c r="K38" t="s">
        <v>154</v>
      </c>
      <c r="L38">
        <f>L37+L36+L35</f>
        <v>0.65333333333333332</v>
      </c>
    </row>
    <row r="39" spans="1:18" x14ac:dyDescent="0.25">
      <c r="A39" s="2"/>
    </row>
    <row r="40" spans="1:18" x14ac:dyDescent="0.25">
      <c r="A40" s="2" t="s">
        <v>93</v>
      </c>
      <c r="L40" s="67" t="s">
        <v>156</v>
      </c>
    </row>
    <row r="41" spans="1:18" x14ac:dyDescent="0.25">
      <c r="A41" s="2" t="s">
        <v>94</v>
      </c>
      <c r="K41" t="s">
        <v>152</v>
      </c>
      <c r="L41">
        <f>L34/L35</f>
        <v>666.66666666666674</v>
      </c>
      <c r="M41" t="s">
        <v>25</v>
      </c>
    </row>
    <row r="42" spans="1:18" x14ac:dyDescent="0.25">
      <c r="A42" s="2" t="s">
        <v>95</v>
      </c>
      <c r="K42" t="s">
        <v>153</v>
      </c>
      <c r="L42">
        <f>(L41*L32)/(L41+L32)</f>
        <v>122.44897959183675</v>
      </c>
      <c r="M42" t="s">
        <v>25</v>
      </c>
    </row>
    <row r="43" spans="1:18" x14ac:dyDescent="0.25">
      <c r="A43" s="2" t="s">
        <v>96</v>
      </c>
      <c r="K43" t="s">
        <v>154</v>
      </c>
      <c r="L43">
        <f>L33/(L42+L31)</f>
        <v>0.28405797101449276</v>
      </c>
      <c r="M43" t="s">
        <v>151</v>
      </c>
    </row>
    <row r="44" spans="1:18" x14ac:dyDescent="0.25">
      <c r="A44" s="2"/>
    </row>
    <row r="45" spans="1:18" x14ac:dyDescent="0.25">
      <c r="A45" s="2" t="s">
        <v>97</v>
      </c>
      <c r="K45" t="s">
        <v>155</v>
      </c>
      <c r="L45" s="8">
        <f>ABS(L38-L43)</f>
        <v>0.36927536231884056</v>
      </c>
    </row>
    <row r="46" spans="1:18" x14ac:dyDescent="0.25">
      <c r="A46" s="2" t="s">
        <v>98</v>
      </c>
    </row>
    <row r="47" spans="1:18" x14ac:dyDescent="0.25">
      <c r="A47" s="2" t="s">
        <v>99</v>
      </c>
    </row>
    <row r="48" spans="1:18" x14ac:dyDescent="0.25">
      <c r="A48" s="2" t="s">
        <v>100</v>
      </c>
    </row>
    <row r="49" spans="1:1" x14ac:dyDescent="0.25">
      <c r="A49" s="2" t="s">
        <v>101</v>
      </c>
    </row>
    <row r="50" spans="1:1" x14ac:dyDescent="0.25">
      <c r="A50" s="2" t="s">
        <v>102</v>
      </c>
    </row>
    <row r="51" spans="1:1" x14ac:dyDescent="0.25">
      <c r="A51" s="2" t="s">
        <v>103</v>
      </c>
    </row>
    <row r="52" spans="1:1" x14ac:dyDescent="0.25">
      <c r="A52" s="2"/>
    </row>
    <row r="53" spans="1:1" x14ac:dyDescent="0.25">
      <c r="A53" s="2" t="s">
        <v>104</v>
      </c>
    </row>
    <row r="54" spans="1:1" x14ac:dyDescent="0.25">
      <c r="A54" s="2" t="s">
        <v>105</v>
      </c>
    </row>
    <row r="55" spans="1:1" x14ac:dyDescent="0.25">
      <c r="A55" s="2" t="s">
        <v>106</v>
      </c>
    </row>
    <row r="56" spans="1:1" x14ac:dyDescent="0.25">
      <c r="A56" s="2" t="s">
        <v>107</v>
      </c>
    </row>
    <row r="57" spans="1:1" x14ac:dyDescent="0.25">
      <c r="A57" s="2" t="s">
        <v>108</v>
      </c>
    </row>
    <row r="69" spans="1:3" x14ac:dyDescent="0.25">
      <c r="A69" t="s">
        <v>21</v>
      </c>
      <c r="B69">
        <v>6.6</v>
      </c>
      <c r="C69" t="s">
        <v>22</v>
      </c>
    </row>
    <row r="70" spans="1:3" x14ac:dyDescent="0.25">
      <c r="A70" t="s">
        <v>35</v>
      </c>
      <c r="B70">
        <v>0.1</v>
      </c>
      <c r="C70" t="s">
        <v>28</v>
      </c>
    </row>
    <row r="71" spans="1:3" x14ac:dyDescent="0.25">
      <c r="A71" t="s">
        <v>23</v>
      </c>
      <c r="B71">
        <v>0.55000000000000004</v>
      </c>
      <c r="C71" t="s">
        <v>22</v>
      </c>
    </row>
    <row r="72" spans="1:3" x14ac:dyDescent="0.25">
      <c r="A72" t="s">
        <v>24</v>
      </c>
      <c r="B72">
        <v>150000</v>
      </c>
      <c r="C72" t="s">
        <v>25</v>
      </c>
    </row>
    <row r="73" spans="1:3" x14ac:dyDescent="0.25">
      <c r="A73" t="s">
        <v>26</v>
      </c>
      <c r="B73">
        <v>9.7999999999999997E-3</v>
      </c>
    </row>
    <row r="74" spans="1:3" x14ac:dyDescent="0.25">
      <c r="A74" t="s">
        <v>27</v>
      </c>
      <c r="B74">
        <v>7.7999999999999996E-3</v>
      </c>
    </row>
    <row r="75" spans="1:3" x14ac:dyDescent="0.25">
      <c r="A75" t="s">
        <v>32</v>
      </c>
      <c r="B75">
        <v>0.6</v>
      </c>
      <c r="C75" t="s">
        <v>28</v>
      </c>
    </row>
    <row r="76" spans="1:3" x14ac:dyDescent="0.25">
      <c r="A76" t="s">
        <v>30</v>
      </c>
      <c r="B76">
        <v>150000</v>
      </c>
      <c r="C76" t="s">
        <v>25</v>
      </c>
    </row>
    <row r="77" spans="1:3" x14ac:dyDescent="0.25">
      <c r="A77" t="s">
        <v>31</v>
      </c>
      <c r="B77">
        <v>0.6</v>
      </c>
      <c r="C77" t="s">
        <v>22</v>
      </c>
    </row>
    <row r="78" spans="1:3" x14ac:dyDescent="0.25">
      <c r="A78" t="s">
        <v>34</v>
      </c>
      <c r="B78">
        <f>B73/B74</f>
        <v>1.2564102564102564</v>
      </c>
    </row>
    <row r="80" spans="1:3" x14ac:dyDescent="0.25">
      <c r="A80" t="s">
        <v>20</v>
      </c>
      <c r="B80" s="7">
        <f>(B69-B71)*1/B72*B73/B74*1000*1000</f>
        <v>50.675213675213676</v>
      </c>
      <c r="C80" t="s">
        <v>28</v>
      </c>
    </row>
    <row r="83" spans="1:4" x14ac:dyDescent="0.25">
      <c r="A83" t="s">
        <v>29</v>
      </c>
      <c r="B83" s="2">
        <f>(B80+B75)/(1000000)*B76+B77</f>
        <v>8.2912820512820513</v>
      </c>
      <c r="C83" t="s">
        <v>22</v>
      </c>
    </row>
    <row r="87" spans="1:4" x14ac:dyDescent="0.25">
      <c r="A87" t="s">
        <v>33</v>
      </c>
      <c r="B87">
        <f>B69*(B76/B72)*B78</f>
        <v>8.2923076923076913</v>
      </c>
      <c r="C87">
        <f>(B77-B71*B76/B72*B78)</f>
        <v>-9.1025641025641146E-2</v>
      </c>
      <c r="D87">
        <f>B76*(B75-B70*B78)/1000000</f>
        <v>7.1153846153846151E-2</v>
      </c>
    </row>
    <row r="88" spans="1:4" x14ac:dyDescent="0.25">
      <c r="B88">
        <f>B87+C87+D87</f>
        <v>8.272435897435896</v>
      </c>
    </row>
  </sheetData>
  <scenarios current="0">
    <scenario name="baseCurrent" count="1" user="Numaan" comment="Created by Numaan on 9/16/2020">
      <inputCells r="M27" val="1.69432623055875"/>
    </scenario>
  </scenarios>
  <mergeCells count="5">
    <mergeCell ref="V14:AA14"/>
    <mergeCell ref="N13:R13"/>
    <mergeCell ref="AD14:AK14"/>
    <mergeCell ref="A1:H1"/>
    <mergeCell ref="K14:T14"/>
  </mergeCells>
  <hyperlinks>
    <hyperlink ref="A2" r:id="rId1" location="Naslov_NaZacetek" display="http://e-rokodelnica.si/A004/A004_EN.html - Naslov_NaZacetek"/>
    <hyperlink ref="A3" r:id="rId2"/>
  </hyperlinks>
  <pageMargins left="0.7" right="0.7" top="0.75" bottom="0.75" header="0.3" footer="0.3"/>
  <pageSetup paperSize="9" orientation="portrait" horizontalDpi="4294967293" verticalDpi="0"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5"/>
  <sheetViews>
    <sheetView zoomScale="85" zoomScaleNormal="85" workbookViewId="0"/>
  </sheetViews>
  <sheetFormatPr defaultRowHeight="15" x14ac:dyDescent="0.25"/>
  <cols>
    <col min="1" max="1" width="19" style="2" customWidth="1"/>
    <col min="2" max="2" width="12.42578125" style="2" customWidth="1"/>
    <col min="3" max="3" width="34.7109375" style="2" customWidth="1"/>
    <col min="4" max="16384" width="9.140625" style="2"/>
  </cols>
  <sheetData>
    <row r="1" spans="1:23" ht="15" customHeight="1" x14ac:dyDescent="0.25">
      <c r="A1" s="1" t="s">
        <v>9</v>
      </c>
      <c r="C1" s="2" t="s">
        <v>13</v>
      </c>
      <c r="D1" s="2">
        <f>5.39/2</f>
        <v>2.6949999999999998</v>
      </c>
      <c r="E1" s="2" t="s">
        <v>14</v>
      </c>
      <c r="F1" s="2">
        <v>10.53</v>
      </c>
      <c r="M1" s="32" t="s">
        <v>109</v>
      </c>
      <c r="N1" s="33"/>
      <c r="O1" s="34"/>
      <c r="T1" s="2" t="s">
        <v>68</v>
      </c>
    </row>
    <row r="2" spans="1:23" x14ac:dyDescent="0.25">
      <c r="B2" s="3">
        <v>0.154</v>
      </c>
      <c r="C2" s="3" t="s">
        <v>15</v>
      </c>
      <c r="D2" s="3">
        <v>0.104</v>
      </c>
      <c r="G2" s="4">
        <f>B2-D2</f>
        <v>0.05</v>
      </c>
      <c r="H2" s="4" t="s">
        <v>4</v>
      </c>
      <c r="M2" s="35"/>
      <c r="N2" s="36"/>
      <c r="O2" s="37"/>
      <c r="T2" s="2" t="s">
        <v>69</v>
      </c>
    </row>
    <row r="3" spans="1:23" x14ac:dyDescent="0.25">
      <c r="G3" s="4"/>
      <c r="H3" s="4"/>
      <c r="M3" s="35"/>
      <c r="N3" s="36"/>
      <c r="O3" s="37"/>
      <c r="T3" s="2" t="s">
        <v>70</v>
      </c>
    </row>
    <row r="4" spans="1:23" x14ac:dyDescent="0.25">
      <c r="A4" s="5" t="str">
        <f>CONCATENATE("@",F1," V/V")</f>
        <v>@10.53 V/V</v>
      </c>
      <c r="B4" s="2">
        <f>D1+B2*F1</f>
        <v>4.3166199999999995</v>
      </c>
      <c r="C4" s="2" t="s">
        <v>0</v>
      </c>
      <c r="D4" s="2">
        <f>D1+D2*F1</f>
        <v>3.7901199999999999</v>
      </c>
      <c r="G4" s="4">
        <f>G2*10.53</f>
        <v>0.52649999999999997</v>
      </c>
      <c r="H4" s="4" t="s">
        <v>3</v>
      </c>
      <c r="M4" s="35"/>
      <c r="N4" s="36"/>
      <c r="O4" s="37"/>
    </row>
    <row r="5" spans="1:23" x14ac:dyDescent="0.25">
      <c r="G5" s="4"/>
      <c r="H5" s="4"/>
      <c r="M5" s="35"/>
      <c r="N5" s="36"/>
      <c r="O5" s="37"/>
      <c r="T5" s="2" t="s">
        <v>71</v>
      </c>
    </row>
    <row r="6" spans="1:23" x14ac:dyDescent="0.25">
      <c r="B6" s="2">
        <v>1.1599999999999999</v>
      </c>
      <c r="C6" s="2" t="s">
        <v>1</v>
      </c>
      <c r="D6" s="2">
        <v>1.7250000000000001</v>
      </c>
      <c r="G6" s="4"/>
      <c r="H6" s="4"/>
      <c r="M6" s="35"/>
      <c r="N6" s="36"/>
      <c r="O6" s="37"/>
      <c r="T6" s="2" t="s">
        <v>72</v>
      </c>
    </row>
    <row r="7" spans="1:23" x14ac:dyDescent="0.25">
      <c r="B7" s="2">
        <f>5.39-B6</f>
        <v>4.2299999999999995</v>
      </c>
      <c r="C7" s="2" t="s">
        <v>2</v>
      </c>
      <c r="D7" s="2">
        <f>5.39-D6</f>
        <v>3.6649999999999996</v>
      </c>
      <c r="G7" s="4">
        <f>B7-D7</f>
        <v>0.56499999999999995</v>
      </c>
      <c r="H7" s="4" t="s">
        <v>12</v>
      </c>
      <c r="M7" s="35"/>
      <c r="N7" s="36"/>
      <c r="O7" s="37"/>
      <c r="U7" s="2" t="s">
        <v>73</v>
      </c>
      <c r="V7" s="2" t="s">
        <v>74</v>
      </c>
    </row>
    <row r="8" spans="1:23" x14ac:dyDescent="0.25">
      <c r="B8" s="2">
        <f>B7-D1</f>
        <v>1.5349999999999997</v>
      </c>
      <c r="C8" s="2" t="s">
        <v>5</v>
      </c>
      <c r="D8" s="2">
        <f>D7-D1</f>
        <v>0.96999999999999975</v>
      </c>
      <c r="M8" s="35"/>
      <c r="N8" s="36"/>
      <c r="O8" s="37"/>
      <c r="U8" s="2" t="s">
        <v>75</v>
      </c>
      <c r="W8" s="2" t="s">
        <v>76</v>
      </c>
    </row>
    <row r="9" spans="1:23" x14ac:dyDescent="0.25">
      <c r="B9" s="6">
        <f>B4-B7</f>
        <v>8.6619999999999919E-2</v>
      </c>
      <c r="C9" s="2" t="s">
        <v>18</v>
      </c>
      <c r="D9" s="6">
        <f>D4-D7</f>
        <v>0.12512000000000034</v>
      </c>
      <c r="M9" s="35"/>
      <c r="N9" s="36"/>
      <c r="O9" s="37"/>
      <c r="U9" s="2" t="s">
        <v>77</v>
      </c>
      <c r="W9" s="2" t="s">
        <v>78</v>
      </c>
    </row>
    <row r="10" spans="1:23" ht="15.75" thickBot="1" x14ac:dyDescent="0.3">
      <c r="M10" s="38"/>
      <c r="N10" s="39"/>
      <c r="O10" s="40"/>
      <c r="T10" s="2" t="s">
        <v>79</v>
      </c>
    </row>
    <row r="11" spans="1:23" x14ac:dyDescent="0.25">
      <c r="B11" s="2">
        <f>B7/B2</f>
        <v>27.467532467532465</v>
      </c>
      <c r="C11" s="2" t="s">
        <v>6</v>
      </c>
      <c r="D11" s="2">
        <f>D7/D2</f>
        <v>35.240384615384613</v>
      </c>
      <c r="G11" s="2">
        <f>B11-D11</f>
        <v>-7.7728521478521486</v>
      </c>
      <c r="U11" s="2" t="s">
        <v>75</v>
      </c>
      <c r="W11" s="2" t="s">
        <v>80</v>
      </c>
    </row>
    <row r="12" spans="1:23" x14ac:dyDescent="0.25">
      <c r="B12" s="2">
        <f>B8/B2</f>
        <v>9.9675324675324664</v>
      </c>
      <c r="C12" s="2" t="s">
        <v>7</v>
      </c>
      <c r="D12" s="2">
        <f>D8/D2</f>
        <v>9.3269230769230749</v>
      </c>
      <c r="G12" s="2">
        <f>B12-D12</f>
        <v>0.64060939060939148</v>
      </c>
      <c r="I12" s="2" t="s">
        <v>10</v>
      </c>
      <c r="J12" s="2">
        <f>100*G12/D12</f>
        <v>6.8683893426161573</v>
      </c>
    </row>
    <row r="14" spans="1:23" x14ac:dyDescent="0.25">
      <c r="A14" s="1" t="s">
        <v>8</v>
      </c>
      <c r="C14" s="2" t="s">
        <v>13</v>
      </c>
      <c r="D14" s="2">
        <f>4.9/2</f>
        <v>2.4500000000000002</v>
      </c>
      <c r="E14" s="2" t="s">
        <v>14</v>
      </c>
      <c r="F14" s="2">
        <v>9.57</v>
      </c>
      <c r="T14" s="2" t="s">
        <v>81</v>
      </c>
    </row>
    <row r="15" spans="1:23" x14ac:dyDescent="0.25">
      <c r="B15" s="3">
        <v>0.154</v>
      </c>
      <c r="C15" s="3" t="s">
        <v>15</v>
      </c>
      <c r="D15" s="3">
        <v>0.104</v>
      </c>
      <c r="G15" s="4">
        <f>B15-D15</f>
        <v>0.05</v>
      </c>
      <c r="H15" s="4" t="s">
        <v>4</v>
      </c>
      <c r="T15" s="2" t="s">
        <v>82</v>
      </c>
    </row>
    <row r="16" spans="1:23" x14ac:dyDescent="0.25">
      <c r="G16" s="4"/>
      <c r="H16" s="4"/>
      <c r="T16" s="2" t="s">
        <v>72</v>
      </c>
    </row>
    <row r="17" spans="1:24" x14ac:dyDescent="0.25">
      <c r="A17" s="5" t="str">
        <f>CONCATENATE("@",F14," V/V")</f>
        <v>@9.57 V/V</v>
      </c>
      <c r="B17" s="2">
        <f>D14+B15*F14</f>
        <v>3.9237800000000003</v>
      </c>
      <c r="C17" s="2" t="s">
        <v>0</v>
      </c>
      <c r="D17" s="2">
        <f>D14+D15*F14</f>
        <v>3.4452800000000003</v>
      </c>
      <c r="G17" s="4">
        <f>G15*9.57</f>
        <v>0.47850000000000004</v>
      </c>
      <c r="H17" s="4" t="s">
        <v>3</v>
      </c>
      <c r="U17" s="2" t="s">
        <v>75</v>
      </c>
      <c r="V17" s="2" t="s">
        <v>83</v>
      </c>
    </row>
    <row r="18" spans="1:24" x14ac:dyDescent="0.25">
      <c r="G18" s="4"/>
      <c r="H18" s="4"/>
      <c r="U18" s="2" t="s">
        <v>75</v>
      </c>
      <c r="V18" s="2" t="s">
        <v>84</v>
      </c>
    </row>
    <row r="19" spans="1:24" x14ac:dyDescent="0.25">
      <c r="B19" s="2">
        <v>1.99</v>
      </c>
      <c r="C19" s="2" t="s">
        <v>1</v>
      </c>
      <c r="D19" s="2">
        <v>2.33</v>
      </c>
      <c r="G19" s="4"/>
      <c r="H19" s="4"/>
      <c r="T19" s="2" t="s">
        <v>79</v>
      </c>
    </row>
    <row r="20" spans="1:24" x14ac:dyDescent="0.25">
      <c r="B20" s="2">
        <f>5.39-B19</f>
        <v>3.3999999999999995</v>
      </c>
      <c r="C20" s="2" t="s">
        <v>2</v>
      </c>
      <c r="D20" s="2">
        <f>5.39-D19</f>
        <v>3.0599999999999996</v>
      </c>
      <c r="G20" s="4">
        <f>B20-D20</f>
        <v>0.33999999999999986</v>
      </c>
      <c r="H20" s="4" t="s">
        <v>12</v>
      </c>
      <c r="U20" s="2" t="s">
        <v>75</v>
      </c>
      <c r="W20" s="2" t="s">
        <v>85</v>
      </c>
    </row>
    <row r="21" spans="1:24" x14ac:dyDescent="0.25">
      <c r="B21" s="2">
        <f>B20-D14</f>
        <v>0.94999999999999929</v>
      </c>
      <c r="C21" s="2" t="s">
        <v>5</v>
      </c>
      <c r="D21" s="2">
        <f>D20-D14</f>
        <v>0.60999999999999943</v>
      </c>
    </row>
    <row r="22" spans="1:24" x14ac:dyDescent="0.25">
      <c r="B22" s="6">
        <f>B17-B20</f>
        <v>0.5237800000000008</v>
      </c>
      <c r="C22" s="2" t="s">
        <v>18</v>
      </c>
      <c r="D22" s="6">
        <f>D17-D20</f>
        <v>0.38528000000000073</v>
      </c>
    </row>
    <row r="23" spans="1:24" x14ac:dyDescent="0.25">
      <c r="T23" s="2" t="s">
        <v>86</v>
      </c>
    </row>
    <row r="24" spans="1:24" x14ac:dyDescent="0.25">
      <c r="B24" s="2">
        <f>B20/B15</f>
        <v>22.077922077922075</v>
      </c>
      <c r="C24" s="2" t="s">
        <v>6</v>
      </c>
      <c r="D24" s="2">
        <f>D20/D15</f>
        <v>29.42307692307692</v>
      </c>
      <c r="G24" s="2">
        <f>B24-D24</f>
        <v>-7.3451548451548447</v>
      </c>
      <c r="T24" s="2" t="s">
        <v>82</v>
      </c>
    </row>
    <row r="25" spans="1:24" x14ac:dyDescent="0.25">
      <c r="B25" s="2">
        <f>B21/B15</f>
        <v>6.1688311688311641</v>
      </c>
      <c r="C25" s="2" t="s">
        <v>7</v>
      </c>
      <c r="D25" s="2">
        <f>D21/D15</f>
        <v>5.8653846153846105</v>
      </c>
      <c r="G25" s="2">
        <f>B25-D25</f>
        <v>0.30344655344655358</v>
      </c>
      <c r="I25" s="2" t="s">
        <v>10</v>
      </c>
      <c r="J25" s="2">
        <f>100*G25/D25</f>
        <v>5.1735150095805897</v>
      </c>
    </row>
    <row r="26" spans="1:24" x14ac:dyDescent="0.25">
      <c r="T26" s="2" t="s">
        <v>72</v>
      </c>
    </row>
    <row r="27" spans="1:24" x14ac:dyDescent="0.25">
      <c r="U27" s="2" t="s">
        <v>75</v>
      </c>
      <c r="V27" s="2" t="s">
        <v>87</v>
      </c>
    </row>
    <row r="28" spans="1:24" x14ac:dyDescent="0.25">
      <c r="A28" s="1" t="s">
        <v>17</v>
      </c>
      <c r="C28" s="2" t="s">
        <v>13</v>
      </c>
      <c r="D28" s="2">
        <f>2.16</f>
        <v>2.16</v>
      </c>
      <c r="E28" s="2" t="s">
        <v>14</v>
      </c>
      <c r="F28" s="2">
        <f>4.383/0.512</f>
        <v>8.560546875</v>
      </c>
      <c r="U28" s="2" t="s">
        <v>75</v>
      </c>
      <c r="V28" s="2" t="s">
        <v>88</v>
      </c>
    </row>
    <row r="29" spans="1:24" x14ac:dyDescent="0.25">
      <c r="B29" s="3">
        <v>0.154</v>
      </c>
      <c r="C29" s="3" t="s">
        <v>15</v>
      </c>
      <c r="D29" s="3">
        <v>0.104</v>
      </c>
      <c r="G29" s="4">
        <f>B29-D29</f>
        <v>0.05</v>
      </c>
      <c r="H29" s="4" t="s">
        <v>4</v>
      </c>
      <c r="K29" s="2" t="s">
        <v>16</v>
      </c>
      <c r="T29" s="2" t="s">
        <v>79</v>
      </c>
    </row>
    <row r="30" spans="1:24" x14ac:dyDescent="0.25">
      <c r="G30" s="4"/>
      <c r="H30" s="4"/>
      <c r="U30" s="2" t="s">
        <v>75</v>
      </c>
      <c r="X30" s="2" t="s">
        <v>89</v>
      </c>
    </row>
    <row r="31" spans="1:24" x14ac:dyDescent="0.25">
      <c r="A31" s="5" t="str">
        <f>CONCATENATE("@",F28," V/V")</f>
        <v>@8.560546875 V/V</v>
      </c>
      <c r="B31" s="2">
        <f>D28+(B29*F28)</f>
        <v>3.4783242187500001</v>
      </c>
      <c r="C31" s="2" t="s">
        <v>0</v>
      </c>
      <c r="D31" s="2">
        <f>D28+(D29*F28)</f>
        <v>3.0502968749999999</v>
      </c>
      <c r="G31" s="4">
        <f>G29*8.61</f>
        <v>0.43049999999999999</v>
      </c>
      <c r="H31" s="4" t="s">
        <v>3</v>
      </c>
    </row>
    <row r="32" spans="1:24" x14ac:dyDescent="0.25">
      <c r="G32" s="4"/>
      <c r="H32" s="4"/>
    </row>
    <row r="33" spans="1:10" x14ac:dyDescent="0.25">
      <c r="A33" s="2">
        <f>100000/200</f>
        <v>500</v>
      </c>
      <c r="B33" s="2">
        <v>2.34</v>
      </c>
      <c r="C33" s="2" t="s">
        <v>1</v>
      </c>
      <c r="D33" s="2">
        <v>2.66</v>
      </c>
      <c r="G33" s="4"/>
      <c r="H33" s="4"/>
    </row>
    <row r="34" spans="1:10" x14ac:dyDescent="0.25">
      <c r="A34" s="2">
        <f>0.5*430</f>
        <v>215</v>
      </c>
      <c r="B34" s="2">
        <f>5.39-B33</f>
        <v>3.05</v>
      </c>
      <c r="C34" s="2" t="s">
        <v>2</v>
      </c>
      <c r="D34" s="2">
        <f>5.39-D33</f>
        <v>2.7299999999999995</v>
      </c>
      <c r="G34" s="4">
        <f>B34-D34</f>
        <v>0.32000000000000028</v>
      </c>
      <c r="H34" s="4" t="s">
        <v>12</v>
      </c>
    </row>
    <row r="35" spans="1:10" x14ac:dyDescent="0.25">
      <c r="B35" s="2">
        <f>B34-D28</f>
        <v>0.88999999999999968</v>
      </c>
      <c r="C35" s="2" t="s">
        <v>5</v>
      </c>
      <c r="D35" s="2">
        <f>D34-D28</f>
        <v>0.5699999999999994</v>
      </c>
    </row>
    <row r="36" spans="1:10" x14ac:dyDescent="0.25">
      <c r="B36" s="6">
        <f>B31-B34</f>
        <v>0.42832421875000026</v>
      </c>
      <c r="C36" s="2" t="s">
        <v>18</v>
      </c>
      <c r="D36" s="6">
        <f>D31-D34</f>
        <v>0.32029687500000037</v>
      </c>
    </row>
    <row r="38" spans="1:10" x14ac:dyDescent="0.25">
      <c r="B38" s="2">
        <f>B34/B29</f>
        <v>19.805194805194805</v>
      </c>
      <c r="C38" s="2" t="s">
        <v>6</v>
      </c>
      <c r="D38" s="2">
        <f>D34/D29</f>
        <v>26.249999999999996</v>
      </c>
      <c r="G38" s="2">
        <f>B38-D38</f>
        <v>-6.4448051948051912</v>
      </c>
    </row>
    <row r="39" spans="1:10" x14ac:dyDescent="0.25">
      <c r="B39" s="2">
        <f>B35/B29</f>
        <v>5.7792207792207773</v>
      </c>
      <c r="C39" s="2" t="s">
        <v>7</v>
      </c>
      <c r="D39" s="2">
        <f>D35/D29</f>
        <v>5.4807692307692255</v>
      </c>
      <c r="G39" s="2">
        <f>B39-D39</f>
        <v>0.29845154845155175</v>
      </c>
      <c r="I39" s="2" t="s">
        <v>10</v>
      </c>
      <c r="J39" s="2">
        <f>100*G39/D39</f>
        <v>5.4454317612213003</v>
      </c>
    </row>
    <row r="43" spans="1:10" x14ac:dyDescent="0.25">
      <c r="C43" s="3"/>
    </row>
    <row r="44" spans="1:10" x14ac:dyDescent="0.25">
      <c r="C44" s="3" t="s">
        <v>11</v>
      </c>
    </row>
    <row r="45" spans="1:10" x14ac:dyDescent="0.25">
      <c r="C45" s="2" t="s">
        <v>19</v>
      </c>
    </row>
  </sheetData>
  <mergeCells count="1">
    <mergeCell ref="M1:O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Numaan</dc:creator>
  <cp:lastModifiedBy>Numaan</cp:lastModifiedBy>
  <dcterms:created xsi:type="dcterms:W3CDTF">2020-08-12T17:33:04Z</dcterms:created>
  <dcterms:modified xsi:type="dcterms:W3CDTF">2020-09-18T15:48:37Z</dcterms:modified>
</cp:coreProperties>
</file>