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4DB8BEB9-3862-46FB-9691-6BC58E992CC3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Pivot1" sheetId="2" r:id="rId2"/>
    <sheet name="Pivot2" sheetId="4" r:id="rId3"/>
    <sheet name="Pivot3" sheetId="5" r:id="rId4"/>
    <sheet name="Bonus" sheetId="6" r:id="rId5"/>
  </sheets>
  <definedNames>
    <definedName name="_xlnm._FilterDatabase" localSheetId="0" hidden="1">Sheet1!$A$1:$T$4115</definedName>
  </definedNames>
  <calcPr calcId="191029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683" i="1" l="1"/>
  <c r="E13" i="6" l="1"/>
  <c r="D13" i="6"/>
  <c r="H13" i="6" s="1"/>
  <c r="C13" i="6"/>
  <c r="G13" i="6" s="1"/>
  <c r="B13" i="6"/>
  <c r="F13" i="6" s="1"/>
  <c r="E12" i="6"/>
  <c r="D12" i="6"/>
  <c r="H12" i="6" s="1"/>
  <c r="C12" i="6"/>
  <c r="B12" i="6"/>
  <c r="F12" i="6" s="1"/>
  <c r="E11" i="6"/>
  <c r="D11" i="6"/>
  <c r="H11" i="6" s="1"/>
  <c r="C11" i="6"/>
  <c r="G11" i="6" s="1"/>
  <c r="B11" i="6"/>
  <c r="F11" i="6" s="1"/>
  <c r="E10" i="6"/>
  <c r="D10" i="6"/>
  <c r="H10" i="6" s="1"/>
  <c r="C10" i="6"/>
  <c r="G10" i="6" s="1"/>
  <c r="B10" i="6"/>
  <c r="F10" i="6" s="1"/>
  <c r="E9" i="6"/>
  <c r="D9" i="6"/>
  <c r="C9" i="6"/>
  <c r="G9" i="6" s="1"/>
  <c r="B9" i="6"/>
  <c r="F9" i="6" s="1"/>
  <c r="E8" i="6"/>
  <c r="D8" i="6"/>
  <c r="C8" i="6"/>
  <c r="G8" i="6" s="1"/>
  <c r="B8" i="6"/>
  <c r="F8" i="6" s="1"/>
  <c r="E7" i="6"/>
  <c r="D7" i="6"/>
  <c r="C7" i="6"/>
  <c r="G7" i="6" s="1"/>
  <c r="B7" i="6"/>
  <c r="F7" i="6" s="1"/>
  <c r="E6" i="6"/>
  <c r="D6" i="6"/>
  <c r="C6" i="6"/>
  <c r="G6" i="6" s="1"/>
  <c r="B6" i="6"/>
  <c r="F6" i="6" s="1"/>
  <c r="E5" i="6"/>
  <c r="D5" i="6"/>
  <c r="C5" i="6"/>
  <c r="G5" i="6" s="1"/>
  <c r="B5" i="6"/>
  <c r="F5" i="6" s="1"/>
  <c r="E4" i="6"/>
  <c r="D4" i="6"/>
  <c r="C4" i="6"/>
  <c r="G4" i="6" s="1"/>
  <c r="B4" i="6"/>
  <c r="F4" i="6" s="1"/>
  <c r="E3" i="6"/>
  <c r="D3" i="6"/>
  <c r="B3" i="6"/>
  <c r="F3" i="6" s="1"/>
  <c r="C3" i="6"/>
  <c r="G3" i="6" s="1"/>
  <c r="E2" i="6"/>
  <c r="D2" i="6"/>
  <c r="C2" i="6"/>
  <c r="G2" i="6" s="1"/>
  <c r="B2" i="6"/>
  <c r="F2" i="6" s="1"/>
  <c r="G12" i="6" l="1"/>
  <c r="H2" i="6"/>
  <c r="H3" i="6"/>
  <c r="H4" i="6"/>
  <c r="H5" i="6"/>
  <c r="H6" i="6"/>
  <c r="H7" i="6"/>
  <c r="H8" i="6"/>
  <c r="H9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<sst xmlns="http://schemas.openxmlformats.org/spreadsheetml/2006/main" count="24821" uniqueCount="8403">
  <si>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</si>
  <si>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</si>
  <si>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</si>
  <si>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</si>
  <si>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</si>
  <si>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</si>
  <si>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</si>
  <si>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</si>
  <si>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</si>
  <si>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</si>
  <si>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</si>
  <si>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</si>
  <si>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</si>
  <si>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</si>
  <si>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</si>
  <si>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</si>
  <si>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</si>
  <si>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</si>
  <si>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</si>
  <si>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</si>
  <si>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</si>
  <si>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</si>
  <si>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</si>
  <si>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</si>
  <si>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</si>
  <si>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</si>
  <si>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</si>
  <si>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</si>
  <si>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</si>
  <si>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</si>
  <si>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</si>
  <si>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</si>
  <si>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</si>
  <si>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</si>
  <si>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</si>
  <si>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</si>
  <si>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</si>
  <si>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</si>
  <si>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</si>
  <si>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</si>
  <si>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</si>
  <si>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</si>
  <si>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</si>
  <si>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</si>
  <si>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</si>
  <si>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</si>
  <si>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</si>
  <si>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</si>
  <si>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</si>
  <si>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</si>
  <si>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</si>
  <si>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</si>
  <si>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</si>
  <si>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</si>
  <si>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</si>
  <si>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</si>
  <si>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</si>
  <si>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</si>
  <si>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</si>
  <si>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</si>
  <si>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</si>
  <si>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</si>
  <si>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</si>
  <si>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</si>
  <si>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</si>
  <si>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</si>
  <si>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</si>
  <si>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</si>
  <si>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</si>
  <si>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</si>
  <si>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</si>
  <si>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</si>
  <si>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</si>
  <si>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</si>
  <si>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</si>
  <si>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</si>
  <si>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</si>
  <si>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</si>
  <si>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</si>
  <si>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</si>
  <si>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</si>
  <si>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</si>
  <si>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</si>
  <si>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</si>
  <si>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</si>
  <si>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</si>
  <si>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</si>
  <si>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</si>
  <si>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</si>
  <si>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</si>
  <si>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</si>
  <si>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</si>
  <si>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</si>
  <si>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</si>
  <si>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</si>
  <si>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</si>
  <si>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</si>
  <si>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</si>
  <si>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</si>
  <si>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</si>
  <si>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</si>
  <si>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</si>
  <si>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</si>
  <si>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</si>
  <si>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</si>
  <si>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</si>
  <si>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</si>
  <si>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</si>
  <si>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</si>
  <si>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</si>
  <si>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</si>
  <si>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</si>
  <si>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</si>
  <si>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</si>
  <si>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</si>
  <si>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</si>
  <si>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</si>
  <si>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</si>
  <si>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</si>
  <si>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</si>
  <si>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</si>
  <si>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</si>
  <si>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</si>
  <si>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</si>
  <si>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</si>
  <si>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</si>
  <si>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</si>
  <si>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</si>
  <si>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</si>
  <si>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</si>
  <si>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</si>
  <si>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</si>
  <si>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</si>
  <si>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</si>
  <si>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</si>
  <si>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</si>
  <si>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</si>
  <si>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</si>
  <si>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</si>
  <si>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</si>
  <si>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</si>
  <si>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</si>
  <si>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</si>
  <si>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</si>
  <si>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</si>
  <si>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</si>
  <si>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</si>
  <si>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</si>
  <si>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</si>
  <si>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</si>
  <si>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</si>
  <si>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</si>
  <si>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</si>
  <si>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</si>
  <si>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</si>
  <si>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</si>
  <si>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</si>
  <si>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</si>
  <si>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</si>
  <si>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</si>
  <si>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</si>
  <si>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</si>
  <si>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</si>
  <si>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</si>
  <si>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</si>
  <si>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</si>
  <si>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</si>
  <si>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</si>
  <si>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</si>
  <si>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</si>
  <si>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</si>
  <si>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</si>
  <si>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</si>
  <si>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</si>
  <si>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</si>
  <si>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</si>
  <si>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</si>
  <si>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</si>
  <si>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</si>
  <si>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</si>
  <si>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</si>
  <si>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</si>
  <si>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</si>
  <si>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</si>
  <si>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</si>
  <si>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</si>
  <si>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</si>
  <si>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</si>
  <si>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</si>
  <si>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</si>
  <si>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</si>
  <si>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</si>
  <si>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</si>
  <si>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</si>
  <si>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</si>
  <si>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</si>
  <si>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</si>
  <si>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</si>
  <si>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</si>
  <si>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</si>
  <si>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</si>
  <si>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</si>
  <si>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</si>
  <si>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</si>
  <si>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</si>
  <si>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</si>
  <si>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</si>
  <si>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</si>
  <si>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</si>
  <si>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</si>
  <si>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</si>
  <si>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</si>
  <si>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</si>
  <si>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</si>
  <si>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</si>
  <si>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</si>
  <si>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</si>
  <si>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</si>
  <si>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</si>
  <si>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</si>
  <si>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</si>
  <si>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</si>
  <si>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</si>
  <si>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</si>
  <si>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</si>
  <si>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</si>
  <si>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</si>
  <si>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</si>
  <si>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</si>
  <si>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</si>
  <si>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</si>
  <si>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</si>
  <si>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</si>
  <si>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</si>
  <si>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</si>
  <si>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</si>
  <si>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</si>
  <si>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</si>
  <si>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</si>
  <si>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</si>
  <si>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</si>
  <si>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</si>
  <si>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</si>
  <si>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</si>
  <si>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</si>
  <si>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</si>
  <si>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</si>
  <si>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</si>
  <si>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</si>
  <si>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</si>
  <si>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</si>
  <si>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</si>
  <si>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</si>
  <si>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</si>
  <si>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</si>
  <si>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</si>
  <si>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</si>
  <si>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</si>
  <si>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</si>
  <si>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</si>
  <si>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</si>
  <si>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</si>
  <si>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</si>
  <si>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</si>
  <si>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</si>
  <si>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</si>
  <si>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</si>
  <si>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</si>
  <si>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</si>
  <si>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</si>
  <si>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</si>
  <si>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</si>
  <si>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</si>
  <si>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</si>
  <si>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</si>
  <si>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</si>
  <si>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</si>
  <si>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</si>
  <si>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</si>
  <si>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</si>
  <si>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</si>
  <si>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</si>
  <si>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</si>
  <si>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</si>
  <si>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</si>
  <si>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</si>
  <si>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</si>
  <si>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</si>
  <si>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</si>
  <si>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</si>
  <si>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</si>
  <si>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</si>
  <si>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</si>
  <si>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</si>
  <si>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</si>
  <si>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</si>
  <si>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</si>
  <si>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</si>
  <si>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</si>
  <si>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</si>
  <si>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</si>
  <si>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</si>
  <si>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</si>
  <si>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</si>
  <si>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</si>
  <si>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</si>
  <si>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</si>
  <si>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</si>
  <si>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</si>
  <si>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</si>
  <si>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</si>
  <si>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</si>
  <si>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</si>
  <si>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</si>
  <si>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</si>
  <si>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</si>
  <si>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</si>
  <si>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</si>
  <si>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</si>
  <si>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</si>
  <si>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</si>
  <si>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</si>
  <si>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</si>
  <si>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</si>
  <si>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</si>
  <si>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</si>
  <si>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</si>
  <si>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</si>
  <si>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</si>
  <si>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</si>
  <si>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</si>
  <si>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</si>
  <si>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</si>
  <si>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</si>
  <si>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</si>
  <si>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</si>
  <si>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</si>
  <si>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</si>
  <si>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</si>
  <si>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</si>
  <si>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</si>
  <si>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</si>
  <si>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</si>
  <si>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</si>
  <si>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</si>
  <si>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</si>
  <si>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</si>
  <si>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</si>
  <si>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</si>
  <si>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</si>
  <si>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</si>
  <si>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</si>
  <si>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</si>
  <si>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</si>
  <si>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</si>
  <si>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</si>
  <si>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</si>
  <si>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</si>
  <si>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</si>
  <si>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</si>
  <si>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</si>
  <si>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</si>
  <si>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</si>
  <si>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</si>
  <si>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</si>
  <si>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</si>
  <si>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</si>
  <si>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</si>
  <si>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</si>
  <si>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</si>
  <si>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</si>
  <si>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</si>
  <si>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</si>
  <si>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</si>
  <si>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</si>
  <si>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</si>
  <si>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</si>
  <si>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</si>
  <si>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</si>
  <si>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</si>
  <si>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</si>
  <si>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</si>
  <si>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</si>
  <si>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</si>
  <si>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</si>
  <si>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</si>
  <si>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</si>
  <si>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</si>
  <si>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</si>
  <si>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</si>
  <si>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</si>
  <si>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</si>
  <si>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</si>
  <si>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</si>
  <si>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</si>
  <si>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</si>
  <si>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</si>
  <si>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</si>
  <si>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</si>
  <si>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</si>
  <si>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</si>
  <si>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</si>
  <si>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</si>
  <si>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</si>
  <si>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</si>
  <si>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</si>
  <si>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</si>
  <si>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</si>
  <si>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</si>
  <si>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</si>
  <si>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</si>
  <si>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</si>
  <si>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</si>
  <si>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</si>
  <si>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</si>
  <si>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</si>
  <si>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</si>
  <si>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</si>
  <si>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</si>
  <si>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</si>
  <si>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</si>
  <si>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</si>
  <si>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</si>
  <si>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</si>
  <si>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</si>
  <si>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</si>
  <si>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</si>
  <si>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</si>
  <si>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</si>
  <si>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</si>
  <si>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</si>
  <si>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</si>
  <si>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</si>
  <si>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</si>
  <si>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</si>
  <si>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</si>
  <si>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</si>
  <si>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</si>
  <si>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</si>
  <si>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</si>
  <si>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</si>
  <si>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</si>
  <si>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</si>
  <si>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</si>
  <si>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</si>
  <si>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</si>
  <si>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</si>
  <si>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</si>
  <si>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</si>
  <si>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</si>
  <si>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</si>
  <si>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</si>
  <si>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</si>
  <si>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</si>
  <si>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</si>
  <si>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</si>
  <si>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</si>
  <si>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</si>
  <si>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</si>
  <si>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</si>
  <si>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</si>
  <si>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</si>
  <si>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</si>
  <si>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</si>
  <si>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</si>
  <si>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</si>
  <si>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</si>
  <si>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</si>
  <si>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</si>
  <si>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</si>
  <si>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</si>
  <si>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</si>
  <si>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</si>
  <si>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</si>
  <si>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</si>
  <si>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</si>
  <si>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</si>
  <si>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</si>
  <si>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</si>
  <si>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</si>
  <si>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</si>
  <si>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</si>
  <si>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</si>
  <si>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</si>
  <si>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</si>
  <si>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</si>
  <si>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</si>
  <si>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</si>
  <si>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</si>
  <si>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</si>
  <si>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</si>
  <si>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</si>
  <si>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</si>
  <si>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</si>
  <si>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</si>
  <si>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</si>
  <si>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</si>
  <si>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</si>
  <si>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</si>
  <si>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</si>
  <si>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</si>
  <si>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</si>
  <si>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</si>
  <si>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</si>
  <si>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</si>
  <si>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</si>
  <si>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</si>
  <si>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</si>
  <si>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</si>
  <si>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</si>
  <si>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</si>
  <si>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</si>
  <si>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</si>
  <si>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</si>
  <si>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</si>
  <si>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</si>
  <si>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</si>
  <si>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</si>
  <si>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</si>
  <si>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</si>
  <si>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</si>
  <si>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</si>
  <si>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</si>
  <si>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</si>
  <si>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</si>
  <si>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</si>
  <si>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</si>
  <si>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</si>
  <si>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</si>
  <si>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</si>
  <si>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</si>
  <si>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</si>
  <si>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</si>
  <si>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</si>
  <si>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</si>
  <si>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</si>
  <si>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</si>
  <si>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</si>
  <si>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</si>
  <si>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</si>
  <si>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</si>
  <si>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</si>
  <si>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</si>
  <si>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</si>
  <si>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</si>
  <si>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</si>
  <si>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</si>
  <si>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</si>
  <si>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</si>
  <si>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</si>
  <si>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</si>
  <si>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</si>
  <si>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</si>
  <si>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</si>
  <si>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</si>
  <si>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</si>
  <si>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</si>
  <si>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</si>
  <si>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</si>
  <si>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</si>
  <si>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</si>
  <si>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</si>
  <si>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</si>
  <si>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</si>
  <si>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</si>
  <si>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</si>
  <si>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</si>
  <si>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</si>
  <si>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</si>
  <si>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</si>
  <si>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</si>
  <si>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</si>
  <si>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</si>
  <si>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</si>
  <si>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</si>
  <si>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</si>
  <si>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</si>
  <si>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</si>
  <si>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</si>
  <si>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</si>
  <si>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</si>
  <si>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</si>
  <si>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</si>
  <si>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</si>
  <si>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</si>
  <si>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</si>
  <si>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</si>
  <si>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</si>
  <si>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</si>
  <si>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</si>
  <si>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</si>
  <si>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</si>
  <si>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</si>
  <si>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</si>
  <si>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</si>
  <si>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</si>
  <si>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</si>
  <si>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</si>
  <si>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</si>
  <si>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</si>
  <si>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</si>
  <si>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</si>
  <si>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</si>
  <si>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</si>
  <si>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</si>
  <si>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</si>
  <si>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</si>
  <si>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</si>
  <si>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</si>
  <si>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</si>
  <si>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</si>
  <si>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</si>
  <si>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</si>
  <si>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</si>
  <si>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</si>
  <si>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</si>
  <si>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</si>
  <si>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</si>
  <si>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</si>
  <si>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</si>
  <si>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</si>
  <si>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</si>
  <si>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</si>
  <si>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</si>
  <si>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</si>
  <si>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</si>
  <si>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</si>
  <si>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</si>
  <si>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</si>
  <si>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</si>
  <si>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</si>
  <si>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</si>
  <si>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</si>
  <si>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</si>
  <si>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</si>
  <si>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</si>
  <si>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</si>
  <si>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</si>
  <si>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</si>
  <si>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</si>
  <si>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</si>
  <si>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</si>
  <si>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</si>
  <si>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</si>
  <si>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</si>
  <si>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</si>
  <si>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</si>
  <si>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</si>
  <si>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</si>
  <si>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</si>
  <si>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</si>
  <si>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</si>
  <si>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</si>
  <si>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</si>
  <si>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</si>
  <si>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</si>
  <si>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</si>
  <si>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</si>
  <si>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</si>
  <si>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</si>
  <si>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</si>
  <si>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</si>
  <si>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</si>
  <si>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</si>
  <si>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</si>
  <si>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</si>
  <si>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</si>
  <si>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</si>
  <si>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</si>
  <si>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</si>
  <si>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</si>
  <si>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</si>
  <si>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</si>
  <si>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</si>
  <si>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</si>
  <si>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</si>
  <si>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</si>
  <si>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</si>
  <si>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</si>
  <si>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</si>
  <si>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</si>
  <si>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</si>
  <si>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</si>
  <si>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</si>
  <si>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</si>
  <si>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</si>
  <si>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</si>
  <si>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</si>
  <si>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</si>
  <si>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</si>
  <si>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</si>
  <si>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</si>
  <si>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</si>
  <si>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</si>
  <si>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</si>
  <si>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</si>
  <si>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</si>
  <si>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</si>
  <si>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</si>
  <si>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</si>
  <si>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</si>
  <si>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</si>
  <si>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</si>
  <si>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</si>
  <si>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</si>
  <si>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</si>
  <si>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</si>
  <si>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</si>
  <si>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</si>
  <si>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</si>
  <si>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</si>
  <si>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</si>
  <si>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</si>
  <si>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</si>
  <si>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</si>
  <si>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</si>
  <si>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</si>
  <si>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</si>
  <si>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</si>
  <si>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</si>
  <si>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</si>
  <si>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</si>
  <si>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</si>
  <si>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</si>
  <si>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</si>
  <si>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</si>
  <si>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</si>
  <si>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</si>
  <si>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</si>
  <si>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</si>
  <si>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</si>
  <si>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</si>
  <si>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</si>
  <si>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</si>
  <si>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</si>
  <si>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</si>
  <si>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</si>
  <si>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</si>
  <si>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</si>
  <si>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</si>
  <si>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</si>
  <si>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</si>
  <si>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</si>
  <si>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</si>
  <si>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</si>
  <si>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</si>
  <si>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</si>
  <si>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</si>
  <si>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</si>
  <si>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</si>
  <si>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</si>
  <si>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</si>
  <si>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</si>
  <si>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</si>
  <si>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</si>
  <si>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</si>
  <si>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</si>
  <si>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</si>
  <si>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</si>
  <si>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</si>
  <si>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</si>
  <si>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</si>
  <si>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</si>
  <si>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</si>
  <si>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</si>
  <si>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</si>
  <si>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</si>
  <si>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</si>
  <si>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</si>
  <si>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</si>
  <si>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</si>
  <si>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</si>
  <si>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</si>
  <si>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</si>
  <si>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</si>
  <si>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</si>
  <si>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</si>
  <si>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</si>
  <si>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</si>
  <si>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</si>
  <si>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</si>
  <si>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</si>
  <si>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</si>
  <si>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</si>
  <si>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</si>
  <si>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</si>
  <si>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</si>
  <si>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</si>
  <si>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</si>
  <si>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</si>
  <si>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</si>
  <si>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</si>
  <si>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</si>
  <si>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</si>
  <si>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</si>
  <si>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</si>
  <si>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</si>
  <si>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</si>
  <si>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</si>
  <si>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</si>
  <si>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</si>
  <si>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</si>
  <si>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</si>
  <si>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</si>
  <si>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</si>
  <si>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</si>
  <si>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</si>
  <si>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</si>
  <si>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</si>
  <si>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</si>
  <si>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</si>
  <si>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</si>
  <si>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</si>
  <si>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</si>
  <si>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</si>
  <si>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</si>
  <si>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</si>
  <si>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</si>
  <si>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</si>
  <si>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</si>
  <si>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</si>
  <si>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</si>
  <si>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</si>
  <si>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</si>
  <si>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</si>
  <si>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</si>
  <si>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</si>
  <si>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</si>
  <si>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</si>
  <si>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</si>
  <si>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</si>
  <si>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</si>
  <si>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</si>
  <si>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</si>
  <si>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</si>
  <si>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</si>
  <si>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</si>
  <si>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</si>
  <si>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</si>
  <si>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</si>
  <si>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</si>
  <si>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</si>
  <si>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</si>
  <si>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</si>
  <si>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</si>
  <si>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</si>
  <si>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</si>
  <si>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</si>
  <si>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</si>
  <si>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</si>
  <si>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</si>
  <si>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</si>
  <si>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</si>
  <si>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</si>
  <si>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</si>
  <si>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</si>
  <si>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</si>
  <si>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</si>
  <si>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</si>
  <si>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</si>
  <si>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</si>
  <si>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</si>
  <si>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</si>
  <si>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</si>
  <si>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</si>
  <si>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</si>
  <si>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</si>
  <si>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</si>
  <si>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</si>
  <si>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</si>
  <si>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</si>
  <si>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</si>
  <si>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</si>
  <si>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</si>
  <si>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</si>
  <si>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</si>
  <si>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</si>
  <si>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</si>
  <si>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</si>
  <si>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</si>
  <si>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</si>
  <si>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</si>
  <si>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</si>
  <si>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</si>
  <si>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</si>
  <si>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</si>
  <si>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</si>
  <si>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</si>
  <si>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</si>
  <si>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</si>
  <si>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</si>
  <si>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</si>
  <si>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</si>
  <si>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</si>
  <si>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</si>
  <si>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</si>
  <si>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</si>
  <si>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</si>
  <si>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</si>
  <si>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</si>
  <si>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</si>
  <si>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</si>
  <si>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</si>
  <si>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</si>
  <si>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</si>
  <si>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</si>
  <si>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</si>
  <si>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</si>
  <si>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</si>
  <si>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</si>
  <si>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</si>
  <si>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</si>
  <si>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</si>
  <si>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</si>
  <si>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</si>
  <si>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</si>
  <si>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</si>
  <si>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</si>
  <si>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</si>
  <si>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</si>
  <si>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</si>
  <si>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</si>
  <si>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</si>
  <si>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</si>
  <si>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</si>
  <si>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</si>
  <si>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</si>
  <si>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</si>
  <si>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</si>
  <si>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</si>
  <si>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</si>
  <si>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</si>
  <si>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</si>
  <si>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</si>
  <si>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</si>
  <si>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</si>
  <si>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</si>
  <si>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</si>
  <si>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</si>
  <si>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</si>
  <si>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</si>
  <si>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</si>
  <si>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</si>
  <si>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</si>
  <si>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</si>
  <si>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</si>
  <si>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</si>
  <si>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</si>
  <si>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</si>
  <si>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</si>
  <si>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</si>
  <si>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</si>
  <si>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</si>
  <si>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</si>
  <si>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</si>
  <si>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</si>
  <si>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</si>
  <si>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</si>
  <si>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</si>
  <si>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</si>
  <si>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</si>
  <si>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</si>
  <si>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</si>
  <si>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</si>
  <si>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</si>
  <si>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</si>
  <si>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</si>
  <si>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</si>
  <si>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</si>
  <si>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</si>
  <si>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</si>
  <si>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</si>
  <si>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</si>
  <si>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</si>
  <si>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</si>
  <si>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</si>
  <si>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</si>
  <si>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</si>
  <si>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</si>
  <si>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</si>
  <si>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</si>
  <si>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</si>
  <si>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</si>
  <si>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</si>
  <si>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</si>
  <si>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</si>
  <si>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</si>
  <si>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</si>
  <si>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</si>
  <si>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</si>
  <si>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</si>
  <si>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</si>
  <si>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</si>
  <si>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</si>
  <si>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</si>
  <si>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</si>
  <si>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</si>
  <si>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</si>
  <si>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</si>
  <si>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</si>
  <si>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</si>
  <si>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</si>
  <si>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</si>
  <si>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</si>
  <si>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</si>
  <si>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</si>
  <si>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</si>
  <si>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</si>
  <si>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</si>
  <si>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</si>
  <si>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</si>
  <si>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</si>
  <si>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</si>
  <si>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</si>
  <si>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</si>
  <si>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</si>
  <si>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</si>
  <si>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</si>
  <si>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</si>
  <si>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</si>
  <si>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</si>
  <si>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</si>
  <si>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</si>
  <si>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</si>
  <si>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</si>
  <si>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</si>
  <si>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</si>
  <si>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</si>
  <si>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</si>
  <si>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</si>
  <si>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</si>
  <si>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</si>
  <si>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</si>
  <si>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</si>
  <si>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</si>
  <si>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</si>
  <si>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</si>
  <si>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</si>
  <si>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</si>
  <si>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</si>
  <si>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</si>
  <si>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</si>
  <si>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</si>
  <si>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</si>
  <si>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</si>
  <si>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</si>
  <si>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</si>
  <si>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</si>
  <si>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</si>
  <si>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</si>
  <si>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</si>
  <si>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</si>
  <si>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</si>
  <si>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</si>
  <si>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</si>
  <si>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</si>
  <si>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</si>
  <si>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</si>
  <si>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</si>
  <si>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</si>
  <si>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</si>
  <si>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</si>
  <si>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</si>
  <si>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</si>
  <si>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</si>
  <si>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</si>
  <si>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</si>
  <si>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</si>
  <si>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</si>
  <si>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</si>
  <si>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</si>
  <si>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</si>
  <si>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</si>
  <si>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</si>
  <si>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</si>
  <si>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</si>
  <si>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</si>
  <si>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</si>
  <si>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</si>
  <si>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</si>
  <si>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</si>
  <si>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</si>
  <si>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</si>
  <si>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</si>
  <si>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</si>
  <si>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</si>
  <si>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</si>
  <si>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</si>
  <si>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</si>
  <si>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</si>
  <si>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</si>
  <si>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</si>
  <si>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</si>
  <si>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</si>
  <si>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</si>
  <si>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</si>
  <si>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</si>
  <si>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</si>
  <si>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</si>
  <si>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</si>
  <si>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</si>
  <si>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</si>
  <si>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</si>
  <si>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</si>
  <si>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</si>
  <si>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</si>
  <si>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</si>
  <si>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</si>
  <si>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</si>
  <si>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</si>
  <si>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</si>
  <si>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</si>
  <si>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</si>
  <si>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</si>
  <si>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</si>
  <si>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</si>
  <si>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</si>
  <si>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</si>
  <si>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</si>
  <si>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</si>
  <si>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</si>
  <si>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</si>
  <si>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</si>
  <si>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</si>
  <si>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</si>
  <si>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</si>
  <si>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</si>
  <si>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</si>
  <si>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</si>
  <si>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</si>
  <si>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</si>
  <si>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</si>
  <si>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</si>
  <si>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</si>
  <si>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</si>
  <si>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</si>
  <si>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</si>
  <si>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</si>
  <si>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</si>
  <si>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</si>
  <si>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</si>
  <si>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</si>
  <si>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</si>
  <si>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</si>
  <si>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</si>
  <si>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</si>
  <si>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</si>
  <si>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</si>
  <si>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</si>
  <si>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</si>
  <si>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</si>
  <si>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</si>
  <si>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</si>
  <si>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</si>
  <si>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</si>
  <si>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</si>
  <si>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</si>
  <si>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</si>
  <si>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</si>
  <si>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</si>
  <si>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</si>
  <si>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</si>
  <si>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</si>
  <si>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</si>
  <si>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</si>
  <si>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</si>
  <si>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</si>
  <si>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</si>
  <si>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</si>
  <si>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</si>
  <si>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</si>
  <si>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</si>
  <si>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</si>
  <si>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</si>
  <si>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</si>
  <si>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</si>
  <si>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</si>
  <si>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</si>
  <si>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</si>
  <si>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</si>
  <si>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</si>
  <si>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</si>
  <si>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</si>
  <si>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</si>
  <si>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</si>
  <si>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</si>
  <si>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</si>
  <si>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</si>
  <si>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</si>
  <si>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</si>
  <si>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</si>
  <si>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</si>
  <si>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</si>
  <si>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</si>
  <si>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</si>
  <si>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</si>
  <si>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</si>
  <si>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</si>
  <si>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</si>
  <si>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</si>
  <si>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</si>
  <si>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</si>
  <si>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</si>
  <si>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</si>
  <si>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</si>
  <si>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</si>
  <si>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</si>
  <si>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</si>
  <si>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</si>
  <si>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</si>
  <si>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</si>
  <si>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</si>
  <si>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</si>
  <si>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</si>
  <si>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</si>
  <si>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</si>
  <si>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</si>
  <si>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</si>
  <si>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</si>
  <si>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</si>
  <si>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</si>
  <si>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</si>
  <si>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</si>
  <si>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</si>
  <si>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</si>
  <si>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</si>
  <si>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</si>
  <si>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</si>
  <si>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</si>
  <si>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</si>
  <si>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</si>
  <si>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</si>
  <si>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</si>
  <si>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</si>
  <si>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</si>
  <si>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</si>
  <si>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</si>
  <si>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</si>
  <si>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</si>
  <si>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</si>
  <si>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</si>
  <si>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</si>
  <si>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</si>
  <si>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</si>
  <si>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</si>
  <si>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</si>
  <si>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</si>
  <si>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</si>
  <si>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</si>
  <si>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</si>
  <si>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</si>
  <si>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</si>
  <si>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</si>
  <si>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</si>
  <si>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</si>
  <si>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</si>
  <si>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</si>
  <si>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</si>
  <si>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</si>
  <si>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</si>
  <si>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</si>
  <si>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</si>
  <si>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</si>
  <si>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</si>
  <si>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</si>
  <si>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</si>
  <si>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</si>
  <si>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</si>
  <si>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</si>
  <si>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</si>
  <si>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</si>
  <si>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</si>
  <si>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</si>
  <si>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</si>
  <si>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</si>
  <si>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</si>
  <si>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</si>
  <si>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</si>
  <si>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</si>
  <si>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</si>
  <si>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</si>
  <si>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</si>
  <si>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</si>
  <si>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</si>
  <si>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</si>
  <si>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</si>
  <si>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</si>
  <si>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</si>
  <si>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</si>
  <si>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</si>
  <si>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</si>
  <si>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</si>
  <si>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</si>
  <si>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</si>
  <si>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</si>
  <si>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</si>
  <si>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</si>
  <si>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</si>
  <si>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</si>
  <si>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</si>
  <si>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</si>
  <si>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</si>
  <si>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</si>
  <si>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</si>
  <si>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</si>
  <si>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</si>
  <si>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</si>
  <si>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</si>
  <si>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</si>
  <si>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</si>
  <si>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</si>
  <si>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</si>
  <si>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</si>
  <si>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</si>
  <si>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</si>
  <si>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</si>
  <si>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</si>
  <si>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</si>
  <si>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</si>
  <si>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</si>
  <si>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</si>
  <si>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</si>
  <si>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</si>
  <si>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</si>
  <si>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</si>
  <si>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</si>
  <si>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</si>
  <si>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</si>
  <si>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</si>
  <si>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</si>
  <si>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</si>
  <si>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</si>
  <si>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</si>
  <si>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</si>
  <si>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</si>
  <si>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</si>
  <si>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</si>
  <si>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</si>
  <si>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</si>
  <si>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</si>
  <si>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</si>
  <si>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</si>
  <si>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</si>
  <si>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</si>
  <si>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</si>
  <si>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</si>
  <si>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</si>
  <si>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</si>
  <si>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</si>
  <si>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</si>
  <si>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</si>
  <si>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</si>
  <si>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</si>
  <si>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</si>
  <si>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</si>
  <si>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</si>
  <si>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</si>
  <si>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</si>
  <si>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</si>
  <si>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</si>
  <si>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</si>
  <si>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</si>
  <si>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</si>
  <si>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</si>
  <si>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</si>
  <si>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</si>
  <si>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</si>
  <si>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</si>
  <si>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</si>
  <si>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</si>
  <si>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</si>
  <si>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</si>
  <si>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</si>
  <si>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</si>
  <si>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</si>
  <si>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</si>
  <si>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</si>
  <si>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</si>
  <si>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</si>
  <si>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</si>
  <si>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</si>
  <si>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</si>
  <si>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</si>
  <si>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</si>
  <si>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</si>
  <si>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</si>
  <si>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</si>
  <si>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</si>
  <si>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</si>
  <si>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</si>
  <si>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</si>
  <si>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</si>
  <si>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</si>
  <si>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</si>
  <si>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</si>
  <si>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</si>
  <si>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</si>
  <si>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</si>
  <si>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</si>
  <si>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</si>
  <si>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</si>
  <si>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</si>
  <si>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</si>
  <si>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</si>
  <si>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</si>
  <si>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</si>
  <si>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</si>
  <si>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</si>
  <si>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</si>
  <si>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</si>
  <si>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</si>
  <si>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</si>
  <si>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</si>
  <si>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</si>
  <si>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</si>
  <si>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</si>
  <si>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</si>
  <si>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</si>
  <si>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</si>
  <si>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</si>
  <si>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</si>
  <si>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</si>
  <si>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</si>
  <si>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</si>
  <si>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</si>
  <si>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</si>
  <si>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</si>
  <si>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</si>
  <si>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</si>
  <si>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</si>
  <si>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</si>
  <si>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</si>
  <si>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</si>
  <si>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</si>
  <si>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</si>
  <si>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</si>
  <si>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</si>
  <si>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</si>
  <si>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</si>
  <si>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</si>
  <si>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</si>
  <si>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</si>
  <si>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</si>
  <si>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</si>
  <si>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</si>
  <si>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</si>
  <si>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</si>
  <si>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</si>
  <si>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</si>
  <si>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</si>
  <si>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</si>
  <si>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</si>
  <si>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</si>
  <si>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</si>
  <si>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</si>
  <si>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</si>
  <si>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</si>
  <si>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</si>
  <si>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</si>
  <si>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</si>
  <si>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</si>
  <si>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</si>
  <si>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</si>
  <si>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</si>
  <si>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</si>
  <si>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</si>
  <si>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</si>
  <si>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</si>
  <si>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</si>
  <si>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</si>
  <si>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</si>
  <si>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</si>
  <si>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</si>
  <si>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</si>
  <si>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</si>
  <si>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</si>
  <si>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</si>
  <si>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</si>
  <si>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</si>
  <si>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</si>
  <si>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</si>
  <si>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</si>
  <si>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</si>
  <si>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</si>
  <si>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</si>
  <si>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</si>
  <si>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</si>
  <si>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</si>
  <si>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</si>
  <si>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</si>
  <si>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</si>
  <si>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</si>
  <si>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</si>
  <si>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</si>
  <si>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</si>
  <si>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</si>
  <si>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</si>
  <si>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</si>
  <si>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</si>
  <si>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</si>
  <si>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</si>
  <si>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</si>
  <si>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</si>
  <si>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</si>
  <si>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</si>
  <si>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</si>
  <si>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</si>
  <si>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</si>
  <si>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</si>
  <si>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</si>
  <si>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</si>
  <si>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</si>
  <si>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</si>
  <si>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</si>
  <si>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</si>
  <si>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</si>
  <si>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</si>
  <si>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</si>
  <si>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</si>
  <si>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</si>
  <si>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</si>
  <si>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</si>
  <si>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</si>
  <si>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</si>
  <si>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</si>
  <si>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</si>
  <si>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</si>
  <si>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</si>
  <si>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</si>
  <si>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</si>
  <si>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</si>
  <si>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</si>
  <si>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</si>
  <si>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</si>
  <si>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</si>
  <si>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</si>
  <si>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</si>
  <si>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</si>
  <si>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</si>
  <si>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</si>
  <si>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</si>
  <si>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</si>
  <si>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</si>
  <si>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</si>
  <si>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</si>
  <si>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</si>
  <si>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</si>
  <si>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</si>
  <si>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</si>
  <si>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</si>
  <si>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</si>
  <si>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</si>
  <si>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</si>
  <si>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</si>
  <si>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</si>
  <si>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</si>
  <si>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</si>
  <si>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</si>
  <si>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</si>
  <si>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</si>
  <si>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</si>
  <si>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</si>
  <si>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</si>
  <si>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</si>
  <si>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</si>
  <si>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</si>
  <si>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</si>
  <si>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</si>
  <si>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</si>
  <si>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</si>
  <si>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</si>
  <si>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</si>
  <si>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</si>
  <si>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</si>
  <si>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</si>
  <si>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</si>
  <si>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</si>
  <si>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</si>
  <si>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</si>
  <si>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</si>
  <si>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</si>
  <si>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</si>
  <si>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</si>
  <si>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</si>
  <si>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</si>
  <si>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</si>
  <si>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</si>
  <si>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</si>
  <si>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</si>
  <si>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</si>
  <si>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</si>
  <si>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</si>
  <si>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</si>
  <si>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</si>
  <si>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</si>
  <si>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</si>
  <si>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</si>
  <si>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</si>
  <si>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</si>
  <si>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</si>
  <si>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</si>
  <si>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</si>
  <si>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</si>
  <si>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</si>
  <si>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</si>
  <si>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</si>
  <si>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</si>
  <si>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</si>
  <si>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</si>
  <si>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</si>
  <si>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</si>
  <si>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</si>
  <si>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</si>
  <si>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</si>
  <si>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</si>
  <si>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</si>
  <si>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</si>
  <si>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</si>
  <si>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</si>
  <si>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</si>
  <si>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</si>
  <si>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</si>
  <si>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</si>
  <si>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</si>
  <si>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</si>
  <si>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</si>
  <si>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</si>
  <si>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</si>
  <si>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</si>
  <si>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</si>
  <si>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</si>
  <si>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</si>
  <si>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</si>
  <si>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</si>
  <si>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</si>
  <si>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</si>
  <si>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</si>
  <si>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</si>
  <si>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</si>
  <si>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</si>
  <si>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</si>
  <si>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</si>
  <si>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</si>
  <si>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</si>
  <si>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</si>
  <si>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</si>
  <si>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</si>
  <si>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</si>
  <si>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</si>
  <si>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</si>
  <si>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</si>
  <si>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</si>
  <si>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</si>
  <si>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</si>
  <si>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</si>
  <si>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</si>
  <si>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</si>
  <si>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</si>
  <si>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</si>
  <si>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</si>
  <si>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</si>
  <si>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</si>
  <si>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</si>
  <si>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</si>
  <si>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</si>
  <si>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</si>
  <si>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</si>
  <si>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</si>
  <si>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</si>
  <si>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</si>
  <si>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</si>
  <si>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</si>
  <si>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</si>
  <si>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</si>
  <si>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</si>
  <si>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</si>
  <si>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</si>
  <si>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</si>
  <si>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</si>
  <si>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</si>
  <si>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</si>
  <si>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</si>
  <si>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</si>
  <si>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</si>
  <si>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</si>
  <si>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</si>
  <si>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</si>
  <si>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</si>
  <si>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</si>
  <si>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</si>
  <si>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</si>
  <si>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</si>
  <si>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</si>
  <si>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</si>
  <si>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</si>
  <si>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</si>
  <si>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</si>
  <si>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</si>
  <si>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</si>
  <si>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</si>
  <si>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</si>
  <si>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</si>
  <si>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</si>
  <si>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</si>
  <si>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</si>
  <si>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</si>
  <si>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</si>
  <si>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</si>
  <si>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</si>
  <si>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</si>
  <si>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</si>
  <si>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</si>
  <si>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</si>
  <si>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</si>
  <si>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</si>
  <si>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</si>
  <si>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</si>
  <si>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</si>
  <si>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</si>
  <si>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</si>
  <si>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</si>
  <si>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</si>
  <si>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</si>
  <si>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</si>
  <si>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</si>
  <si>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</si>
  <si>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</si>
  <si>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</si>
  <si>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</si>
  <si>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</si>
  <si>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</si>
  <si>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</si>
  <si>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</si>
  <si>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</si>
  <si>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</si>
  <si>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</si>
  <si>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</si>
  <si>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</si>
  <si>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</si>
  <si>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</si>
  <si>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</si>
  <si>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</si>
  <si>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</si>
  <si>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</si>
  <si>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</si>
  <si>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</si>
  <si>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</si>
  <si>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</si>
  <si>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</si>
  <si>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</si>
  <si>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</si>
  <si>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</si>
  <si>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</si>
  <si>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</si>
  <si>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</si>
  <si>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</si>
  <si>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</si>
  <si>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</si>
  <si>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</si>
  <si>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</si>
  <si>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</si>
  <si>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</si>
  <si>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</si>
  <si>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</si>
  <si>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</si>
  <si>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</si>
  <si>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</si>
  <si>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</si>
  <si>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</si>
  <si>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</si>
  <si>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</si>
  <si>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</si>
  <si>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</si>
  <si>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</si>
  <si>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</si>
  <si>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</si>
  <si>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</si>
  <si>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</si>
  <si>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</si>
  <si>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</si>
  <si>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</si>
  <si>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</si>
  <si>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</si>
  <si>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</si>
  <si>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</si>
  <si>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</si>
  <si>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</si>
  <si>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</si>
  <si>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</si>
  <si>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</si>
  <si>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</si>
  <si>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</si>
  <si>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</si>
  <si>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</si>
  <si>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</si>
  <si>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</si>
  <si>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</si>
  <si>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</si>
  <si>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</si>
  <si>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</si>
  <si>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</si>
  <si>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</si>
  <si>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</si>
  <si>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</si>
  <si>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</si>
  <si>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</si>
  <si>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</si>
  <si>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</si>
  <si>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</si>
  <si>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</si>
  <si>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</si>
  <si>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</si>
  <si>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</si>
  <si>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</si>
  <si>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</si>
  <si>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</si>
  <si>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</si>
  <si>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</si>
  <si>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</si>
  <si>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</si>
  <si>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</si>
  <si>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</si>
  <si>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</si>
  <si>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</si>
  <si>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</si>
  <si>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</si>
  <si>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</si>
  <si>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</si>
  <si>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</si>
  <si>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</si>
  <si>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</si>
  <si>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</si>
  <si>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</si>
  <si>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</si>
  <si>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</si>
  <si>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</si>
  <si>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</si>
  <si>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</si>
  <si>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</si>
  <si>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</si>
  <si>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</si>
  <si>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</si>
  <si>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</si>
  <si>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</si>
  <si>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</si>
  <si>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</si>
  <si>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</si>
  <si>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</si>
  <si>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</si>
  <si>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</si>
  <si>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</si>
  <si>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</si>
  <si>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</si>
  <si>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</si>
  <si>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</si>
  <si>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</si>
  <si>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</si>
  <si>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</si>
  <si>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</si>
  <si>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</si>
  <si>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</si>
  <si>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</si>
  <si>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</si>
  <si>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</si>
  <si>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</si>
  <si>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</si>
  <si>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</si>
  <si>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</si>
  <si>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</si>
  <si>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</si>
  <si>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</si>
  <si>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</si>
  <si>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</si>
  <si>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</si>
  <si>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</si>
  <si>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</si>
  <si>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</si>
  <si>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</si>
  <si>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</si>
  <si>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</si>
  <si>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</si>
  <si>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</si>
  <si>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</si>
  <si>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</si>
  <si>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</si>
  <si>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</si>
  <si>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</si>
  <si>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</si>
  <si>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</si>
  <si>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</si>
  <si>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</si>
  <si>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</si>
  <si>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</si>
  <si>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</si>
  <si>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</si>
  <si>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</si>
  <si>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</si>
  <si>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</si>
  <si>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</si>
  <si>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</si>
  <si>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</si>
  <si>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</si>
  <si>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</si>
  <si>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</si>
  <si>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</si>
  <si>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</si>
  <si>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</si>
  <si>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</si>
  <si>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</si>
  <si>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</si>
  <si>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</si>
  <si>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</si>
  <si>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</si>
  <si>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</si>
  <si>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</si>
  <si>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</si>
  <si>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</si>
  <si>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</si>
  <si>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</si>
  <si>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</si>
  <si>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</si>
  <si>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</si>
  <si>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</si>
  <si>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</si>
  <si>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</si>
  <si>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</si>
  <si>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</si>
  <si>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</si>
  <si>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</si>
  <si>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</si>
  <si>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</si>
  <si>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</si>
  <si>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</si>
  <si>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</si>
  <si>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</si>
  <si>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</si>
  <si>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</si>
  <si>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</si>
  <si>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</si>
  <si>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</si>
  <si>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</si>
  <si>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</si>
  <si>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</si>
  <si>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</si>
  <si>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</si>
  <si>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</si>
  <si>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</si>
  <si>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</si>
  <si>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</si>
  <si>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</si>
  <si>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</si>
  <si>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</si>
  <si>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</si>
  <si>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</si>
  <si>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</si>
  <si>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</si>
  <si>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</si>
  <si>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</si>
  <si>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</si>
  <si>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</si>
  <si>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</si>
  <si>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</si>
  <si>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</si>
  <si>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</si>
  <si>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</si>
  <si>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</si>
  <si>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</si>
  <si>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</si>
  <si>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</si>
  <si>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</si>
  <si>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</si>
  <si>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</si>
  <si>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</si>
  <si>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</si>
  <si>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</si>
  <si>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</si>
  <si>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</si>
  <si>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</si>
  <si>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</si>
  <si>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</si>
  <si>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</si>
  <si>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</si>
  <si>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</si>
  <si>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</si>
  <si>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</si>
  <si>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</si>
  <si>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</si>
  <si>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</si>
  <si>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</si>
  <si>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</si>
  <si>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</si>
  <si>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</si>
  <si>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</si>
  <si>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</si>
  <si>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</si>
  <si>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</si>
  <si>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</si>
  <si>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</si>
  <si>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</si>
  <si>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</si>
  <si>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</si>
  <si>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</si>
  <si>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</si>
  <si>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</si>
  <si>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</si>
  <si>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</si>
  <si>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</si>
  <si>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</si>
  <si>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</si>
  <si>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</si>
  <si>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</si>
  <si>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</si>
  <si>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</si>
  <si>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</si>
  <si>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</si>
  <si>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</si>
  <si>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</si>
  <si>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</si>
  <si>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</si>
  <si>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</si>
  <si>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</si>
  <si>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</si>
  <si>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</si>
  <si>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</si>
  <si>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</si>
  <si>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</si>
  <si>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</si>
  <si>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</si>
  <si>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</si>
  <si>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</si>
  <si>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</si>
  <si>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</si>
  <si>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</si>
  <si>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</si>
  <si>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</si>
  <si>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</si>
  <si>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</si>
  <si>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</si>
  <si>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</si>
  <si>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</si>
  <si>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</si>
  <si>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</si>
  <si>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</si>
  <si>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</si>
  <si>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</si>
  <si>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</si>
  <si>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</si>
  <si>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</si>
  <si>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</si>
  <si>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</si>
  <si>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</si>
  <si>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</si>
  <si>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</si>
  <si>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</si>
  <si>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</si>
  <si>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</si>
  <si>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</si>
  <si>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</si>
  <si>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</si>
  <si>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</si>
  <si>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</si>
  <si>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</si>
  <si>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</si>
  <si>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</si>
  <si>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</si>
  <si>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</si>
  <si>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</si>
  <si>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</si>
  <si>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</si>
  <si>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</si>
  <si>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</si>
  <si>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</si>
  <si>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</si>
  <si>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</si>
  <si>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</si>
  <si>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</si>
  <si>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</si>
  <si>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</si>
  <si>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</si>
  <si>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</si>
  <si>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</si>
  <si>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</si>
  <si>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</si>
  <si>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</si>
  <si>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</si>
  <si>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</si>
  <si>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</si>
  <si>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</si>
  <si>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</si>
  <si>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</si>
  <si>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</si>
  <si>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</si>
  <si>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</si>
  <si>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</si>
  <si>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</si>
  <si>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</si>
  <si>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</si>
  <si>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</si>
  <si>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</si>
  <si>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</si>
  <si>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</si>
  <si>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</si>
  <si>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</si>
  <si>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</si>
  <si>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</si>
  <si>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</si>
  <si>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</si>
  <si>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</si>
  <si>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</si>
  <si>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</si>
  <si>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</si>
  <si>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</si>
  <si>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</si>
  <si>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</si>
  <si>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</si>
  <si>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</si>
  <si>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</si>
  <si>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</si>
  <si>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</si>
  <si>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</si>
  <si>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</si>
  <si>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</si>
  <si>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</si>
  <si>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</si>
  <si>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</si>
  <si>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</si>
  <si>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</si>
  <si>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</si>
  <si>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</si>
  <si>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</si>
  <si>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</si>
  <si>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</si>
  <si>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</si>
  <si>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</si>
  <si>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</si>
  <si>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</si>
  <si>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</si>
  <si>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</si>
  <si>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</si>
  <si>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</si>
  <si>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</si>
  <si>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</si>
  <si>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</si>
  <si>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</si>
  <si>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</si>
  <si>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</si>
  <si>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</si>
  <si>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</si>
  <si>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</si>
  <si>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</si>
  <si>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</si>
  <si>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</si>
  <si>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</si>
  <si>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</si>
  <si>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</si>
  <si>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</si>
  <si>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</si>
  <si>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</si>
  <si>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</si>
  <si>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</si>
  <si>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</si>
  <si>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</si>
  <si>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</si>
  <si>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</si>
  <si>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</si>
  <si>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</si>
  <si>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</si>
  <si>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</si>
  <si>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</si>
  <si>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</si>
  <si>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</si>
  <si>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</si>
  <si>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</si>
  <si>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</si>
  <si>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</si>
  <si>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</si>
  <si>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</si>
  <si>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</si>
  <si>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</si>
  <si>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</si>
  <si>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</si>
  <si>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</si>
  <si>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</si>
  <si>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</si>
  <si>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</si>
  <si>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</si>
  <si>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</si>
  <si>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</si>
  <si>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</si>
  <si>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</si>
  <si>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</si>
  <si>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</si>
  <si>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</si>
  <si>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</si>
  <si>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</si>
  <si>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</si>
  <si>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</si>
  <si>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</si>
  <si>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</si>
  <si>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</si>
  <si>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</si>
  <si>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</si>
  <si>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</si>
  <si>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</si>
  <si>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</si>
  <si>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</si>
  <si>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</si>
  <si>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</si>
  <si>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</si>
  <si>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</si>
  <si>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</si>
  <si>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</si>
  <si>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</si>
  <si>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</si>
  <si>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</si>
  <si>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</si>
  <si>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</si>
  <si>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</si>
  <si>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</si>
  <si>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</si>
  <si>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</si>
  <si>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</si>
  <si>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</si>
  <si>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</si>
  <si>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</si>
  <si>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</si>
  <si>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</si>
  <si>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</si>
  <si>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</si>
  <si>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</si>
  <si>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</si>
  <si>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</si>
  <si>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</si>
  <si>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</si>
  <si>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</si>
  <si>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</si>
  <si>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</si>
  <si>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</si>
  <si>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</si>
  <si>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</si>
  <si>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</si>
  <si>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</si>
  <si>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</si>
  <si>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</si>
  <si>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</si>
  <si>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</si>
  <si>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</si>
  <si>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</si>
  <si>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</si>
  <si>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</si>
  <si>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</si>
  <si>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</si>
  <si>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</si>
  <si>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</si>
  <si>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</si>
  <si>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</si>
  <si>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</si>
  <si>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</si>
  <si>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</si>
  <si>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</si>
  <si>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</si>
  <si>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</si>
  <si>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</si>
  <si>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</si>
  <si>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</si>
  <si>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</si>
  <si>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</si>
  <si>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</si>
  <si>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</si>
  <si>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</si>
  <si>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</si>
  <si>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</si>
  <si>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</si>
  <si>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</si>
  <si>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</si>
  <si>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</si>
  <si>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</si>
  <si>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</si>
  <si>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</si>
  <si>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</si>
  <si>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</si>
  <si>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</si>
  <si>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</si>
  <si>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</si>
  <si>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</si>
  <si>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</si>
  <si>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</si>
  <si>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</si>
  <si>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</si>
  <si>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</si>
  <si>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</si>
  <si>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</si>
  <si>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</si>
  <si>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</si>
  <si>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</si>
  <si>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</si>
  <si>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</si>
  <si>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</si>
  <si>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</si>
  <si>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</si>
  <si>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</si>
  <si>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</si>
  <si>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</si>
  <si>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</si>
  <si>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</si>
  <si>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</si>
  <si>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</si>
  <si>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</si>
  <si>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</si>
  <si>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</si>
  <si>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</si>
  <si>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</si>
  <si>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</si>
  <si>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</si>
  <si>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</si>
  <si>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</si>
  <si>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</si>
  <si>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</si>
  <si>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</si>
  <si>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</si>
  <si>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</si>
  <si>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</si>
  <si>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</si>
  <si>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</si>
  <si>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</si>
  <si>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</si>
  <si>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</si>
  <si>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</si>
  <si>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</si>
  <si>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</si>
  <si>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</si>
  <si>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</si>
  <si>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</si>
  <si>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</si>
  <si>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</si>
  <si>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</si>
  <si>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</si>
  <si>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</si>
  <si>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</si>
  <si>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</si>
  <si>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</si>
  <si>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</si>
  <si>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</si>
  <si>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</si>
  <si>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</si>
  <si>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</si>
  <si>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</si>
  <si>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</si>
  <si>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</si>
  <si>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</si>
  <si>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</si>
  <si>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</si>
  <si>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</si>
  <si>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</si>
  <si>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</si>
  <si>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</si>
  <si>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</si>
  <si>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</si>
  <si>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</si>
  <si>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</si>
  <si>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</si>
  <si>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</si>
  <si>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</si>
  <si>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</si>
  <si>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</si>
  <si>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</si>
  <si>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</si>
  <si>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</si>
  <si>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</si>
  <si>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</si>
  <si>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</si>
  <si>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</si>
  <si>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</si>
  <si>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</si>
  <si>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</si>
  <si>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</si>
  <si>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</si>
  <si>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</si>
  <si>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</si>
  <si>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</si>
  <si>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</si>
  <si>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</si>
  <si>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</si>
  <si>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</si>
  <si>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</si>
  <si>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</si>
  <si>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</si>
  <si>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</si>
  <si>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</si>
  <si>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</si>
  <si>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</si>
  <si>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</si>
  <si>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</si>
  <si>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</si>
  <si>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</si>
  <si>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</si>
  <si>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</si>
  <si>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</si>
  <si>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</si>
  <si>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</si>
  <si>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</si>
  <si>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</si>
  <si>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</si>
  <si>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</si>
  <si>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</si>
  <si>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</si>
  <si>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</si>
  <si>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</si>
  <si>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</si>
  <si>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</si>
  <si>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</si>
  <si>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</si>
  <si>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</si>
  <si>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</si>
  <si>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</si>
  <si>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</si>
  <si>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</si>
  <si>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</si>
  <si>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</si>
  <si>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</si>
  <si>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</si>
  <si>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</si>
  <si>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</si>
  <si>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</si>
  <si>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</si>
  <si>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</si>
  <si>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</si>
  <si>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</si>
  <si>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</si>
  <si>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</si>
  <si>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</si>
  <si>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</si>
  <si>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</si>
  <si>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</si>
  <si>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</si>
  <si>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</si>
  <si>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</si>
  <si>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</si>
  <si>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</si>
  <si>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</si>
  <si>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</si>
  <si>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</si>
  <si>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</si>
  <si>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</si>
  <si>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</si>
  <si>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</si>
  <si>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</si>
  <si>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</si>
  <si>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</si>
  <si>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</si>
  <si>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</si>
  <si>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</si>
  <si>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</si>
  <si>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</si>
  <si>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</si>
  <si>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</si>
  <si>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</si>
  <si>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</si>
  <si>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</si>
  <si>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</si>
  <si>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</si>
  <si>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</si>
  <si>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</si>
  <si>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</si>
  <si>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</si>
  <si>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</si>
  <si>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</si>
  <si>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</si>
  <si>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</si>
  <si>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</si>
  <si>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</si>
  <si>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</si>
  <si>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</si>
  <si>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</si>
  <si>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</si>
  <si>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</si>
  <si>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</si>
  <si>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</si>
  <si>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</si>
  <si>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</si>
  <si>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</si>
  <si>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</si>
  <si>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</si>
  <si>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</si>
  <si>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</si>
  <si>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</si>
  <si>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</si>
  <si>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</si>
  <si>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</si>
  <si>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</si>
  <si>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</si>
  <si>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</si>
  <si>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</si>
  <si>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</si>
  <si>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</si>
  <si>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</si>
  <si>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</si>
  <si>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</si>
  <si>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</si>
  <si>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</si>
  <si>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</si>
  <si>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</si>
  <si>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</si>
  <si>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</si>
  <si>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</si>
  <si>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</si>
  <si>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</si>
  <si>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</si>
  <si>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</si>
  <si>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</si>
  <si>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</si>
  <si>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</si>
  <si>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</si>
  <si>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</si>
  <si>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</si>
  <si>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</si>
  <si>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</si>
  <si>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</si>
  <si>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</si>
  <si>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</si>
  <si>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</si>
  <si>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</si>
  <si>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</si>
  <si>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</si>
  <si>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</si>
  <si>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</si>
  <si>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</si>
  <si>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</si>
  <si>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</si>
  <si>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</si>
  <si>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</si>
  <si>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</si>
  <si>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</si>
  <si>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</si>
  <si>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</si>
  <si>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</si>
  <si>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</si>
  <si>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</si>
  <si>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</si>
  <si>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</si>
  <si>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</si>
  <si>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</si>
  <si>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</si>
  <si>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</si>
  <si>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</si>
  <si>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</si>
  <si>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</si>
  <si>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</si>
  <si>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</si>
  <si>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</si>
  <si>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</si>
  <si>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</si>
  <si>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</si>
  <si>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</si>
  <si>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</si>
  <si>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</si>
  <si>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</si>
  <si>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</si>
  <si>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</si>
  <si>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</si>
  <si>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</si>
  <si>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</si>
  <si>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</si>
  <si>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</si>
  <si>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</si>
  <si>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</si>
  <si>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</si>
  <si>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</si>
  <si>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</si>
  <si>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</si>
  <si>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</si>
  <si>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</si>
  <si>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</si>
  <si>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</si>
  <si>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</si>
  <si>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</si>
  <si>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</si>
  <si>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</si>
  <si>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</si>
  <si>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</si>
  <si>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</si>
  <si>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</si>
  <si>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</si>
  <si>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</si>
  <si>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</si>
  <si>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</si>
  <si>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</si>
  <si>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</si>
  <si>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</si>
  <si>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</si>
  <si>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</si>
  <si>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</si>
  <si>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</si>
  <si>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</si>
  <si>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</si>
  <si>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</si>
  <si>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</si>
  <si>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</si>
  <si>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</si>
  <si>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</si>
  <si>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</si>
  <si>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</si>
  <si>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</si>
  <si>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</si>
  <si>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</si>
  <si>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</si>
  <si>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</si>
  <si>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</si>
  <si>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</si>
  <si>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</si>
  <si>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</si>
  <si>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</si>
  <si>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</si>
  <si>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</si>
  <si>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</si>
  <si>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</si>
  <si>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</si>
  <si>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</si>
  <si>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</si>
  <si>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</si>
  <si>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</si>
  <si>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</si>
  <si>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</si>
  <si>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</si>
  <si>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</si>
  <si>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</si>
  <si>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</si>
  <si>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</si>
  <si>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</si>
  <si>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</si>
  <si>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</si>
  <si>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</si>
  <si>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</si>
  <si>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</si>
  <si>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</si>
  <si>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</si>
  <si>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</si>
  <si>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</si>
  <si>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</si>
  <si>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</si>
  <si>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</si>
  <si>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</si>
  <si>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</si>
  <si>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</si>
  <si>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</si>
  <si>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</si>
  <si>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</si>
  <si>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</si>
  <si>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</si>
  <si>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</si>
  <si>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</si>
  <si>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</si>
  <si>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</si>
  <si>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</si>
  <si>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</si>
  <si>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</si>
  <si>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</si>
  <si>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</si>
  <si>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</si>
  <si>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</si>
  <si>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</si>
  <si>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</si>
  <si>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</si>
  <si>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</si>
  <si>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</si>
  <si>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</si>
  <si>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</si>
  <si>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</si>
  <si>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</si>
  <si>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</si>
  <si>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</si>
  <si>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</si>
  <si>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</si>
  <si>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</si>
  <si>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</si>
  <si>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</si>
  <si>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</si>
  <si>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</si>
  <si>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</si>
  <si>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</si>
  <si>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</si>
  <si>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</si>
  <si>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</si>
  <si>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</si>
  <si>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</si>
  <si>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</si>
  <si>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</si>
  <si>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</si>
  <si>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</si>
  <si>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</si>
  <si>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</si>
  <si>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</si>
  <si>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</si>
  <si>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</si>
  <si>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</si>
  <si>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</si>
  <si>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</si>
  <si>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</si>
  <si>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</si>
  <si>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</si>
  <si>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</si>
  <si>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</si>
  <si>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</si>
  <si>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</si>
  <si>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</si>
  <si>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</si>
  <si>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</si>
  <si>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</si>
  <si>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</si>
  <si>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</si>
  <si>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</si>
  <si>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</si>
  <si>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</si>
  <si>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</si>
  <si>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</si>
  <si>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</si>
  <si>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</si>
  <si>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</si>
  <si>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</si>
  <si>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</si>
  <si>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</si>
  <si>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</si>
  <si>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</si>
  <si>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</si>
  <si>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</si>
  <si>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</si>
  <si>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</si>
  <si>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</si>
  <si>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</si>
  <si>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</si>
  <si>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</si>
  <si>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</si>
  <si>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</si>
  <si>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</si>
  <si>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</si>
  <si>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</si>
  <si>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</si>
  <si>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</si>
  <si>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</si>
  <si>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</si>
  <si>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</si>
  <si>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</si>
  <si>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</si>
  <si>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</si>
  <si>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</si>
  <si>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</si>
  <si>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</si>
  <si>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</si>
  <si>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</si>
  <si>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</si>
  <si>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</si>
  <si>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</si>
  <si>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</si>
  <si>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</si>
  <si>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</si>
  <si>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</si>
  <si>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</si>
  <si>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</si>
  <si>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</si>
  <si>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</si>
  <si>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</si>
  <si>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</si>
  <si>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</si>
  <si>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</si>
  <si>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</si>
  <si>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</si>
  <si>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</si>
  <si>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</si>
  <si>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</si>
  <si>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</si>
  <si>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</si>
  <si>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</si>
  <si>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</si>
  <si>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</si>
  <si>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</si>
  <si>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</si>
  <si>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</si>
  <si>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</si>
  <si>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</si>
  <si>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</si>
  <si>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</si>
  <si>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</si>
  <si>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</si>
  <si>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</si>
  <si>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</si>
  <si>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</si>
  <si>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</si>
  <si>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</si>
  <si>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</si>
  <si>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</si>
  <si>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</si>
  <si>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</si>
  <si>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</si>
  <si>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</si>
  <si>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</si>
  <si>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</si>
  <si>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</si>
  <si>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</si>
  <si>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</si>
  <si>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</si>
  <si>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</si>
  <si>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</si>
  <si>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</si>
  <si>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</si>
  <si>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</si>
  <si>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</si>
  <si>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</si>
  <si>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</si>
  <si>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</si>
  <si>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</si>
  <si>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</si>
  <si>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</si>
  <si>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</si>
  <si>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</si>
  <si>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</si>
  <si>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</si>
  <si>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</si>
  <si>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</si>
  <si>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</si>
  <si>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</si>
  <si>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</si>
  <si>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</si>
  <si>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</si>
  <si>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</si>
  <si>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</si>
  <si>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</si>
  <si>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</si>
  <si>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</si>
  <si>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</si>
  <si>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</si>
  <si>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</si>
  <si>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</si>
  <si>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</si>
  <si>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</si>
  <si>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</si>
  <si>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</si>
  <si>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</si>
  <si>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</si>
  <si>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</si>
  <si>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</si>
  <si>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</si>
  <si>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</si>
  <si>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</si>
  <si>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</si>
  <si>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</si>
  <si>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</si>
  <si>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</si>
  <si>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</si>
  <si>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</si>
  <si>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</si>
  <si>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</si>
  <si>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</si>
  <si>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</si>
  <si>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</si>
  <si>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</si>
  <si>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</si>
  <si>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</si>
  <si>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</si>
  <si>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</si>
  <si>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</si>
  <si>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</si>
  <si>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</si>
  <si>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</si>
  <si>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</si>
  <si>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</si>
  <si>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</si>
  <si>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</si>
  <si>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</si>
  <si>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</si>
  <si>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</si>
  <si>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</si>
  <si>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</si>
  <si>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</si>
  <si>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</si>
  <si>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</si>
  <si>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</si>
  <si>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</si>
  <si>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</si>
  <si>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</si>
  <si>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</si>
  <si>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</si>
  <si>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</si>
  <si>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</si>
  <si>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</si>
  <si>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</si>
  <si>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</si>
  <si>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</si>
  <si>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</si>
  <si>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</si>
  <si>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</si>
  <si>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</si>
  <si>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</si>
  <si>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</si>
  <si>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</si>
  <si>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</si>
  <si>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</si>
  <si>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</si>
  <si>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</si>
  <si>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</si>
  <si>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</si>
  <si>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</si>
  <si>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</si>
  <si>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</si>
  <si>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</si>
  <si>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</si>
  <si>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</si>
  <si>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</si>
  <si>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</si>
  <si>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</si>
  <si>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</si>
  <si>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</si>
  <si>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</si>
  <si>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</si>
  <si>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</si>
  <si>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</si>
  <si>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</si>
  <si>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</si>
  <si>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</si>
  <si>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</si>
  <si>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</si>
  <si>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</si>
  <si>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</si>
  <si>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</si>
  <si>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</si>
  <si>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</si>
  <si>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</si>
  <si>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</si>
  <si>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</si>
  <si>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</si>
  <si>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</si>
  <si>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</si>
  <si>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</si>
  <si>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</si>
  <si>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</si>
  <si>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</si>
  <si>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</si>
  <si>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</si>
  <si>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</si>
  <si>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</si>
  <si>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</si>
  <si>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</si>
  <si>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</si>
  <si>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</si>
  <si>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</si>
  <si>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</si>
  <si>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</si>
  <si>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</si>
  <si>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</si>
  <si>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</si>
  <si>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</si>
  <si>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</si>
  <si>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</si>
  <si>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</si>
  <si>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</si>
  <si>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</si>
  <si>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</si>
  <si>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</si>
  <si>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</si>
  <si>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</si>
  <si>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</si>
  <si>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</si>
  <si>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</si>
  <si>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</si>
  <si>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</si>
  <si>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</si>
  <si>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</si>
  <si>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</si>
  <si>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</si>
  <si>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</si>
  <si>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</si>
  <si>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</si>
  <si>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</si>
  <si>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</si>
  <si>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</si>
  <si>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</si>
  <si>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</si>
  <si>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</si>
  <si>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</si>
  <si>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</si>
  <si>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</si>
  <si>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</si>
  <si>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</si>
  <si>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</si>
  <si>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</si>
  <si>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</si>
  <si>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</si>
  <si>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</si>
  <si>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</si>
  <si>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</si>
  <si>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</si>
  <si>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</si>
  <si>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</si>
  <si>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</si>
  <si>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</si>
  <si>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</si>
  <si>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</si>
  <si>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</si>
  <si>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</si>
  <si>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</si>
  <si>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</si>
  <si>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</si>
  <si>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</si>
  <si>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</si>
  <si>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</si>
  <si>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</si>
  <si>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</si>
  <si>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</si>
  <si>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</si>
  <si>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</si>
  <si>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</si>
  <si>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</si>
  <si>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</si>
  <si>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</si>
  <si>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</si>
  <si>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</si>
  <si>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</si>
  <si>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</si>
  <si>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</si>
  <si>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</si>
  <si>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</si>
  <si>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</si>
  <si>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</si>
  <si>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</si>
  <si>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</si>
  <si>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</si>
  <si>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</si>
  <si>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</si>
  <si>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</si>
  <si>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</si>
  <si>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</si>
  <si>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</si>
  <si>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</si>
  <si>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</si>
  <si>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</si>
  <si>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</si>
  <si>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</si>
  <si>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</si>
  <si>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</si>
  <si>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</si>
  <si>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</si>
  <si>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</si>
  <si>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</si>
  <si>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</si>
  <si>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</si>
  <si>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</si>
  <si>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</si>
  <si>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</si>
  <si>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</si>
  <si>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</si>
  <si>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</si>
  <si>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</si>
  <si>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</si>
  <si>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</si>
  <si>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</si>
  <si>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</si>
  <si>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</si>
  <si>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</si>
  <si>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</si>
  <si>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</si>
  <si>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</si>
  <si>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</si>
  <si>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</si>
  <si>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</si>
  <si>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</si>
  <si>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</si>
  <si>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</si>
  <si>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</si>
  <si>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</si>
  <si>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</si>
  <si>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</si>
  <si>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</si>
  <si>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</si>
  <si>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</si>
  <si>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</si>
  <si>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</si>
  <si>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</si>
  <si>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</si>
  <si>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</si>
  <si>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</si>
  <si>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</si>
  <si>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</si>
  <si>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</si>
  <si>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</si>
  <si>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</si>
  <si>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</si>
  <si>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</si>
  <si>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</si>
  <si>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</si>
  <si>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</si>
  <si>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</si>
  <si>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</si>
  <si>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</si>
  <si>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</si>
  <si>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</si>
  <si>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</si>
  <si>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</si>
  <si>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</si>
  <si>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</si>
  <si>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</si>
  <si>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</si>
  <si>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</si>
  <si>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</si>
  <si>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</si>
  <si>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</si>
  <si>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</si>
  <si>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</si>
  <si>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</si>
  <si>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</si>
  <si>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</si>
  <si>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</si>
  <si>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</si>
  <si>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</si>
  <si>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</si>
  <si>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</si>
  <si>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</si>
  <si>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</si>
  <si>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</si>
  <si>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</si>
  <si>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</si>
  <si>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</si>
  <si>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</si>
  <si>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</si>
  <si>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</si>
  <si>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</si>
  <si>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</si>
  <si>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</si>
  <si>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</si>
  <si>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</si>
  <si>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</si>
  <si>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</si>
  <si>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</si>
  <si>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</si>
  <si>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</si>
  <si>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</si>
  <si>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</si>
  <si>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</si>
  <si>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</si>
  <si>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</si>
  <si>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</si>
  <si>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</si>
  <si>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</si>
  <si>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</si>
  <si>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</si>
  <si>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</si>
  <si>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</si>
  <si>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</si>
  <si>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</si>
  <si>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</si>
  <si>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</si>
  <si>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</si>
  <si>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</si>
  <si>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</si>
  <si>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</si>
  <si>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</si>
  <si>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</si>
  <si>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</si>
  <si>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</si>
  <si>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</si>
  <si>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</si>
  <si>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</si>
  <si>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</si>
  <si>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</si>
  <si>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</si>
  <si>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</si>
  <si>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</si>
  <si>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</si>
  <si>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</si>
  <si>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</si>
  <si>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</si>
  <si>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</si>
  <si>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</si>
  <si>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</si>
  <si>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</si>
  <si>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</si>
  <si>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</si>
  <si>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</si>
  <si>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</si>
  <si>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</si>
  <si>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</si>
  <si>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</si>
  <si>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</si>
  <si>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</si>
  <si>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</si>
  <si>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</si>
  <si>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</si>
  <si>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</si>
  <si>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</si>
  <si>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</si>
  <si>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</si>
  <si>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</si>
  <si>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</si>
  <si>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</si>
  <si>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</si>
  <si>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</si>
  <si>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</si>
  <si>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</si>
  <si>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</si>
  <si>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</si>
  <si>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</si>
  <si>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</si>
  <si>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</si>
  <si>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</si>
  <si>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</si>
  <si>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</si>
  <si>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</si>
  <si>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</si>
  <si>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</si>
  <si>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</si>
  <si>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</si>
  <si>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</si>
  <si>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</si>
  <si>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</si>
  <si>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</si>
  <si>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</si>
  <si>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</si>
  <si>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</si>
  <si>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</si>
  <si>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</si>
  <si>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</si>
  <si>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</si>
  <si>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</si>
  <si>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</si>
  <si>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</si>
  <si>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</si>
  <si>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</si>
  <si>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</si>
  <si>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</si>
  <si>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</si>
  <si>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</si>
  <si>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</si>
  <si>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</si>
  <si>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</si>
  <si>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</si>
  <si>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</si>
  <si>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</si>
  <si>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</si>
  <si>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</si>
  <si>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</si>
  <si>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</si>
  <si>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</si>
  <si>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</si>
  <si>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</si>
  <si>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</si>
  <si>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</si>
  <si>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</si>
  <si>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</si>
  <si>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</si>
  <si>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</si>
  <si>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</si>
  <si>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</si>
  <si>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</si>
  <si>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</si>
  <si>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</si>
  <si>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</si>
  <si>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</si>
  <si>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</si>
  <si>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</si>
  <si>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</si>
  <si>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</si>
  <si>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</si>
  <si>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</si>
  <si>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</si>
  <si>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</si>
  <si>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</si>
  <si>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</si>
  <si>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</si>
  <si>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</si>
  <si>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</si>
  <si>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</si>
  <si>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</si>
  <si>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</si>
  <si>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</si>
  <si>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</si>
  <si>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</si>
  <si>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</si>
  <si>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</si>
  <si>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</si>
  <si>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</si>
  <si>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</si>
  <si>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</si>
  <si>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</si>
  <si>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</si>
  <si>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</si>
  <si>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</si>
  <si>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</si>
  <si>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</si>
  <si>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</si>
  <si>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</si>
  <si>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</si>
  <si>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</si>
  <si>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</si>
  <si>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</si>
  <si>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</si>
  <si>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</si>
  <si>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</si>
  <si>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</si>
  <si>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</si>
  <si>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</si>
  <si>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</si>
  <si>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</si>
  <si>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</si>
  <si>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</si>
  <si>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</si>
  <si>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</si>
  <si>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</si>
  <si>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</si>
  <si>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</si>
  <si>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</si>
  <si>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</si>
  <si>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</si>
  <si>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</si>
  <si>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</si>
  <si>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</si>
  <si>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</si>
  <si>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</si>
  <si>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</si>
  <si>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</si>
  <si>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</si>
  <si>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</si>
  <si>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</si>
  <si>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</si>
  <si>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</si>
  <si>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</si>
  <si>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</si>
  <si>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</si>
  <si>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</si>
  <si>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</si>
  <si>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</si>
  <si>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</si>
  <si>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</si>
  <si>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</si>
  <si>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</si>
  <si>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</si>
  <si>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</si>
  <si>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</si>
  <si>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</si>
  <si>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</si>
  <si>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</si>
  <si>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</si>
  <si>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</si>
  <si>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</si>
  <si>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</si>
  <si>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</si>
  <si>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</si>
  <si>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</si>
  <si>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</si>
  <si>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</si>
  <si>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</si>
  <si>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</si>
  <si>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</si>
  <si>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</si>
  <si>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</si>
  <si>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</si>
  <si>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</si>
  <si>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</si>
  <si>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</si>
  <si>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</si>
  <si>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</si>
  <si>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</si>
  <si>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</si>
  <si>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</si>
  <si>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</si>
  <si>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</si>
  <si>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</si>
  <si>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</si>
  <si>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</si>
  <si>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</si>
  <si>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</si>
  <si>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</si>
  <si>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</si>
  <si>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</si>
  <si>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</si>
  <si>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</si>
  <si>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</si>
  <si>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</si>
  <si>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</si>
  <si>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</si>
  <si>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</si>
  <si>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</si>
  <si>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</si>
  <si>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</si>
  <si>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</si>
  <si>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</si>
  <si>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</si>
  <si>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</si>
  <si>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</si>
  <si>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</si>
  <si>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</si>
  <si>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</si>
  <si>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</si>
  <si>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</si>
  <si>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</si>
  <si>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</si>
  <si>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</si>
  <si>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</si>
  <si>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</si>
  <si>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</si>
  <si>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</si>
  <si>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</si>
  <si>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</si>
  <si>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</si>
  <si>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</si>
  <si>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</si>
  <si>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</si>
  <si>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</si>
  <si>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</si>
  <si>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</si>
  <si>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</si>
  <si>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</si>
  <si>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</si>
  <si>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</si>
  <si>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</si>
  <si>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</si>
  <si>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</si>
  <si>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</si>
  <si>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</si>
  <si>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</si>
  <si>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</si>
  <si>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</si>
  <si>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</si>
  <si>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</si>
  <si>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</si>
  <si>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</si>
  <si>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</si>
  <si>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</si>
  <si>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</si>
  <si>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</si>
  <si>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</si>
  <si>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</si>
  <si>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</si>
  <si>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</si>
  <si>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</si>
  <si>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</si>
  <si>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</si>
  <si>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</si>
  <si>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</si>
  <si>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</si>
  <si>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</si>
  <si>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</si>
  <si>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</si>
  <si>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</si>
  <si>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</si>
  <si>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</si>
  <si>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</si>
  <si>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</si>
  <si>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</si>
  <si>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</si>
  <si>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</si>
  <si>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</si>
  <si>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</si>
  <si>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</si>
  <si>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</si>
  <si>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</si>
  <si>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</si>
  <si>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</si>
  <si>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</si>
  <si>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</si>
  <si>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</si>
  <si>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</si>
  <si>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</si>
  <si>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</si>
  <si>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</si>
  <si>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</si>
  <si>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</si>
  <si>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</si>
  <si>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</si>
  <si>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</si>
  <si>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</si>
  <si>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</si>
  <si>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</si>
  <si>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</si>
  <si>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</si>
  <si>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</si>
  <si>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</si>
  <si>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</si>
  <si>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</si>
  <si>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</si>
  <si>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</si>
  <si>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</si>
  <si>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</si>
  <si>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</si>
  <si>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</si>
  <si>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</si>
  <si>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</si>
  <si>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</si>
  <si>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</si>
  <si>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</si>
  <si>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</si>
  <si>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</si>
  <si>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</si>
  <si>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</si>
  <si>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</si>
  <si>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</si>
  <si>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</si>
  <si>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</si>
  <si>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</si>
  <si>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</si>
  <si>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</si>
  <si>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</si>
  <si>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</si>
  <si>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</si>
  <si>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</si>
  <si>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</si>
  <si>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</si>
  <si>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</si>
  <si>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</si>
  <si>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</si>
  <si>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</si>
  <si>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</si>
  <si>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</si>
  <si>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</si>
  <si>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</si>
  <si>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</si>
  <si>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</si>
  <si>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</si>
  <si>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</si>
  <si>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</si>
  <si>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</si>
  <si>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</si>
  <si>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</si>
  <si>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</si>
  <si>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</si>
  <si>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</si>
  <si>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</si>
  <si>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</si>
  <si>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</si>
  <si>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</si>
  <si>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</si>
  <si>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</si>
  <si>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</si>
  <si>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</si>
  <si>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</si>
  <si>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</si>
  <si>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</si>
  <si>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</si>
  <si>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</si>
  <si>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</si>
  <si>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</si>
  <si>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</si>
  <si>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</si>
  <si>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</si>
  <si>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</si>
  <si>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</si>
  <si>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</si>
  <si>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</si>
  <si>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</si>
  <si>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</si>
  <si>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</si>
  <si>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</si>
  <si>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</si>
  <si>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</si>
  <si>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</si>
  <si>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</si>
  <si>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</si>
  <si>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</si>
  <si>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</si>
  <si>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</si>
  <si>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</si>
  <si>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</si>
  <si>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</si>
  <si>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</si>
  <si>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</si>
  <si>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</si>
  <si>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</si>
  <si>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</si>
  <si>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</si>
  <si>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</si>
  <si>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</si>
  <si>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</si>
  <si>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</si>
  <si>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</si>
  <si>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</si>
  <si>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</si>
  <si>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</si>
  <si>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</si>
  <si>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</si>
  <si>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</si>
  <si>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</si>
  <si>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</si>
  <si>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</si>
  <si>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</si>
  <si>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</si>
  <si>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</si>
  <si>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</si>
  <si>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</si>
  <si>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</si>
  <si>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</si>
  <si>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</si>
  <si>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</si>
  <si>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</si>
  <si>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</si>
  <si>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</si>
  <si>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</si>
  <si>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</si>
  <si>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</si>
  <si>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</si>
  <si>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</si>
  <si>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</si>
  <si>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</si>
  <si>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</si>
  <si>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</si>
  <si>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</si>
  <si>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</si>
  <si>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</si>
  <si>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</si>
  <si>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</si>
  <si>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</si>
  <si>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</si>
  <si>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</si>
  <si>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</si>
  <si>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</si>
  <si>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</si>
  <si>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</si>
  <si>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</si>
  <si>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</si>
  <si>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</si>
  <si>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</si>
  <si>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</si>
  <si>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</si>
  <si>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</si>
  <si>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</si>
  <si>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</si>
  <si>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</si>
  <si>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</si>
  <si>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</si>
  <si>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</si>
  <si>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</si>
  <si>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</si>
  <si>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</si>
  <si>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</si>
  <si>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</si>
  <si>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</si>
  <si>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</si>
  <si>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</si>
  <si>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</si>
  <si>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</si>
  <si>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</si>
  <si>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</si>
  <si>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</si>
  <si>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</si>
  <si>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</si>
  <si>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</si>
  <si>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</si>
  <si>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</si>
  <si>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</si>
  <si>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</si>
  <si>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</si>
  <si>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</si>
  <si>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</si>
  <si>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</si>
  <si>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</si>
  <si>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</si>
  <si>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</si>
  <si>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</si>
  <si>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</si>
  <si>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</si>
  <si>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</si>
  <si>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</si>
  <si>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</si>
  <si>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</si>
  <si>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</si>
  <si>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</si>
  <si>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</si>
  <si>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</si>
  <si>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</si>
  <si>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</si>
  <si>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</si>
  <si>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</si>
  <si>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</si>
  <si>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</si>
  <si>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</si>
  <si>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</si>
  <si>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</si>
  <si>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</si>
  <si>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</si>
  <si>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</si>
  <si>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</si>
  <si>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</si>
  <si>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</si>
  <si>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</si>
  <si>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</si>
  <si>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</si>
  <si>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</si>
  <si>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</si>
  <si>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</si>
  <si>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</si>
  <si>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</si>
  <si>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</si>
  <si>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</si>
  <si>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</si>
  <si>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</si>
  <si>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</si>
  <si>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</si>
  <si>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</si>
  <si>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</si>
  <si>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</si>
  <si>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</si>
  <si>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</si>
  <si>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</si>
  <si>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</si>
  <si>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</si>
  <si>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</si>
  <si>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</si>
  <si>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</si>
  <si>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</si>
  <si>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</si>
  <si>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</si>
  <si>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</si>
  <si>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</si>
  <si>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</si>
  <si>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</si>
  <si>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</si>
  <si>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</si>
  <si>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</si>
  <si>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</si>
  <si>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</si>
  <si>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</si>
  <si>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</si>
  <si>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</si>
  <si>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</si>
  <si>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</si>
  <si>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</si>
  <si>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</si>
  <si>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</si>
  <si>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</si>
  <si>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</si>
  <si>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</si>
  <si>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</si>
  <si>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</si>
  <si>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</si>
  <si>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</si>
  <si>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</si>
  <si>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</si>
  <si>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</si>
  <si>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</si>
  <si>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</si>
  <si>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</si>
  <si>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</si>
  <si>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</si>
  <si>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</si>
  <si>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</si>
  <si>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</si>
  <si>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</si>
  <si>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</si>
  <si>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</si>
  <si>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</si>
  <si>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</si>
  <si>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</si>
  <si>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</si>
  <si>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</si>
  <si>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</si>
  <si>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</si>
  <si>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</si>
  <si>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</si>
  <si>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</si>
  <si>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</si>
  <si>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</si>
  <si>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</si>
  <si>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</si>
  <si>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</si>
  <si>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</si>
  <si>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</si>
  <si>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</si>
  <si>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</si>
  <si>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</si>
  <si>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</si>
  <si>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</si>
  <si>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</si>
  <si>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</si>
  <si>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</si>
  <si>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</si>
  <si>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</si>
  <si>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</si>
  <si>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</si>
  <si>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</si>
  <si>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</si>
  <si>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</si>
  <si>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</si>
  <si>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</si>
  <si>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</si>
  <si>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</si>
  <si>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</si>
  <si>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</si>
  <si>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</si>
  <si>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</si>
  <si>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</si>
  <si>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</si>
  <si>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</si>
  <si>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</si>
  <si>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</si>
  <si>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</si>
  <si>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</si>
  <si>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</si>
  <si>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</si>
  <si>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</si>
  <si>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</si>
  <si>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</si>
  <si>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</si>
  <si>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</si>
  <si>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</si>
  <si>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</si>
  <si>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</si>
  <si>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</si>
  <si>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</si>
  <si>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</si>
  <si>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</si>
  <si>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</si>
  <si>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</si>
  <si>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</si>
  <si>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</si>
  <si>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</si>
  <si>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</si>
  <si>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</si>
  <si>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</si>
  <si>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</si>
  <si>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</si>
  <si>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</si>
  <si>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</si>
  <si>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</si>
  <si>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</si>
  <si>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</si>
  <si>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</si>
  <si>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</si>
  <si>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</si>
  <si>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</si>
  <si>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</si>
  <si>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</si>
  <si>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</si>
  <si>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</si>
  <si>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</si>
  <si>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</si>
  <si>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</si>
  <si>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</si>
  <si>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</si>
  <si>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</si>
  <si>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</si>
  <si>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</si>
  <si>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</si>
  <si>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</si>
  <si>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</si>
  <si>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</si>
  <si>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</si>
  <si>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</si>
  <si>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</si>
  <si>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</si>
  <si>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</si>
  <si>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</si>
  <si>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</si>
  <si>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</si>
  <si>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</si>
  <si>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</si>
  <si>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</si>
  <si>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</si>
  <si>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</si>
  <si>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</si>
  <si>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</si>
  <si>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</si>
  <si>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</si>
  <si>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</si>
  <si>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</si>
  <si>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</si>
  <si>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</si>
  <si>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</si>
  <si>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</si>
  <si>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</si>
  <si>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</si>
  <si>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</si>
  <si>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</si>
  <si>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</si>
  <si>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</si>
  <si>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</si>
  <si>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</si>
  <si>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</si>
  <si>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</si>
  <si>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</si>
  <si>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</si>
  <si>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</si>
  <si>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</si>
  <si>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</si>
  <si>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</si>
  <si>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</si>
  <si>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</si>
  <si>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</si>
  <si>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</si>
  <si>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</si>
  <si>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</si>
  <si>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</si>
  <si>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</si>
  <si>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</si>
  <si>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</si>
  <si>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</si>
  <si>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</si>
  <si>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</si>
  <si>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</si>
  <si>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</si>
  <si>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</si>
  <si>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</si>
  <si>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</si>
  <si>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</si>
  <si>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</si>
  <si>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</si>
  <si>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</si>
  <si>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</si>
  <si>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</si>
  <si>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</si>
  <si>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</si>
  <si>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</si>
  <si>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</si>
  <si>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</si>
  <si>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</si>
  <si>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</si>
  <si>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</si>
  <si>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</si>
  <si>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</si>
  <si>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</si>
  <si>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</si>
  <si>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</si>
  <si>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</si>
  <si>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</si>
  <si>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</si>
  <si>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</si>
  <si>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</si>
  <si>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</si>
  <si>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</si>
  <si>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</si>
  <si>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</si>
  <si>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</si>
  <si>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</si>
  <si>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</si>
  <si>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</si>
  <si>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</si>
  <si>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</si>
  <si>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</si>
  <si>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</si>
  <si>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</si>
  <si>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</si>
  <si>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</si>
  <si>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</si>
  <si>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</si>
  <si>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</si>
  <si>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</si>
  <si>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</si>
  <si>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</si>
  <si>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</si>
  <si>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</si>
  <si>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</si>
  <si>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</si>
  <si>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</si>
  <si>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</si>
  <si>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</si>
  <si>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</si>
  <si>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</si>
  <si>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</si>
  <si>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</si>
  <si>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</si>
  <si>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</si>
  <si>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</si>
  <si>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</si>
  <si>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</si>
  <si>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</si>
  <si>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</si>
  <si>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</si>
  <si>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</si>
  <si>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</si>
  <si>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</si>
  <si>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</si>
  <si>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</si>
  <si>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</si>
  <si>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</si>
  <si>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</si>
  <si>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</si>
  <si>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</si>
  <si>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</si>
  <si>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</si>
  <si>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</si>
  <si>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</si>
  <si>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</si>
  <si>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</si>
  <si>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</si>
  <si>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</si>
  <si>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</si>
  <si>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</si>
  <si>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</si>
  <si>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</si>
  <si>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</si>
  <si>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</si>
  <si>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</si>
  <si>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</si>
  <si>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</si>
  <si>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</si>
  <si>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</si>
  <si>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</si>
  <si>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</si>
  <si>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</si>
  <si>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</si>
  <si>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</si>
  <si>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</si>
  <si>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</si>
  <si>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</si>
  <si>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</si>
  <si>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</si>
  <si>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</si>
  <si>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</si>
  <si>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</si>
  <si>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</si>
  <si>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</si>
  <si>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</si>
  <si>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</si>
  <si>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</si>
  <si>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</si>
  <si>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</si>
  <si>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</si>
  <si>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</si>
  <si>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</si>
  <si>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</si>
  <si>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</si>
  <si>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</si>
  <si>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</si>
  <si>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</si>
  <si>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</si>
  <si>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</si>
  <si>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</si>
  <si>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</si>
  <si>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</si>
  <si>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</si>
  <si>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</si>
  <si>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</si>
  <si>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</si>
  <si>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</si>
  <si>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</si>
  <si>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</si>
  <si>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</si>
  <si>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</si>
  <si>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</si>
  <si>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</si>
  <si>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</si>
  <si>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</si>
  <si>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</si>
  <si>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</si>
  <si>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</si>
  <si>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</si>
  <si>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</si>
  <si>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</si>
  <si>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</si>
  <si>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</si>
  <si>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</si>
  <si>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</si>
  <si>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</si>
  <si>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</si>
  <si>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</si>
  <si>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</si>
  <si>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</si>
  <si>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</si>
  <si>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</si>
  <si>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</si>
  <si>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</si>
  <si>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</si>
  <si>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</si>
  <si>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</si>
  <si>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</si>
  <si>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</si>
  <si>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</si>
  <si>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</si>
  <si>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</si>
  <si>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</si>
  <si>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</si>
  <si>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</si>
  <si>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</si>
  <si>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</si>
  <si>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</si>
  <si>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</si>
  <si>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</si>
  <si>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</si>
  <si>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</si>
  <si>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</si>
  <si>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</si>
  <si>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</si>
  <si>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</si>
  <si>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</si>
  <si>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</si>
  <si>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</si>
  <si>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</si>
  <si>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</si>
  <si>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</si>
  <si>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</si>
  <si>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</si>
  <si>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</si>
  <si>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</si>
  <si>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</si>
  <si>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</si>
  <si>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</si>
  <si>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</si>
  <si>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</si>
  <si>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</si>
  <si>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</si>
  <si>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</si>
  <si>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</si>
  <si>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</si>
  <si>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</si>
  <si>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</si>
  <si>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</si>
  <si>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</si>
  <si>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</si>
  <si>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</si>
  <si>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</si>
  <si>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</si>
  <si>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</si>
  <si>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</si>
  <si>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</si>
  <si>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</si>
  <si>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</si>
  <si>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</si>
  <si>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</si>
  <si>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</si>
  <si>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</si>
  <si>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</si>
  <si>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</si>
  <si>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</si>
  <si>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</si>
  <si>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</si>
  <si>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</si>
  <si>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</si>
  <si>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</si>
  <si>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</si>
  <si>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</si>
  <si>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</si>
  <si>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</si>
  <si>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</si>
  <si>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</si>
  <si>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</si>
  <si>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</si>
  <si>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</si>
  <si>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</si>
  <si>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</si>
  <si>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</si>
  <si>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</si>
  <si>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</si>
  <si>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</si>
  <si>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</si>
  <si>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</si>
  <si>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</si>
  <si>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</si>
  <si>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</si>
  <si>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</si>
  <si>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</si>
  <si>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</si>
  <si>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</si>
  <si>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</si>
  <si>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</si>
  <si>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</si>
  <si>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</si>
  <si>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</si>
  <si>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</si>
  <si>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</si>
  <si>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</si>
  <si>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</si>
  <si>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</si>
  <si>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</si>
  <si>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</si>
  <si>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</si>
  <si>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</si>
  <si>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</si>
  <si>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</si>
  <si>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</si>
  <si>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</si>
  <si>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</si>
  <si>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</si>
  <si>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</si>
  <si>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</si>
  <si>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</si>
  <si>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</si>
  <si>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</si>
  <si>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</si>
  <si>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</si>
  <si>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</si>
  <si>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</si>
  <si>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</si>
  <si>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</si>
  <si>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</si>
  <si>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</si>
  <si>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</si>
  <si>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</si>
  <si>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</si>
  <si>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</si>
  <si>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</si>
  <si>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</si>
  <si>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</si>
  <si>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</si>
  <si>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</si>
  <si>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</si>
  <si>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</si>
  <si>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</si>
  <si>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</si>
  <si>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</si>
  <si>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</si>
  <si>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</si>
  <si>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</si>
  <si>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</si>
  <si>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</si>
  <si>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</si>
  <si>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</si>
  <si>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</si>
  <si>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</si>
  <si>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</si>
  <si>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</si>
  <si>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</si>
  <si>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</si>
  <si>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</si>
  <si>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</si>
  <si>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</si>
  <si>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</si>
  <si>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</si>
  <si>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</si>
  <si>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</si>
  <si>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</si>
  <si>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</si>
  <si>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</si>
  <si>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</si>
  <si>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</si>
  <si>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</si>
  <si>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</si>
  <si>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</si>
  <si>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</si>
  <si>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</si>
  <si>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</si>
  <si>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</si>
  <si>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</si>
  <si>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</si>
  <si>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</si>
  <si>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</si>
  <si>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</si>
  <si>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</si>
  <si>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</si>
  <si>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</si>
  <si>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</si>
  <si>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</si>
  <si>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</si>
  <si>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</si>
  <si>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</si>
  <si>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</si>
  <si>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</si>
  <si>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</si>
  <si>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</si>
  <si>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</si>
  <si>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</si>
  <si>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</si>
  <si>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</si>
  <si>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</si>
  <si>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</si>
  <si>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</si>
  <si>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</si>
  <si>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</si>
  <si>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</si>
  <si>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</si>
  <si>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</si>
  <si>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</si>
  <si>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</si>
  <si>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</si>
  <si>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</si>
  <si>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</si>
  <si>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</si>
  <si>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</si>
  <si>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</si>
  <si>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</si>
  <si>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</si>
  <si>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</si>
  <si>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</si>
  <si>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</si>
  <si>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</si>
  <si>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</si>
  <si>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</si>
  <si>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</si>
  <si>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</si>
  <si>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</si>
  <si>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</si>
  <si>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</si>
  <si>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</si>
  <si>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</si>
  <si>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</si>
  <si>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</si>
  <si>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</si>
  <si>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</si>
  <si>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</si>
  <si>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</si>
  <si>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</si>
  <si>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</si>
  <si>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</si>
  <si>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</si>
  <si>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</si>
  <si>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</si>
  <si>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</si>
  <si>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</si>
  <si>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</si>
  <si>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</si>
  <si>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</si>
  <si>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</si>
  <si>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</si>
  <si>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</si>
  <si>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</si>
  <si>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</si>
  <si>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</si>
  <si>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</si>
  <si>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</si>
  <si>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</si>
  <si>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</si>
  <si>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</si>
  <si>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</si>
  <si>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</si>
  <si>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</si>
  <si>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</si>
  <si>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</si>
  <si>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</si>
  <si>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</si>
  <si>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</si>
  <si>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</si>
  <si>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</si>
  <si>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</si>
  <si>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</si>
  <si>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</si>
  <si>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</si>
  <si>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</si>
  <si>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</si>
  <si>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</si>
  <si>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</si>
  <si>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</si>
  <si>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</si>
  <si>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</si>
  <si>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</si>
  <si>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</si>
  <si>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</si>
  <si>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</si>
  <si>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</si>
  <si>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</si>
  <si>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</si>
  <si>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</si>
  <si>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</si>
  <si>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</si>
  <si>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</si>
  <si>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</si>
  <si>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</si>
  <si>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</si>
  <si>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</si>
  <si>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</si>
  <si>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</si>
  <si>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</si>
  <si>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</si>
  <si>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</si>
  <si>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</si>
  <si>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</si>
  <si>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</si>
  <si>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</si>
  <si>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</si>
  <si>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</si>
  <si>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</si>
  <si>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</si>
  <si>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</si>
  <si>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</si>
  <si>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</si>
  <si>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</si>
  <si>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</si>
  <si>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</si>
  <si>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</si>
  <si>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</si>
  <si>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</si>
  <si>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</si>
  <si>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</si>
  <si>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</si>
  <si>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</si>
  <si>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</si>
  <si>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</si>
  <si>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</si>
  <si>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</si>
  <si>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</si>
  <si>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</si>
  <si>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</si>
  <si>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</si>
  <si>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</si>
  <si>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</si>
  <si>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</si>
  <si>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</si>
  <si>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</si>
  <si>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</si>
  <si>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</si>
  <si>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</si>
  <si>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</si>
  <si>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</si>
  <si>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</si>
  <si>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</si>
  <si>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</si>
  <si>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</si>
  <si>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</si>
  <si>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</si>
  <si>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</si>
  <si>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</si>
  <si>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</si>
  <si>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</si>
  <si>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</si>
  <si>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</si>
  <si>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</si>
  <si>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</si>
  <si>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</si>
  <si>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</si>
  <si>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</si>
  <si>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</si>
  <si>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</si>
  <si>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</si>
  <si>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</si>
  <si>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</si>
  <si>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</si>
  <si>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</si>
  <si>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</si>
  <si>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</si>
  <si>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</si>
  <si>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</si>
  <si>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</si>
  <si>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</si>
  <si>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</si>
  <si>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</si>
  <si>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</si>
  <si>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</si>
  <si>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</si>
  <si>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</si>
  <si>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</si>
  <si>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</si>
  <si>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</si>
  <si>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</si>
  <si>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</si>
  <si>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</si>
  <si>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</si>
  <si>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</si>
  <si>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</si>
  <si>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</si>
  <si>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</si>
  <si>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</si>
  <si>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</si>
  <si>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</si>
  <si>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</si>
  <si>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</si>
  <si>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</si>
  <si>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</si>
  <si>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</si>
  <si>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</si>
  <si>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</si>
  <si>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</si>
  <si>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</si>
  <si>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</si>
  <si>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</si>
  <si>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</si>
  <si>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</si>
  <si>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</si>
  <si>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</si>
  <si>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</si>
  <si>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</si>
  <si>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</si>
  <si>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</si>
  <si>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</si>
  <si>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</si>
  <si>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</si>
  <si>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</si>
  <si>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</si>
  <si>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</si>
  <si>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</si>
  <si>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</si>
  <si>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</si>
  <si>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</si>
  <si>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</si>
  <si>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</si>
  <si>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</si>
  <si>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</si>
  <si>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</si>
  <si>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</si>
  <si>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</si>
  <si>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</si>
  <si>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</si>
  <si>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</si>
  <si>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</si>
  <si>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</si>
  <si>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</si>
  <si>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</si>
  <si>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</si>
  <si>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</si>
  <si>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</si>
  <si>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</si>
  <si>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</si>
  <si>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</si>
  <si>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</si>
  <si>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</si>
  <si>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</si>
  <si>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</si>
  <si>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</si>
  <si>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</si>
  <si>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</si>
  <si>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</si>
  <si>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</si>
  <si>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</si>
  <si>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</si>
  <si>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</si>
  <si>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</si>
  <si>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</si>
  <si>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</si>
  <si>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</si>
  <si>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</si>
  <si>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</si>
  <si>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</si>
  <si>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</si>
  <si>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</si>
  <si>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</si>
  <si>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</si>
  <si>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</si>
  <si>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</si>
  <si>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</si>
  <si>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</si>
  <si>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</si>
  <si>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</si>
  <si>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</si>
  <si>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</si>
  <si>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</si>
  <si>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</si>
  <si>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</si>
  <si>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</si>
  <si>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</si>
  <si>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</si>
  <si>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</si>
  <si>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</si>
  <si>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</si>
  <si>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</si>
  <si>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</si>
  <si>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</si>
  <si>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</si>
  <si>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</si>
  <si>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</si>
  <si>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</si>
  <si>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</si>
  <si>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</si>
  <si>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</si>
  <si>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</si>
  <si>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</si>
  <si>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</si>
  <si>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</si>
  <si>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</si>
  <si>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</si>
  <si>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</si>
  <si>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</si>
  <si>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</si>
  <si>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</si>
  <si>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</si>
  <si>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</si>
  <si>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</si>
  <si>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</si>
  <si>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</si>
  <si>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</si>
  <si>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</si>
  <si>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</si>
  <si>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</si>
  <si>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</si>
  <si>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</si>
  <si>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</si>
  <si>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</si>
  <si>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</si>
  <si>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</si>
  <si>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</si>
  <si>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</si>
  <si>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</si>
  <si>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</si>
  <si>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</si>
  <si>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</si>
  <si>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</si>
  <si>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</si>
  <si>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</si>
  <si>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</si>
  <si>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</si>
  <si>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</si>
  <si>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</si>
  <si>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</si>
  <si>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</si>
  <si>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</si>
  <si>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</si>
  <si>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</si>
  <si>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</si>
  <si>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</si>
  <si>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</si>
  <si>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</si>
  <si>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</si>
  <si>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</si>
  <si>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</si>
  <si>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</si>
  <si>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</si>
  <si>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</si>
  <si>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</si>
  <si>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</si>
  <si>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</si>
  <si>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</si>
  <si>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</si>
  <si>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</si>
  <si>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</si>
  <si>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</si>
  <si>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</si>
  <si>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</si>
  <si>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</si>
  <si>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</si>
  <si>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</si>
  <si>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</si>
  <si>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</si>
  <si>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</si>
  <si>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</si>
  <si>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</si>
  <si>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</si>
  <si>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</si>
  <si>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</si>
  <si>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</si>
  <si>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</si>
  <si>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</si>
  <si>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</si>
  <si>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</si>
  <si>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</si>
  <si>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</si>
  <si>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</si>
  <si>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</si>
  <si>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</si>
  <si>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</si>
  <si>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</si>
  <si>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</si>
  <si>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</si>
  <si>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</si>
  <si>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</si>
  <si>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</si>
  <si>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</si>
  <si>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</si>
  <si>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</si>
  <si>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</si>
  <si>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</si>
  <si>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</si>
  <si>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</si>
  <si>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</si>
  <si>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</si>
  <si>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</si>
  <si>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</si>
  <si>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</si>
  <si>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</si>
  <si>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</si>
  <si>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</si>
  <si>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</si>
  <si>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</si>
  <si>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</si>
  <si>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</si>
  <si>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</si>
  <si>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</si>
  <si>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</si>
  <si>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</si>
  <si>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</si>
  <si>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</si>
  <si>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</si>
  <si>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</si>
  <si>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</si>
  <si>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</si>
  <si>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</si>
  <si>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</si>
  <si>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</si>
  <si>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</si>
  <si>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</si>
  <si>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</si>
  <si>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</si>
  <si>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</si>
  <si>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</si>
  <si>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</si>
  <si>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</si>
  <si>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</si>
  <si>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</si>
  <si>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</si>
  <si>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</si>
  <si>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</si>
  <si>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</si>
  <si>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</si>
  <si>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</si>
  <si>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</si>
  <si>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</si>
  <si>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</si>
  <si>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</si>
  <si>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</si>
  <si>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</si>
  <si>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</si>
  <si>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</si>
  <si>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</si>
  <si>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</si>
  <si>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</si>
  <si>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</si>
  <si>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</si>
  <si>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</si>
  <si>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</si>
  <si>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</si>
  <si>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</si>
  <si>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</si>
  <si>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</si>
  <si>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</si>
  <si>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</si>
  <si>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</si>
  <si>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</si>
  <si>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</si>
  <si>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</si>
  <si>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</si>
  <si>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</si>
  <si>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</si>
  <si>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</si>
  <si>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</si>
  <si>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</si>
  <si>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</si>
  <si>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</si>
  <si>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</si>
  <si>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</si>
  <si>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</si>
  <si>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</si>
  <si>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</si>
  <si>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</si>
  <si>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</si>
  <si>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</si>
  <si>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</si>
  <si>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</si>
  <si>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</si>
  <si>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</si>
  <si>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</si>
  <si>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</si>
  <si>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</si>
  <si>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</si>
  <si>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</si>
  <si>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</si>
  <si>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</si>
  <si>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</si>
  <si>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</si>
  <si>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</si>
  <si>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</si>
  <si>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</si>
  <si>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</si>
  <si>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</si>
  <si>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</si>
  <si>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</si>
  <si>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</si>
  <si>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</si>
  <si>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</si>
  <si>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</si>
  <si>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</si>
  <si>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</si>
  <si>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</si>
  <si>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</si>
  <si>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</si>
  <si>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</si>
  <si>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</si>
  <si>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</si>
  <si>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</si>
  <si>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</si>
  <si>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</si>
  <si>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</si>
  <si>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</si>
  <si>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</si>
  <si>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</si>
  <si>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</si>
  <si>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</si>
  <si>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</si>
  <si>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</si>
  <si>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</si>
  <si>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</si>
  <si>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</si>
  <si>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</si>
  <si>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</si>
  <si>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</si>
  <si>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</si>
  <si>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</si>
  <si>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</si>
  <si>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</si>
  <si>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</si>
  <si>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</si>
  <si>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</si>
  <si>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</si>
  <si>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</si>
  <si>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</si>
  <si>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</si>
  <si>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</si>
  <si>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</si>
  <si>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</si>
  <si>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</si>
  <si>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</si>
  <si>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</si>
  <si>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</si>
  <si>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</si>
  <si>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</si>
  <si>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</si>
  <si>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</si>
  <si>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</si>
  <si>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</si>
  <si>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</si>
  <si>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</si>
  <si>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</si>
  <si>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</si>
  <si>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</si>
  <si>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</si>
  <si>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</si>
  <si>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</si>
  <si>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</si>
  <si>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</si>
  <si>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</si>
  <si>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</si>
  <si>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</si>
  <si>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</si>
  <si>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</si>
  <si>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</si>
  <si>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</si>
  <si>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</si>
  <si>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</si>
  <si>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</si>
  <si>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</si>
  <si>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</si>
  <si>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</si>
  <si>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</si>
  <si>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</si>
  <si>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</si>
  <si>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</si>
  <si>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</si>
  <si>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</si>
  <si>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</si>
  <si>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</si>
  <si>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</si>
  <si>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</si>
  <si>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</si>
  <si>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</si>
  <si>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</si>
  <si>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</si>
  <si>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</si>
  <si>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</si>
  <si>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</si>
  <si>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</si>
  <si>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</si>
  <si>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</si>
  <si>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</si>
  <si>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</si>
  <si>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</si>
  <si>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</si>
  <si>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</si>
  <si>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</si>
  <si>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</si>
  <si>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</si>
  <si>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</si>
  <si>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</si>
  <si>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</si>
  <si>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</si>
  <si>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</si>
  <si>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</si>
  <si>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</si>
  <si>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</si>
  <si>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</si>
  <si>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</si>
  <si>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</si>
  <si>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</si>
  <si>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</si>
  <si>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</si>
  <si>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</si>
  <si>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</si>
  <si>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</si>
  <si>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</si>
  <si>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</si>
  <si>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</si>
  <si>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</si>
  <si>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</si>
  <si>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</si>
  <si>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</si>
  <si>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</si>
  <si>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</si>
  <si>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</si>
  <si>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</si>
  <si>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</si>
  <si>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</si>
  <si>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</si>
  <si>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</si>
  <si>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</si>
  <si>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</si>
  <si>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</si>
  <si>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</si>
  <si>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</si>
  <si>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</si>
  <si>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</si>
  <si>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</si>
  <si>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</si>
  <si>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</si>
  <si>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</si>
  <si>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</si>
  <si>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</si>
  <si>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</si>
  <si>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</si>
  <si>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</si>
  <si>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</si>
  <si>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</si>
  <si>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</si>
  <si>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</si>
  <si>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</si>
  <si>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</si>
  <si>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</si>
  <si>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</si>
  <si>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</si>
  <si>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</si>
  <si>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</si>
  <si>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</si>
  <si>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</si>
  <si>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</si>
  <si>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</si>
  <si>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</si>
  <si>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</si>
  <si>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</si>
  <si>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</si>
  <si>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</si>
  <si>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</si>
  <si>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</si>
  <si>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</si>
  <si>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</si>
  <si>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</si>
  <si>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</si>
  <si>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</si>
  <si>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</si>
  <si>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</si>
  <si>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</si>
  <si>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</si>
  <si>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</si>
  <si>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</si>
  <si>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</si>
  <si>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</si>
  <si>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</si>
  <si>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</si>
  <si>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</si>
  <si>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</si>
  <si>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</si>
  <si>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</si>
  <si>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</si>
  <si>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</si>
  <si>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</si>
  <si>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</si>
  <si>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</si>
  <si>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</si>
  <si>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</si>
  <si>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</si>
  <si>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</si>
  <si>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</si>
  <si>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</si>
  <si>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</si>
  <si>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</si>
  <si>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</si>
  <si>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</si>
  <si>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</si>
  <si>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</si>
  <si>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</si>
  <si>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</si>
  <si>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</si>
  <si>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</si>
  <si>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</si>
  <si>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</si>
  <si>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</si>
  <si>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</si>
  <si>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</si>
  <si>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</si>
  <si>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</si>
  <si>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</si>
  <si>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</si>
  <si>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</si>
  <si>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</si>
  <si>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</si>
  <si>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</si>
  <si>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</si>
  <si>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</si>
  <si>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</si>
  <si>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</si>
  <si>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</si>
  <si>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</si>
  <si>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</si>
  <si>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</si>
  <si>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</si>
  <si>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</si>
  <si>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</si>
  <si>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</si>
  <si>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</si>
  <si>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</si>
  <si>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</si>
  <si>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</si>
  <si>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</si>
  <si>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</si>
  <si>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</si>
  <si>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</si>
  <si>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</si>
  <si>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</si>
  <si>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</si>
  <si>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</si>
  <si>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</si>
  <si>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</si>
  <si>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</si>
  <si>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</si>
  <si>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</si>
  <si>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</si>
  <si>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</si>
  <si>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</si>
  <si>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</si>
  <si>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</si>
  <si>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</si>
  <si>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</si>
  <si>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</si>
  <si>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</si>
  <si>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</si>
  <si>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</si>
  <si>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</si>
  <si>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</si>
  <si>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</si>
  <si>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</si>
  <si>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</si>
  <si>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</si>
  <si>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</si>
  <si>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</si>
  <si>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</si>
  <si>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</si>
  <si>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</si>
  <si>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</si>
  <si>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</si>
  <si>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</si>
  <si>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</si>
  <si>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</si>
  <si>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</si>
  <si>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</si>
  <si>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</si>
  <si>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</si>
  <si>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</si>
  <si>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</si>
  <si>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</si>
  <si>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</si>
  <si>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</si>
  <si>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</si>
  <si>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</si>
  <si>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</si>
  <si>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</si>
  <si>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</si>
  <si>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</si>
  <si>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</si>
  <si>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</si>
  <si>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</si>
  <si>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</si>
  <si>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</si>
  <si>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</si>
  <si>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</si>
  <si>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</si>
  <si>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</si>
  <si>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</si>
  <si>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</si>
  <si>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</si>
  <si>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</si>
  <si>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</si>
  <si>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</si>
  <si>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</si>
  <si>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</si>
  <si>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</si>
  <si>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</si>
  <si>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</si>
  <si>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</si>
  <si>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</si>
  <si>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</si>
  <si>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</si>
  <si>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</si>
  <si>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</si>
  <si>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</si>
  <si>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</si>
  <si>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</si>
  <si>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</si>
  <si>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</si>
  <si>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</si>
  <si>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</si>
  <si>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</si>
  <si>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</si>
  <si>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</si>
  <si>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</si>
  <si>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</si>
  <si>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</si>
  <si>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</si>
  <si>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</si>
  <si>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</si>
  <si>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</si>
  <si>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</si>
  <si>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</si>
  <si>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</si>
  <si>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</si>
  <si>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</si>
  <si>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</si>
  <si>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</si>
  <si>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</si>
  <si>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</si>
  <si>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</si>
  <si>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</si>
  <si>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</si>
  <si>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</si>
  <si>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</si>
  <si>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</si>
  <si>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</si>
  <si>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</si>
  <si>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</si>
  <si>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</si>
  <si>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</si>
  <si>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</si>
  <si>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</si>
  <si>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</si>
  <si>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</si>
  <si>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</si>
  <si>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</si>
  <si>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</si>
  <si>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</si>
  <si>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</si>
  <si>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</si>
  <si>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</si>
  <si>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</si>
  <si>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</si>
  <si>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</si>
  <si>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</si>
  <si>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</si>
  <si>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</si>
  <si>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</si>
  <si>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</si>
  <si>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</si>
  <si>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</si>
  <si>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</si>
  <si>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</si>
  <si>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</si>
  <si>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</si>
  <si>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</si>
  <si>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</si>
  <si>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</si>
  <si>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</si>
  <si>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</si>
  <si>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</si>
  <si>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</si>
  <si>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</si>
  <si>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</si>
  <si>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</si>
  <si>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</si>
  <si>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</si>
  <si>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</si>
  <si>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</si>
  <si>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</si>
  <si>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</si>
  <si>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</si>
  <si>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</si>
  <si>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</si>
  <si>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</si>
  <si>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</si>
  <si>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</si>
  <si>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</si>
  <si>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</si>
  <si>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</si>
  <si>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</si>
  <si>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</si>
  <si>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</si>
  <si>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</si>
  <si>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</si>
  <si>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</si>
  <si>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</si>
  <si>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</si>
  <si>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</si>
  <si>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</si>
  <si>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</si>
  <si>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</si>
  <si>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</si>
  <si>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</si>
  <si>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</si>
  <si>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</si>
  <si>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</si>
  <si>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</si>
  <si>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</si>
  <si>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</si>
  <si>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</si>
  <si>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</si>
  <si>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</si>
  <si>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</si>
  <si>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</si>
  <si>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</si>
  <si>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</si>
  <si>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</si>
  <si>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</si>
  <si>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</si>
  <si>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</si>
  <si>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</si>
  <si>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</si>
  <si>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</si>
  <si>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</si>
  <si>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</si>
  <si>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</si>
  <si>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</si>
  <si>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</si>
  <si>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</si>
  <si>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</si>
  <si>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</si>
  <si>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</si>
  <si>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</si>
  <si>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</si>
  <si>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</si>
  <si>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</si>
  <si>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</si>
  <si>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</si>
  <si>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</si>
  <si>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</si>
  <si>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</si>
  <si>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</si>
  <si>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</si>
  <si>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</si>
  <si>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</si>
  <si>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</si>
  <si>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</si>
  <si>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</si>
  <si>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</si>
  <si>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</si>
  <si>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</si>
  <si>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</si>
  <si>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</si>
  <si>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</si>
  <si>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</si>
  <si>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</si>
  <si>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</si>
  <si>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</si>
  <si>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</si>
  <si>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</si>
  <si>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</si>
  <si>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</si>
  <si>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</si>
  <si>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</si>
  <si>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</si>
  <si>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</si>
  <si>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</si>
  <si>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</si>
  <si>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</si>
  <si>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</si>
  <si>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</si>
  <si>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</si>
  <si>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</si>
  <si>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</si>
  <si>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</si>
  <si>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</si>
  <si>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</si>
  <si>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</si>
  <si>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</si>
  <si>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</si>
  <si>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</si>
  <si>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</si>
  <si>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</si>
  <si>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</si>
  <si>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</si>
  <si>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</si>
  <si>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</si>
  <si>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</si>
  <si>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</si>
  <si>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</si>
  <si>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</si>
  <si>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</si>
  <si>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</si>
  <si>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</si>
  <si>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</si>
  <si>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</si>
  <si>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</si>
  <si>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</si>
  <si>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</si>
  <si>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</si>
  <si>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</si>
  <si>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</si>
  <si>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</si>
  <si>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</si>
  <si>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</si>
  <si>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</si>
  <si>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</si>
  <si>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</si>
  <si>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</si>
  <si>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</si>
  <si>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</si>
  <si>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</si>
  <si>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</si>
  <si>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</si>
  <si>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</si>
  <si>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</si>
  <si>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</si>
  <si>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</si>
  <si>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</si>
  <si>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</si>
  <si>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</si>
  <si>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</si>
  <si>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</si>
  <si>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</si>
  <si>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</si>
  <si>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</si>
  <si>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</si>
  <si>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</si>
  <si>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</si>
  <si>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</si>
  <si>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</si>
  <si>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</si>
  <si>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</si>
  <si>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</si>
  <si>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</si>
  <si>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</si>
  <si>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</si>
  <si>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</si>
  <si>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</si>
  <si>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</si>
  <si>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</si>
  <si>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</si>
  <si>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</si>
  <si>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</si>
  <si>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</si>
  <si>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</si>
  <si>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</si>
  <si>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</si>
  <si>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</si>
  <si>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</si>
  <si>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</si>
  <si>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</si>
  <si>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</si>
  <si>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</si>
  <si>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</si>
  <si>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</si>
  <si>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</si>
  <si>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</si>
  <si>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</si>
  <si>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</si>
  <si>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</si>
  <si>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</si>
  <si>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</si>
  <si>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</si>
  <si>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</si>
  <si>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</si>
  <si>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</si>
  <si>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</si>
  <si>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</si>
  <si>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</si>
  <si>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</si>
  <si>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</si>
  <si>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</si>
  <si>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</si>
  <si>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</si>
  <si>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</si>
  <si>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</si>
  <si>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</si>
  <si>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</si>
  <si>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</si>
  <si>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</si>
  <si>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</si>
  <si>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</si>
  <si>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</si>
  <si>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</si>
  <si>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</si>
  <si>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</si>
  <si>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</si>
  <si>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</si>
  <si>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</si>
  <si>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</si>
  <si>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</si>
  <si>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</si>
  <si>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</si>
  <si>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</si>
  <si>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</si>
  <si>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</si>
  <si>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</si>
  <si>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</si>
  <si>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</si>
  <si>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</si>
  <si>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</si>
  <si>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</si>
  <si>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</si>
  <si>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</si>
  <si>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</si>
  <si>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</si>
  <si>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</si>
  <si>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</si>
  <si>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</si>
  <si>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</si>
  <si>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</si>
  <si>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</si>
  <si>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</si>
  <si>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</si>
  <si>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</si>
  <si>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</si>
  <si>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</si>
  <si>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</si>
  <si>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</si>
  <si>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</si>
  <si>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</si>
  <si>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</si>
  <si>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</si>
  <si>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</si>
  <si>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</si>
  <si>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</si>
  <si>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</si>
  <si>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</si>
  <si>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</si>
  <si>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</si>
  <si>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</si>
  <si>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</si>
  <si>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</si>
  <si>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</si>
  <si>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</si>
  <si>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</si>
  <si>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</si>
  <si>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</si>
  <si>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</si>
  <si>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</si>
  <si>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</si>
  <si>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</si>
  <si>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</si>
  <si>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</si>
  <si>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</si>
  <si>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</si>
  <si>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</si>
  <si>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</si>
  <si>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</si>
  <si>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</si>
  <si>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</si>
  <si>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</si>
  <si>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</si>
  <si>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</si>
  <si>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</si>
  <si>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</si>
  <si>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</si>
  <si>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</si>
  <si>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</si>
  <si>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</si>
  <si>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</si>
  <si>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</si>
  <si>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</si>
  <si>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</si>
  <si>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</si>
  <si>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</si>
  <si>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</si>
  <si>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</si>
  <si>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</si>
  <si>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</si>
  <si>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</si>
  <si>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</si>
  <si>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</si>
  <si>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</si>
  <si>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</si>
  <si>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</si>
  <si>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</si>
  <si>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</si>
  <si>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</si>
  <si>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</si>
  <si>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</si>
  <si>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</si>
  <si>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</si>
  <si>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</si>
  <si>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</si>
  <si>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</si>
  <si>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</si>
  <si>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</si>
  <si>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</si>
  <si>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</si>
  <si>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</si>
  <si>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</si>
  <si>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</si>
  <si>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</si>
  <si>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</si>
  <si>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</si>
  <si>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</si>
  <si>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</si>
  <si>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</si>
  <si>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</si>
  <si>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</si>
  <si>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</si>
  <si>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</si>
  <si>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</si>
  <si>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</si>
  <si>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</si>
  <si>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</si>
  <si>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</si>
  <si>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</si>
  <si>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</si>
  <si>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</si>
  <si>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</si>
  <si>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</si>
  <si>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</si>
  <si>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</si>
  <si>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</si>
  <si>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</si>
  <si>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</si>
  <si>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</si>
  <si>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</si>
  <si>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</si>
  <si>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</si>
  <si>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</si>
  <si>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</si>
  <si>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</si>
  <si>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</si>
  <si>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</si>
  <si>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</si>
  <si>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</si>
  <si>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</si>
  <si>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</si>
  <si>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</si>
  <si>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</si>
  <si>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</si>
  <si>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</si>
  <si>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</si>
  <si>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</si>
  <si>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</si>
  <si>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</si>
  <si>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</si>
  <si>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</si>
  <si>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</si>
  <si>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</si>
  <si>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</si>
  <si>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</si>
  <si>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</si>
  <si>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</si>
  <si>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</si>
  <si>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</si>
  <si>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</si>
  <si>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</si>
  <si>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</si>
  <si>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</si>
  <si>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</si>
  <si>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</si>
  <si>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</si>
  <si>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</si>
  <si>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</si>
  <si>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</si>
  <si>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</si>
  <si>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</si>
  <si>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</si>
  <si>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</si>
  <si>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</si>
  <si>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</si>
  <si>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</si>
  <si>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</si>
  <si>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</si>
  <si>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</si>
  <si>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</si>
  <si>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</si>
  <si>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</si>
  <si>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</si>
  <si>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</si>
  <si>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</si>
  <si>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</si>
  <si>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</si>
  <si>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</si>
  <si>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</si>
  <si>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</si>
  <si>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</si>
  <si>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</si>
  <si>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</si>
  <si>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</si>
  <si>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</si>
  <si>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</si>
  <si>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</si>
  <si>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</si>
  <si>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</si>
  <si>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</si>
  <si>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</si>
  <si>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</si>
  <si>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</si>
  <si>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</si>
  <si>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</si>
  <si>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</si>
  <si>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</si>
  <si>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</si>
  <si>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</si>
  <si>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</si>
  <si>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</si>
  <si>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</si>
  <si>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</si>
  <si>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</si>
  <si>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</si>
  <si>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</si>
  <si>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</si>
  <si>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</si>
  <si>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</si>
  <si>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</si>
  <si>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</si>
  <si>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</si>
  <si>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</si>
  <si>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</si>
  <si>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</si>
  <si>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</si>
  <si>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</si>
  <si>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</si>
  <si>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</si>
  <si>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</si>
  <si>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</si>
  <si>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</si>
  <si>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</si>
  <si>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</si>
  <si>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</si>
  <si>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</si>
  <si>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</si>
  <si>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</si>
  <si>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</si>
  <si>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</si>
  <si>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</si>
  <si>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</si>
  <si>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</si>
  <si>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</si>
  <si>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</si>
  <si>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</si>
  <si>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</si>
  <si>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</si>
  <si>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</si>
  <si>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</si>
  <si>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</si>
  <si>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</si>
  <si>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</si>
  <si>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</si>
  <si>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</si>
  <si>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</si>
  <si>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</si>
  <si>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</si>
  <si>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</si>
  <si>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</si>
  <si>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</si>
  <si>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</si>
  <si>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</si>
  <si>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</si>
  <si>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</si>
  <si>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</si>
  <si>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</si>
  <si>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</si>
  <si>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</si>
  <si>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</si>
  <si>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</si>
  <si>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</si>
  <si>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</si>
  <si>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</si>
  <si>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</si>
  <si>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</si>
  <si>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</si>
  <si>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</si>
  <si>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</si>
  <si>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</si>
  <si>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</si>
  <si>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</si>
  <si>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</si>
  <si>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</si>
  <si>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</si>
  <si>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</si>
  <si>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</si>
  <si>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</si>
  <si>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</si>
  <si>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</si>
  <si>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</si>
  <si>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</si>
  <si>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</si>
  <si>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</si>
  <si>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</si>
  <si>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</si>
  <si>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</si>
  <si>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</si>
  <si>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</si>
  <si>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</si>
  <si>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</si>
  <si>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</si>
  <si>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</si>
  <si>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</si>
  <si>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</si>
  <si>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</si>
  <si>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</si>
  <si>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</si>
  <si>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</si>
  <si>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</si>
  <si>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</si>
  <si>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</si>
  <si>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</si>
  <si>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</si>
  <si>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</si>
  <si>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</si>
  <si>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</si>
  <si>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</si>
  <si>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</si>
  <si>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</si>
  <si>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</si>
  <si>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</si>
  <si>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</si>
  <si>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</si>
  <si>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</si>
  <si>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</si>
  <si>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</si>
  <si>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</si>
  <si>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</si>
  <si>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</si>
  <si>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</si>
  <si>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</si>
  <si>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</si>
  <si>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</si>
  <si>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</si>
  <si>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</si>
  <si>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</si>
  <si>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</si>
  <si>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</si>
  <si>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</si>
  <si>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</si>
  <si>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</si>
  <si>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</si>
  <si>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</si>
  <si>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</si>
  <si>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</si>
  <si>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</si>
  <si>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</si>
  <si>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</si>
  <si>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</si>
  <si>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</si>
  <si>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</si>
  <si>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</si>
  <si>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</si>
  <si>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</si>
  <si>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</si>
  <si>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</si>
  <si>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</si>
  <si>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</si>
  <si>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</si>
  <si>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</si>
  <si>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</si>
  <si>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</si>
  <si>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</si>
  <si>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</si>
  <si>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</si>
  <si>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</si>
  <si>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</si>
  <si>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</si>
  <si>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</si>
  <si>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</si>
  <si>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</si>
  <si>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</si>
  <si>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</si>
  <si>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</si>
  <si>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</si>
  <si>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</si>
  <si>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</si>
  <si>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</si>
  <si>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</si>
  <si>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</si>
  <si>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</si>
  <si>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</si>
  <si>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</si>
  <si>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</si>
  <si>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</si>
  <si>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</si>
  <si>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</si>
  <si>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</si>
  <si>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</si>
  <si>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</si>
  <si>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</si>
  <si>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</si>
  <si>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</si>
  <si>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</si>
  <si>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</si>
  <si>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</si>
  <si>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</si>
  <si>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</si>
  <si>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</si>
  <si>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</si>
  <si>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</si>
  <si>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</si>
  <si>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</si>
  <si>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</si>
  <si>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</si>
  <si>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</si>
  <si>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</si>
  <si>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</si>
  <si>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</si>
  <si>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</si>
  <si>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</si>
  <si>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</si>
  <si>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</si>
  <si>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</si>
  <si>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</si>
  <si>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</si>
  <si>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</si>
  <si>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</si>
  <si>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</si>
  <si>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</si>
  <si>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</si>
  <si>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</si>
  <si>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</si>
  <si>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</si>
  <si>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</si>
  <si>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</si>
  <si>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</si>
  <si>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</si>
  <si>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</si>
  <si>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</si>
  <si>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</si>
  <si>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</si>
  <si>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</si>
  <si>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</si>
  <si>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</si>
  <si>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</si>
  <si>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</si>
  <si>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</si>
  <si>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</si>
  <si>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</si>
  <si>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</si>
  <si>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</si>
  <si>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</si>
  <si>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</si>
  <si>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</si>
  <si>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</si>
  <si>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</si>
  <si>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</si>
  <si>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</si>
  <si>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</si>
  <si>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</si>
  <si>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</si>
  <si>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</si>
  <si>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</si>
  <si>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</si>
  <si>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</si>
  <si>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</si>
  <si>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</si>
  <si>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</si>
  <si>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</si>
  <si>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</si>
  <si>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</si>
  <si>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</si>
  <si>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</si>
  <si>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</si>
  <si>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</si>
  <si>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</si>
  <si>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</si>
  <si>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</si>
  <si>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</si>
  <si>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</si>
  <si>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</si>
  <si>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</si>
  <si>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</si>
  <si>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</si>
  <si>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</si>
  <si>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</si>
  <si>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</si>
  <si>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</si>
  <si>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</si>
  <si>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</si>
  <si>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</si>
  <si>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</si>
  <si>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</si>
  <si>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</si>
  <si>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</si>
  <si>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</si>
  <si>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</si>
  <si>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</si>
  <si>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</si>
  <si>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</si>
  <si>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</si>
  <si>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</si>
  <si>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</si>
  <si>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</si>
  <si>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</si>
  <si>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</si>
  <si>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</si>
  <si>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</si>
  <si>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</si>
  <si>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</si>
  <si>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</si>
  <si>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</si>
  <si>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</si>
  <si>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</si>
  <si>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</si>
  <si>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</si>
  <si>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</si>
  <si>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</si>
  <si>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</si>
  <si>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</si>
  <si>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</si>
  <si>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</si>
  <si>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</si>
  <si>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</si>
  <si>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</si>
  <si>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</si>
  <si>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</si>
  <si>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</si>
  <si>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</si>
  <si>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</si>
  <si>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</si>
  <si>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</si>
  <si>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</si>
  <si>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</si>
  <si>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</si>
  <si>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</si>
  <si>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</si>
  <si>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</si>
  <si>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</si>
  <si>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</si>
  <si>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</si>
  <si>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</si>
  <si>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</si>
  <si>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</si>
  <si>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</si>
  <si>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</si>
  <si>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</si>
  <si>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</si>
  <si>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</si>
  <si>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</si>
  <si>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</si>
  <si>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</si>
  <si>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</si>
  <si>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</si>
  <si>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</si>
  <si>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</si>
  <si>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</si>
  <si>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</si>
  <si>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</si>
  <si>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</si>
  <si>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</si>
  <si>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</si>
  <si>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</si>
  <si>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</si>
  <si>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</si>
  <si>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</si>
  <si>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</si>
  <si>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</si>
  <si>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</si>
  <si>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</si>
  <si>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</si>
  <si>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</si>
  <si>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</si>
  <si>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</si>
  <si>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</si>
  <si>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</si>
  <si>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</si>
  <si>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</si>
  <si>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</si>
  <si>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</si>
  <si>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</si>
  <si>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</si>
  <si>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</si>
  <si>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</si>
  <si>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</si>
  <si>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</si>
  <si>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</si>
  <si>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</si>
  <si>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</si>
  <si>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</si>
  <si>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</si>
  <si>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</si>
  <si>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</si>
  <si>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</si>
  <si>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</si>
  <si>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</si>
  <si>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</si>
  <si>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</si>
  <si>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</si>
  <si>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</si>
  <si>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</si>
  <si>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</si>
  <si>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</si>
  <si>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</si>
  <si>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</si>
  <si>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</si>
  <si>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</si>
  <si>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</si>
  <si>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</si>
  <si>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</si>
  <si>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</si>
  <si>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</si>
  <si>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</si>
  <si>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</si>
  <si>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</si>
  <si>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</si>
  <si>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</si>
  <si>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</si>
  <si>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</si>
  <si>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</si>
  <si>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</si>
  <si>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</si>
  <si>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</si>
  <si>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</si>
  <si>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</si>
  <si>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</si>
  <si>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</si>
  <si>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</si>
  <si>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</si>
  <si>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</si>
  <si>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</si>
  <si>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</si>
  <si>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</si>
  <si>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</si>
  <si>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</si>
  <si>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</si>
  <si>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</si>
  <si>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</si>
  <si>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</si>
  <si>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</si>
  <si>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</si>
  <si>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</si>
  <si>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</si>
  <si>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</si>
  <si>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</si>
  <si>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</si>
  <si>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</si>
  <si>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</si>
  <si>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</si>
  <si>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</si>
  <si>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</si>
  <si>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</si>
  <si>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</si>
  <si>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</si>
  <si>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</si>
  <si>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</si>
  <si>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</si>
  <si>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</si>
  <si>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</si>
  <si>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</si>
  <si>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</si>
  <si>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</si>
  <si>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</si>
  <si>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</si>
  <si>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</si>
  <si>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</si>
  <si>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</si>
  <si>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</si>
  <si>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</si>
  <si>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</si>
  <si>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</si>
  <si>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</si>
  <si>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</si>
  <si>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</si>
  <si>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</si>
  <si>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</si>
  <si>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</si>
  <si>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</si>
  <si>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</si>
  <si>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</si>
  <si>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</si>
  <si>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</si>
  <si>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</si>
  <si>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</si>
  <si>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</si>
  <si>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</si>
  <si>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</si>
  <si>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</si>
  <si>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</si>
  <si>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</si>
  <si>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</si>
  <si>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</si>
  <si>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</si>
  <si>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</si>
  <si>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</si>
  <si>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</si>
  <si>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</si>
  <si>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</si>
  <si>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</si>
  <si>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</si>
  <si>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</si>
  <si>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</si>
  <si>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</si>
  <si>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</si>
  <si>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</si>
  <si>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</si>
  <si>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</si>
  <si>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</si>
  <si>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</si>
  <si>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</si>
  <si>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</si>
  <si>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</si>
  <si>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</si>
  <si>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</si>
  <si>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</si>
  <si>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</si>
  <si>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</si>
  <si>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</si>
  <si>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</si>
  <si>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</si>
  <si>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</si>
  <si>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</si>
  <si>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</si>
  <si>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</si>
  <si>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</si>
  <si>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</si>
  <si>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</si>
  <si>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</si>
  <si>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</si>
  <si>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</si>
  <si>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</si>
  <si>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</si>
  <si>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</si>
  <si>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</si>
  <si>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</si>
  <si>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</si>
  <si>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</si>
  <si>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</si>
  <si>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</si>
  <si>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</si>
  <si>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</si>
  <si>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</si>
  <si>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</si>
  <si>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</si>
  <si>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</si>
  <si>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</si>
  <si>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</si>
  <si>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</si>
  <si>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</si>
  <si>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</si>
  <si>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</si>
  <si>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</si>
  <si>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</si>
  <si>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</si>
  <si>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</si>
  <si>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</si>
  <si>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</si>
  <si>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</si>
  <si>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</si>
  <si>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</si>
  <si>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</si>
  <si>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</si>
  <si>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</si>
  <si>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</si>
  <si>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</si>
  <si>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</si>
  <si>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</si>
  <si>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</si>
  <si>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</si>
  <si>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</si>
  <si>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</si>
  <si>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</si>
  <si>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</si>
  <si>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</si>
  <si>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</si>
  <si>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</si>
  <si>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</si>
  <si>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</si>
  <si>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</si>
  <si>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</si>
  <si>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</si>
  <si>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</si>
  <si>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</si>
  <si>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</si>
  <si>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</si>
  <si>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</si>
  <si>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</si>
  <si>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</si>
  <si>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</si>
  <si>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</si>
  <si>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</si>
  <si>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</si>
  <si>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</si>
  <si>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</si>
  <si>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</si>
  <si>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</si>
  <si>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</si>
  <si>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</si>
  <si>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</si>
  <si>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</si>
  <si>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</si>
  <si>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</si>
  <si>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</si>
  <si>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</si>
  <si>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</si>
  <si>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</si>
  <si>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</si>
  <si>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</si>
  <si>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</si>
  <si>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</si>
  <si>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</si>
  <si>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</si>
  <si>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</si>
  <si>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</si>
  <si>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</si>
  <si>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</si>
  <si>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</si>
  <si>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</si>
  <si>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</si>
  <si>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</si>
  <si>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</si>
  <si>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</si>
  <si>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</si>
  <si>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</si>
  <si>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</si>
  <si>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</si>
  <si>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</si>
  <si>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</si>
  <si>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</si>
  <si>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</si>
  <si>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</si>
  <si>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</si>
  <si>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</si>
  <si>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</si>
  <si>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</si>
  <si>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</si>
  <si>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</si>
  <si>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</si>
  <si>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</si>
  <si>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</si>
  <si>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</si>
  <si>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</si>
  <si>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</si>
  <si>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</si>
  <si>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</si>
  <si>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</si>
  <si>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</si>
  <si>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</si>
  <si>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</si>
  <si>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</si>
  <si>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</si>
  <si>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</si>
  <si>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</si>
  <si>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</si>
  <si>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</si>
  <si>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</si>
  <si>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</si>
  <si>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</si>
  <si>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</si>
  <si>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</si>
  <si>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</si>
  <si>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</si>
  <si>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</si>
  <si>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</si>
  <si>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</si>
  <si>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</si>
  <si>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</si>
  <si>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</si>
  <si>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</si>
  <si>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</si>
  <si>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</si>
  <si>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</si>
  <si>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</si>
  <si>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</si>
  <si>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</si>
  <si>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</si>
  <si>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</si>
  <si>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</si>
  <si>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</si>
  <si>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</si>
  <si>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</si>
  <si>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</si>
  <si>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</si>
  <si>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</si>
  <si>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</si>
  <si>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</si>
  <si>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</si>
  <si>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</si>
  <si>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</si>
  <si>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</si>
  <si>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</si>
  <si>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</si>
  <si>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</si>
  <si>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</si>
  <si>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</si>
  <si>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</si>
  <si>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</si>
  <si>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</si>
  <si>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</si>
  <si>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</si>
  <si>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</si>
  <si>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</si>
  <si>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</si>
  <si>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</si>
  <si>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</si>
  <si>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</si>
  <si>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</si>
  <si>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</si>
  <si>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</si>
  <si>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</si>
  <si>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</si>
  <si>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</si>
  <si>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</si>
  <si>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</si>
  <si>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</si>
  <si>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</si>
  <si>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</si>
  <si>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</si>
  <si>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</si>
  <si>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</si>
  <si>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</si>
  <si>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</si>
  <si>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</si>
  <si>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</si>
  <si>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</si>
  <si>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</si>
  <si>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</si>
  <si>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</si>
  <si>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</si>
  <si>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</si>
  <si>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</si>
  <si>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</si>
  <si>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</si>
  <si>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</si>
  <si>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</si>
  <si>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</si>
  <si>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</si>
  <si>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</si>
  <si>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</si>
  <si>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</si>
  <si>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</si>
  <si>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</si>
  <si>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</si>
  <si>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</si>
  <si>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</si>
  <si>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</si>
  <si>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</si>
  <si>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</si>
  <si>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</si>
  <si>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</si>
  <si>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</si>
  <si>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</si>
  <si>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</si>
  <si>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</si>
  <si>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</si>
  <si>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</si>
  <si>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</si>
  <si>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</si>
  <si>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</si>
  <si>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</si>
  <si>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</si>
  <si>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</si>
  <si>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</si>
  <si>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</si>
  <si>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</si>
  <si>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</si>
  <si>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</si>
  <si>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</si>
  <si>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</si>
  <si>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</si>
  <si>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</si>
  <si>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</si>
  <si>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</si>
  <si>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</si>
  <si>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</si>
  <si>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</si>
  <si>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</si>
  <si>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</si>
  <si>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</si>
  <si>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</si>
  <si>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</si>
  <si>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</si>
  <si>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</si>
  <si>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</si>
  <si>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</si>
  <si>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</si>
  <si>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</si>
  <si>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</si>
  <si>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</si>
  <si>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</si>
  <si>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</si>
  <si>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</si>
  <si>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</si>
  <si>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</si>
  <si>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</si>
  <si>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</si>
  <si>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</si>
  <si>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</si>
  <si>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</si>
  <si>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</si>
  <si>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</si>
  <si>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</si>
  <si>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</si>
  <si>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</si>
  <si>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</si>
  <si>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</si>
  <si>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</si>
  <si>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</si>
  <si>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</si>
  <si>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</si>
  <si>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</si>
  <si>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</si>
  <si>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</si>
  <si>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</si>
  <si>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</si>
  <si>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</si>
  <si>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</si>
  <si>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</si>
  <si>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</si>
  <si>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</si>
  <si>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</si>
  <si>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</si>
  <si>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</si>
  <si>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</si>
  <si>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</si>
  <si>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</si>
  <si>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</si>
  <si>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</si>
  <si>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</si>
  <si>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</si>
  <si>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</si>
  <si>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</si>
  <si>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</si>
  <si>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</si>
  <si>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</si>
  <si>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</si>
  <si>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</si>
  <si>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</si>
  <si>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</si>
  <si>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</si>
  <si>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</si>
  <si>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</si>
  <si>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</si>
  <si>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</si>
  <si>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</si>
  <si>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</si>
  <si>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</si>
  <si>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</si>
  <si>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</si>
  <si>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</si>
  <si>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</si>
  <si>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</si>
  <si>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</si>
  <si>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</si>
  <si>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</si>
  <si>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</si>
  <si>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</si>
  <si>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</si>
  <si>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</si>
  <si>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</si>
  <si>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</si>
  <si>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</si>
  <si>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</si>
  <si>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</si>
  <si>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</si>
  <si>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</si>
  <si>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</si>
  <si>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</si>
  <si>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</si>
  <si>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</si>
  <si>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</si>
  <si>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</si>
  <si>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</si>
  <si>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</si>
  <si>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</si>
  <si>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</si>
  <si>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</si>
  <si>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</si>
  <si>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</si>
  <si>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</si>
  <si>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</si>
  <si>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</si>
  <si>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</si>
  <si>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</si>
  <si>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</si>
  <si>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</si>
  <si>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</si>
  <si>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</si>
  <si>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</si>
  <si>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</si>
  <si>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</si>
  <si>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</si>
  <si>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</si>
  <si>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</si>
  <si>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</si>
  <si>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</si>
  <si>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</si>
  <si>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</si>
  <si>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</si>
  <si>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</si>
  <si>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</si>
  <si>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</si>
  <si>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</si>
  <si>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</si>
  <si>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</si>
  <si>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</si>
  <si>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</si>
  <si>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</si>
  <si>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</si>
  <si>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</si>
  <si>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</si>
  <si>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</si>
  <si>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</si>
  <si>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</si>
  <si>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</si>
  <si>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</si>
  <si>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</si>
  <si>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</si>
  <si>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</si>
  <si>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</si>
  <si>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</si>
  <si>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</si>
  <si>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</si>
  <si>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</si>
  <si>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</si>
  <si>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</si>
  <si>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</si>
  <si>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</si>
  <si>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</si>
  <si>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</si>
  <si>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</si>
  <si>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</si>
  <si>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</si>
  <si>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</si>
  <si>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</si>
  <si>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</si>
  <si>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</si>
  <si>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</si>
  <si>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</si>
  <si>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</si>
  <si>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</si>
  <si>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</si>
  <si>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</si>
  <si>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</si>
  <si>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</si>
  <si>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</si>
  <si>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</si>
  <si>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</si>
  <si>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</si>
  <si>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</si>
  <si>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</si>
  <si>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</si>
  <si>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</si>
  <si>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</si>
  <si>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</si>
  <si>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</si>
  <si>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</si>
  <si>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</si>
  <si>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</si>
  <si>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</si>
  <si>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</si>
  <si>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</si>
  <si>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</si>
  <si>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</si>
  <si>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</si>
  <si>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</si>
  <si>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</si>
  <si>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</si>
  <si>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</si>
  <si>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</si>
  <si>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</si>
  <si>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</si>
  <si>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</si>
  <si>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</si>
  <si>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</si>
  <si>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</si>
  <si>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</si>
  <si>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</si>
  <si>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</si>
  <si>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</si>
  <si>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</si>
  <si>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</si>
  <si>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</si>
  <si>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</si>
  <si>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</si>
  <si>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</si>
  <si>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</si>
  <si>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</si>
  <si>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</si>
  <si>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</si>
  <si>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</si>
  <si>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</si>
  <si>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</si>
  <si>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</si>
  <si>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</si>
  <si>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</si>
  <si>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</si>
  <si>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</si>
  <si>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</si>
  <si>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</si>
  <si>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</si>
  <si>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</si>
  <si>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</si>
  <si>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</si>
  <si>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</si>
  <si>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</si>
  <si>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</si>
  <si>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</si>
  <si>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</si>
  <si>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</si>
  <si>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</si>
  <si>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</si>
  <si>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</si>
  <si>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</si>
  <si>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</si>
  <si>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</si>
  <si>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</si>
  <si>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</si>
  <si>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</si>
  <si>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</si>
  <si>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</si>
  <si>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</si>
  <si>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</si>
  <si>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</si>
  <si>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</si>
  <si>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</si>
  <si>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</si>
  <si>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</si>
  <si>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</si>
  <si>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</si>
  <si>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</si>
  <si>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</si>
  <si>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</si>
  <si>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</si>
  <si>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</si>
  <si>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</si>
  <si>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</si>
  <si>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</si>
  <si>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</si>
  <si>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</si>
  <si>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</si>
  <si>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</si>
  <si>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</si>
  <si>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</si>
  <si>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</si>
  <si>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</si>
  <si>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</si>
  <si>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</si>
  <si>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</si>
  <si>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</si>
  <si>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</si>
  <si>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</si>
  <si>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</si>
  <si>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</si>
  <si>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</si>
  <si>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</si>
  <si>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</si>
  <si>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</si>
  <si>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</si>
  <si>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</si>
  <si>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</si>
  <si>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</si>
  <si>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</si>
  <si>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</si>
  <si>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</si>
  <si>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</si>
  <si>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</si>
  <si>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</si>
  <si>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</si>
  <si>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</si>
  <si>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</si>
  <si>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</si>
  <si>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</si>
  <si>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</si>
  <si>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</si>
  <si>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</si>
  <si>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</si>
  <si>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</si>
  <si>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</si>
  <si>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</si>
  <si>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</si>
  <si>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</si>
  <si>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</si>
  <si>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</si>
  <si>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</si>
  <si>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</si>
  <si>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</si>
  <si>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</si>
  <si>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</si>
  <si>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</si>
  <si>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</si>
  <si>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</si>
  <si>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</si>
  <si>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</si>
  <si>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</si>
  <si>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</si>
  <si>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</si>
  <si>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</si>
  <si>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</si>
  <si>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</si>
  <si>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</si>
  <si>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</si>
  <si>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</si>
  <si>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</si>
  <si>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</si>
  <si>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</si>
  <si>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</si>
  <si>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</si>
  <si>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</si>
  <si>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</si>
  <si>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</si>
  <si>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</si>
  <si>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</si>
  <si>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</si>
  <si>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</si>
  <si>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</si>
  <si>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</si>
  <si>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</si>
  <si>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</si>
  <si>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</si>
  <si>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</si>
  <si>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</si>
  <si>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</si>
  <si>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</si>
  <si>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</si>
  <si>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</si>
  <si>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</si>
  <si>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</si>
  <si>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</si>
  <si>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</si>
  <si>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</si>
  <si>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</si>
  <si>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</si>
  <si>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</si>
  <si>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</si>
  <si>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</si>
  <si>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</si>
  <si>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</si>
  <si>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</si>
  <si>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</si>
  <si>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</si>
  <si>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</si>
  <si>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</si>
  <si>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</si>
  <si>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</si>
  <si>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</si>
  <si>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</si>
  <si>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</si>
  <si>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</si>
  <si>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</si>
  <si>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</si>
  <si>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</si>
  <si>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</si>
  <si>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</si>
  <si>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</si>
  <si>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</si>
  <si>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</si>
  <si>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</si>
  <si>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</si>
  <si>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</si>
  <si>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</si>
  <si>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</si>
  <si>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</si>
  <si>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</si>
  <si>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</si>
  <si>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</si>
  <si>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</si>
  <si>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</si>
  <si>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</si>
  <si>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</si>
  <si>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</si>
  <si>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</si>
  <si>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</si>
  <si>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</si>
  <si>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</si>
  <si>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</si>
  <si>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</si>
  <si>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</si>
  <si>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</si>
  <si>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</si>
  <si>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</si>
  <si>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</si>
  <si>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</si>
  <si>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</si>
  <si>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</si>
  <si>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</si>
  <si>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</si>
  <si>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</si>
  <si>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</si>
  <si>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</si>
  <si>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</si>
  <si>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</si>
  <si>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</si>
  <si>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</si>
  <si>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</si>
  <si>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</si>
  <si>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</si>
  <si>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</si>
  <si>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</si>
  <si>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</si>
  <si>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</si>
  <si>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</si>
  <si>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</si>
  <si>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</si>
  <si>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</si>
  <si>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</si>
  <si>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</si>
  <si>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</si>
  <si>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</si>
  <si>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</si>
  <si>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</si>
  <si>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</si>
  <si>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</si>
  <si>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</si>
  <si>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</si>
  <si>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</si>
  <si>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</si>
  <si>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</si>
  <si>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</si>
  <si>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</si>
  <si>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</si>
  <si>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</si>
  <si>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</si>
  <si>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</si>
  <si>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</si>
  <si>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</si>
  <si>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</si>
  <si>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</si>
  <si>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</si>
  <si>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</si>
  <si>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</si>
  <si>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</si>
  <si>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</si>
  <si>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</si>
  <si>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</si>
  <si>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</si>
  <si>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</si>
  <si>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</si>
  <si>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</si>
  <si>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</si>
  <si>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</si>
  <si>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</si>
  <si>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</si>
  <si>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</si>
  <si>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</si>
  <si>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</si>
  <si>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</si>
  <si>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</si>
  <si>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</si>
  <si>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</si>
  <si>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</si>
  <si>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</si>
  <si>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</si>
  <si>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</si>
  <si>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</si>
  <si>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</si>
  <si>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</si>
  <si>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</si>
  <si>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</si>
  <si>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</si>
  <si>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</si>
  <si>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</si>
  <si>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</si>
  <si>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</si>
  <si>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</si>
  <si>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</si>
  <si>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</si>
  <si>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</si>
  <si>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</si>
  <si>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</si>
  <si>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</si>
  <si>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</si>
  <si>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</si>
  <si>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</si>
  <si>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</si>
  <si>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</si>
  <si>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</si>
  <si>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</si>
  <si>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</si>
  <si>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</si>
  <si>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</si>
  <si>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</si>
  <si>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</si>
  <si>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</si>
  <si>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</si>
  <si>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</si>
  <si>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</si>
  <si>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</si>
  <si>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</si>
  <si>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</si>
  <si>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</si>
  <si>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</si>
  <si>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</si>
  <si>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</si>
  <si>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</si>
  <si>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</si>
  <si>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</si>
  <si>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</si>
  <si>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</si>
  <si>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</si>
  <si>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</si>
  <si>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</si>
  <si>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</si>
  <si>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</si>
  <si>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</si>
  <si>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</si>
  <si>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</si>
  <si>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</si>
  <si>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</si>
  <si>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</si>
  <si>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</si>
  <si>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</si>
  <si>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</si>
  <si>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</si>
  <si>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</si>
  <si>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</si>
  <si>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</si>
  <si>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</si>
  <si>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</si>
  <si>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</si>
  <si>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</si>
  <si>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</si>
  <si>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</si>
  <si>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</si>
  <si>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</si>
  <si>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</si>
  <si>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</si>
  <si>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</si>
  <si>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</si>
  <si>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</si>
  <si>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</si>
  <si>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</si>
  <si>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</si>
  <si>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</si>
  <si>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</si>
  <si>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</si>
  <si>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</si>
  <si>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</si>
  <si>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</si>
  <si>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</si>
  <si>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</si>
  <si>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</si>
  <si>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</si>
  <si>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</si>
  <si>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</si>
  <si>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</si>
  <si>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</si>
  <si>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</si>
  <si>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</si>
  <si>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</si>
  <si>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</si>
  <si>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</si>
  <si>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</si>
  <si>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</si>
  <si>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</si>
  <si>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</si>
  <si>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</si>
  <si>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</si>
  <si>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</si>
  <si>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</si>
  <si>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</si>
  <si>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</si>
  <si>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</si>
  <si>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</si>
  <si>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</si>
  <si>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</si>
  <si>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</si>
  <si>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</si>
  <si>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</si>
  <si>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</si>
  <si>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</si>
  <si>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</si>
  <si>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</si>
  <si>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</si>
  <si>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</si>
  <si>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</si>
  <si>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</si>
  <si>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</si>
  <si>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</si>
  <si>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</si>
  <si>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</si>
  <si>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</si>
  <si>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</si>
  <si>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</si>
  <si>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</si>
  <si>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</si>
  <si>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</si>
  <si>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</si>
  <si>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</si>
  <si>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</si>
  <si>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</si>
  <si>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</si>
  <si>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</si>
  <si>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</si>
  <si>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</si>
  <si>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</si>
  <si>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</si>
  <si>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</si>
  <si>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</si>
  <si>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</si>
  <si>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</si>
  <si>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</si>
  <si>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</si>
  <si>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</si>
  <si>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</si>
  <si>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</si>
  <si>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</si>
  <si>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</si>
  <si>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</si>
  <si>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</si>
  <si>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</si>
  <si>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</si>
  <si>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</si>
  <si>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</si>
  <si>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</si>
  <si>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</si>
  <si>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</si>
  <si>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</si>
  <si>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</si>
  <si>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</si>
  <si>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</si>
  <si>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</si>
  <si>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</si>
  <si>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</si>
  <si>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</si>
  <si>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</si>
  <si>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</si>
  <si>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</si>
  <si>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</si>
  <si>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</si>
  <si>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</si>
  <si>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</si>
  <si>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</si>
  <si>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</si>
  <si>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</si>
  <si>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</si>
  <si>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</si>
  <si>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</si>
  <si>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</si>
  <si>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</si>
  <si>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</si>
  <si>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</si>
  <si>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</si>
  <si>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</si>
  <si>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</si>
  <si>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</si>
  <si>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</si>
  <si>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</si>
  <si>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</si>
  <si>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</si>
  <si>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</si>
  <si>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</si>
  <si>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</si>
  <si>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</si>
  <si>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</si>
  <si>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</si>
  <si>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</si>
  <si>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</si>
  <si>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</si>
  <si>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</si>
  <si>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</si>
  <si>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</si>
  <si>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</si>
  <si>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</si>
  <si>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</si>
  <si>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</si>
  <si>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</si>
  <si>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</si>
  <si>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</si>
  <si>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</si>
  <si>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</si>
  <si>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</si>
  <si>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</si>
  <si>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</si>
  <si>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</si>
  <si>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</si>
  <si>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</si>
  <si>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</si>
  <si>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</si>
  <si>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</si>
  <si>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</si>
  <si>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</si>
  <si>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</si>
  <si>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</si>
  <si>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</si>
  <si>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</si>
  <si>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</si>
  <si>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</si>
  <si>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</si>
  <si>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</si>
  <si>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</si>
  <si>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</si>
  <si>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</si>
  <si>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</si>
  <si>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</si>
  <si>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</si>
  <si>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</si>
  <si>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</si>
  <si>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</si>
  <si>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</si>
  <si>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</si>
  <si>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</si>
  <si>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</si>
  <si>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</si>
  <si>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</si>
  <si>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</si>
  <si>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</si>
  <si>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</si>
  <si>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</si>
  <si>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</si>
  <si>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</si>
  <si>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</si>
  <si>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</si>
  <si>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</si>
  <si>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</si>
  <si>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</si>
  <si>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</si>
  <si>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</si>
  <si>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</si>
  <si>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</si>
  <si>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</si>
  <si>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</si>
  <si>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</si>
  <si>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</si>
  <si>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</si>
  <si>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</si>
  <si>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</si>
  <si>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</si>
  <si>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</si>
  <si>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</si>
  <si>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</si>
  <si>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</si>
  <si>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</si>
  <si>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</si>
  <si>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</si>
  <si>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</si>
  <si>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</si>
  <si>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</si>
  <si>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</si>
  <si>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</si>
  <si>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</si>
  <si>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</si>
  <si>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</si>
  <si>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</si>
  <si>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</si>
  <si>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</si>
  <si>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</si>
  <si>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</si>
  <si>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</si>
  <si>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</si>
  <si>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</si>
  <si>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</si>
  <si>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</si>
  <si>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</si>
  <si>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</si>
  <si>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</si>
  <si>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</si>
  <si>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</si>
  <si>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</si>
  <si>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</si>
  <si>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</si>
  <si>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</si>
  <si>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</si>
  <si>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</si>
  <si>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</si>
  <si>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</si>
  <si>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</si>
  <si>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</si>
  <si>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</si>
  <si>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</si>
  <si>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</si>
  <si>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</si>
  <si>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</si>
  <si>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</si>
  <si>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</si>
  <si>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</si>
  <si>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</si>
  <si>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</si>
  <si>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</si>
  <si>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</si>
  <si>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</si>
  <si>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</si>
  <si>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</si>
  <si>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</si>
  <si>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</si>
  <si>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</si>
  <si>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</si>
  <si>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</si>
  <si>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</si>
  <si>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</si>
  <si>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</si>
  <si>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</si>
  <si>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</si>
  <si>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</si>
  <si>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</si>
  <si>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</si>
  <si>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</si>
  <si>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</si>
  <si>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</si>
  <si>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</si>
  <si>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</si>
  <si>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</si>
  <si>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</si>
  <si>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</si>
  <si>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</si>
  <si>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</si>
  <si>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</si>
  <si>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</si>
  <si>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</si>
  <si>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</si>
  <si>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</si>
  <si>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</si>
  <si>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</si>
  <si>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</si>
  <si>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</si>
  <si>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</si>
  <si>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</si>
  <si>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</si>
  <si>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</si>
  <si>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</si>
  <si>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</si>
  <si>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</si>
  <si>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</si>
  <si>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</si>
  <si>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</si>
  <si>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</si>
  <si>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</si>
  <si>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</si>
  <si>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</si>
  <si>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</si>
  <si>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</si>
  <si>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</si>
  <si>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</si>
  <si>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</si>
  <si>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</si>
  <si>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</si>
  <si>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</si>
  <si>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</si>
  <si>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</si>
  <si>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</si>
  <si>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</si>
  <si>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</si>
  <si>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</si>
  <si>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</si>
  <si>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</si>
  <si>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</si>
  <si>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</si>
  <si>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</si>
  <si>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</si>
  <si>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</si>
  <si>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</si>
  <si>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</si>
  <si>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</si>
  <si>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</si>
  <si>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</si>
  <si>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</si>
  <si>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</si>
  <si>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</si>
  <si>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</si>
  <si>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</si>
  <si>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</si>
  <si>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</si>
  <si>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</si>
  <si>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</si>
  <si>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</si>
  <si>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</si>
  <si>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</si>
  <si>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</si>
  <si>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</si>
  <si>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</si>
  <si>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</si>
  <si>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</si>
  <si>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</si>
  <si>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</si>
  <si>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</si>
  <si>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</si>
  <si>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</si>
  <si>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</si>
  <si>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</si>
  <si>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</si>
  <si>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</si>
  <si>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</si>
  <si>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</si>
  <si>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</si>
  <si>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</si>
  <si>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</si>
  <si>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</si>
  <si>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</si>
  <si>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</si>
  <si>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</si>
  <si>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</si>
  <si>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</si>
  <si>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</si>
  <si>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</si>
  <si>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</si>
  <si>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</si>
  <si>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</si>
  <si>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</si>
  <si>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</si>
  <si>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</si>
  <si>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</si>
  <si>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</si>
  <si>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</si>
  <si>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</si>
  <si>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</si>
  <si>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</si>
  <si>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</si>
  <si>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</si>
  <si>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</si>
  <si>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</si>
  <si>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</si>
  <si>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</si>
  <si>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</si>
  <si>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</si>
  <si>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</si>
  <si>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</si>
  <si>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</si>
  <si>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</si>
  <si>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</si>
  <si>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</si>
  <si>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</si>
  <si>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</si>
  <si>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</si>
  <si>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</si>
  <si>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</si>
  <si>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</si>
  <si>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</si>
  <si>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</si>
  <si>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</si>
  <si>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</si>
  <si>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</si>
  <si>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</si>
  <si>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</si>
  <si>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</si>
  <si>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</si>
  <si>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</si>
  <si>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</si>
  <si>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</si>
  <si>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</si>
  <si>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</si>
  <si>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</si>
  <si>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</si>
  <si>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</si>
  <si>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</si>
  <si>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</si>
  <si>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</si>
  <si>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</si>
  <si>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</si>
  <si>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</si>
  <si>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</si>
  <si>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</si>
  <si>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</si>
  <si>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</si>
  <si>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</si>
  <si>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</si>
  <si>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</si>
  <si>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</si>
  <si>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</si>
  <si>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</si>
  <si>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</si>
  <si>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</si>
  <si>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</si>
  <si>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</si>
  <si>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</si>
  <si>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</si>
  <si>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</si>
  <si>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</si>
  <si>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</si>
  <si>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</si>
  <si>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</si>
  <si>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</si>
  <si>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</si>
  <si>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</si>
  <si>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</si>
  <si>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</si>
  <si>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</si>
  <si>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</si>
  <si>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</si>
  <si>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</si>
  <si>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</si>
  <si>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</si>
  <si>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</si>
  <si>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</si>
  <si>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</si>
  <si>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</si>
  <si>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</si>
  <si>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</si>
  <si>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</si>
  <si>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</si>
  <si>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</si>
  <si>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</si>
  <si>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</si>
  <si>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</si>
  <si>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</si>
  <si>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</si>
  <si>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</si>
  <si>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</si>
  <si>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</si>
  <si>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</si>
  <si>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</si>
  <si>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</si>
  <si>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</si>
  <si>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</si>
  <si>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</si>
  <si>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</si>
  <si>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</si>
  <si>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</si>
  <si>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</si>
  <si>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</si>
  <si>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</si>
  <si>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</si>
  <si>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</si>
  <si>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</si>
  <si>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</si>
  <si>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</si>
  <si>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</si>
  <si>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</si>
  <si>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</si>
  <si>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</si>
  <si>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</si>
  <si>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</si>
  <si>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</si>
  <si>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</si>
  <si>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</si>
  <si>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</si>
  <si>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</si>
  <si>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</si>
  <si>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</si>
  <si>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</si>
  <si>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</si>
  <si>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</si>
  <si>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</si>
  <si>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</si>
  <si>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</si>
  <si>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</si>
  <si>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</si>
  <si>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</si>
  <si>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</si>
  <si>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</si>
  <si>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</si>
  <si>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</si>
  <si>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</si>
  <si>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</si>
  <si>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</si>
  <si>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</si>
  <si>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</si>
  <si>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</si>
  <si>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</si>
  <si>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</si>
  <si>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</si>
  <si>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</si>
  <si>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</si>
  <si>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</si>
  <si>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</si>
  <si>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</si>
  <si>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</si>
  <si>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</si>
  <si>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</si>
  <si>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</si>
  <si>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</si>
  <si>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</si>
  <si>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</si>
  <si>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</si>
  <si>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</si>
  <si>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</si>
  <si>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</si>
  <si>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</si>
  <si>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</si>
  <si>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</si>
  <si>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</si>
  <si>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</si>
  <si>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</si>
  <si>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</si>
  <si>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</si>
  <si>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</si>
  <si>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</si>
  <si>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</si>
  <si>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</si>
  <si>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</si>
  <si>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</si>
  <si>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</si>
  <si>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</si>
  <si>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</si>
  <si>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</si>
  <si>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</si>
  <si>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</si>
  <si>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</si>
  <si>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</si>
  <si>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</si>
  <si>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</si>
  <si>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</si>
  <si>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</si>
  <si>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</si>
  <si>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</si>
  <si>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</si>
  <si>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</si>
  <si>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</si>
  <si>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</si>
  <si>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</si>
  <si>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</si>
  <si>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</si>
  <si>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</si>
  <si>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</si>
  <si>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</si>
  <si>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</si>
  <si>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</si>
  <si>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</si>
  <si>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</si>
  <si>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</si>
  <si>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</si>
  <si>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</si>
  <si>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</si>
  <si>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</si>
  <si>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</si>
  <si>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</si>
  <si>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</si>
  <si>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</si>
  <si>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</si>
  <si>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</si>
  <si>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</si>
  <si>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</si>
  <si>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</si>
  <si>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</si>
  <si>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</si>
  <si>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</si>
  <si>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</si>
  <si>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</si>
  <si>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</si>
  <si>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</si>
  <si>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</si>
  <si>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</si>
  <si>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</si>
  <si>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</si>
  <si>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</si>
  <si>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</si>
  <si>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</si>
  <si>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</si>
  <si>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</si>
  <si>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</si>
  <si>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</si>
  <si>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</si>
  <si>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</si>
  <si>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</si>
  <si>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</si>
  <si>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</si>
  <si>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</si>
  <si>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</si>
  <si>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</si>
  <si>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</si>
  <si>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</si>
  <si>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</si>
  <si>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</si>
  <si>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</si>
  <si>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</si>
  <si>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</si>
  <si>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</si>
  <si>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</si>
  <si>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</si>
  <si>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</si>
  <si>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</si>
  <si>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</si>
  <si>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</si>
  <si>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</si>
  <si>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</si>
  <si>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</si>
  <si>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</si>
  <si>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</si>
  <si>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</si>
  <si>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</si>
  <si>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</si>
  <si>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</si>
  <si>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</si>
  <si>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</si>
  <si>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</si>
  <si>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</si>
  <si>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</si>
  <si>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</si>
  <si>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</si>
  <si>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</si>
  <si>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</si>
  <si>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</si>
  <si>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</si>
  <si>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</si>
  <si>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</si>
  <si>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</si>
  <si>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</si>
  <si>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</si>
  <si>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</si>
  <si>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</si>
  <si>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</si>
  <si>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</si>
  <si>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</si>
  <si>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</si>
  <si>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</si>
  <si>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</si>
  <si>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</si>
  <si>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</si>
  <si>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</si>
  <si>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</si>
  <si>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</si>
  <si>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</si>
  <si>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</si>
  <si>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</si>
  <si>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</si>
  <si>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</si>
  <si>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</si>
  <si>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</si>
  <si>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</si>
  <si>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</si>
  <si>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</si>
  <si>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</si>
  <si>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</si>
  <si>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</si>
  <si>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</si>
  <si>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</si>
  <si>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</si>
  <si>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</si>
  <si>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</si>
  <si>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</si>
  <si>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</si>
  <si>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</si>
  <si>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</si>
  <si>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</si>
  <si>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</si>
  <si>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</si>
  <si>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</si>
  <si>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</si>
  <si>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</si>
  <si>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</si>
  <si>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</si>
  <si>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</si>
  <si>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</si>
  <si>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</si>
  <si>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</si>
  <si>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</si>
  <si>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</si>
  <si>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</si>
  <si>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</si>
  <si>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</si>
  <si>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</si>
  <si>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</si>
  <si>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</si>
  <si>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</si>
  <si>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</si>
  <si>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</si>
  <si>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</si>
  <si>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</si>
  <si>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</si>
  <si>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</si>
  <si>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</si>
  <si>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</si>
  <si>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</si>
  <si>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</si>
  <si>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</si>
  <si>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</si>
  <si>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</si>
  <si>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</si>
  <si>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</si>
  <si>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</si>
  <si>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</si>
  <si>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</si>
  <si>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</si>
  <si>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</si>
  <si>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</si>
  <si>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</si>
  <si>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</si>
  <si>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</si>
  <si>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</si>
  <si>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</si>
  <si>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</si>
  <si>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</si>
  <si>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</si>
  <si>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</si>
  <si>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</si>
  <si>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</si>
  <si>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</si>
  <si>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</si>
  <si>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</si>
  <si>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</si>
  <si>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</si>
  <si>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</si>
  <si>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</si>
  <si>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</si>
  <si>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</si>
  <si>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</si>
  <si>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</si>
  <si>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</si>
  <si>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</si>
  <si>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</si>
  <si>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</si>
  <si>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</si>
  <si>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</si>
  <si>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</si>
  <si>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</si>
  <si>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</si>
  <si>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</si>
  <si>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</si>
  <si>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</si>
  <si>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</si>
  <si>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</si>
  <si>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</si>
  <si>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</si>
  <si>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</si>
  <si>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</si>
  <si>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</si>
  <si>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</si>
  <si>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</si>
  <si>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</si>
  <si>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</si>
  <si>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</si>
  <si>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</si>
  <si>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</si>
  <si>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</si>
  <si>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</si>
  <si>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</si>
  <si>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</si>
  <si>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</si>
  <si>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</si>
  <si>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</si>
  <si>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</si>
  <si>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</si>
  <si>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</si>
  <si>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</si>
  <si>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</si>
  <si>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</si>
  <si>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</si>
  <si>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</si>
  <si>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</si>
  <si>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</si>
  <si>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</si>
  <si>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</si>
  <si>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</si>
  <si>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</si>
  <si>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</si>
  <si>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</si>
  <si>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</si>
  <si>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</si>
  <si>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</si>
  <si>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</si>
  <si>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</si>
  <si>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</si>
  <si>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</si>
  <si>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</si>
  <si>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</si>
  <si>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</si>
  <si>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</si>
  <si>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</si>
  <si>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</si>
  <si>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</si>
  <si>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</si>
  <si>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</si>
  <si>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</si>
  <si>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</si>
  <si>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</si>
  <si>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</si>
  <si>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</si>
  <si>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</si>
  <si>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</si>
  <si>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</si>
  <si>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</si>
  <si>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</si>
  <si>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</si>
  <si>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</si>
  <si>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</si>
  <si>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</si>
  <si>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</si>
  <si>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</si>
  <si>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</si>
  <si>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</si>
  <si>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</si>
  <si>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</si>
  <si>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</si>
  <si>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</si>
  <si>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</si>
  <si>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</si>
  <si>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</si>
  <si>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</si>
  <si>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</si>
  <si>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</si>
  <si>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</si>
  <si>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</si>
  <si>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</si>
  <si>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</si>
  <si>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</si>
  <si>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</si>
  <si>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</si>
  <si>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</si>
  <si>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</si>
  <si>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</si>
  <si>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</si>
  <si>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</si>
  <si>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</si>
  <si>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</si>
  <si>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</si>
  <si>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</si>
  <si>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</si>
  <si>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</si>
  <si>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</si>
  <si>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</si>
  <si>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</si>
  <si>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</si>
  <si>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</si>
  <si>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</si>
  <si>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</si>
  <si>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</si>
  <si>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</si>
  <si>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</si>
  <si>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</si>
  <si>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</si>
  <si>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</si>
  <si>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</si>
  <si>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</si>
  <si>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</si>
  <si>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</si>
  <si>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</si>
  <si>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</si>
  <si>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</si>
  <si>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</si>
  <si>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</si>
  <si>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</si>
  <si>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</si>
  <si>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</si>
  <si>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</si>
  <si>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</si>
  <si>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</si>
  <si>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</si>
  <si>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</si>
  <si>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</si>
  <si>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</si>
  <si>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</si>
  <si>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</si>
  <si>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</si>
  <si>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</si>
  <si>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</si>
  <si>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</si>
  <si>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</si>
  <si>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</si>
  <si>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</si>
  <si>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</si>
  <si>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</si>
  <si>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</si>
  <si>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</si>
  <si>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</si>
  <si>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</si>
  <si>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</si>
  <si>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</si>
  <si>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</si>
  <si>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</si>
  <si>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</si>
  <si>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</si>
  <si>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</si>
  <si>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</si>
  <si>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</si>
  <si>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</si>
  <si>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</si>
  <si>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</si>
  <si>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</si>
  <si>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</si>
  <si>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</si>
  <si>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</si>
  <si>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</si>
  <si>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</si>
  <si>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</si>
  <si>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</si>
  <si>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</si>
  <si>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</si>
  <si>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</si>
  <si>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</si>
  <si>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</si>
  <si>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</si>
  <si>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</si>
  <si>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</si>
  <si>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</si>
  <si>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</si>
  <si>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</si>
  <si>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</si>
  <si>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</si>
  <si>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</si>
  <si>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</si>
  <si>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</si>
  <si>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</si>
  <si>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</si>
  <si>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</si>
  <si>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</si>
  <si>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</si>
  <si>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</si>
  <si>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</si>
  <si>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</si>
  <si>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</si>
  <si>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</si>
  <si>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</si>
  <si>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</si>
  <si>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</si>
  <si>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</si>
  <si>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</si>
  <si>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</si>
  <si>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</si>
  <si>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</si>
  <si>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</si>
  <si>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</si>
  <si>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</si>
  <si>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</si>
  <si>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</si>
  <si>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</si>
  <si>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</si>
  <si>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</si>
  <si>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</si>
  <si>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</si>
  <si>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</si>
  <si>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</si>
  <si>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</si>
  <si>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</si>
  <si>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</si>
  <si>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</si>
  <si>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</si>
  <si>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</si>
  <si>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</si>
  <si>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</si>
  <si>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</si>
  <si>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</si>
  <si>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</si>
  <si>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</si>
  <si>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</si>
  <si>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</si>
  <si>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</si>
  <si>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</si>
  <si>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</si>
  <si>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</si>
  <si>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</si>
  <si>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</si>
  <si>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</si>
  <si>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</si>
  <si>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</si>
  <si>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</si>
  <si>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</si>
  <si>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</si>
  <si>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</si>
  <si>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</si>
  <si>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</si>
  <si>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</si>
  <si>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</si>
  <si>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</si>
  <si>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</si>
  <si>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</si>
  <si>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</si>
  <si>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</si>
  <si>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</si>
  <si>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</si>
  <si>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</si>
  <si>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</si>
  <si>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</si>
  <si>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</si>
  <si>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</si>
  <si>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</si>
  <si>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</si>
  <si>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</si>
  <si>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</si>
  <si>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</si>
  <si>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</si>
  <si>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</si>
  <si>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</si>
  <si>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</si>
  <si>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</si>
  <si>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</si>
  <si>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</si>
  <si>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</si>
  <si>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</si>
  <si>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</si>
  <si>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</si>
  <si>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</si>
  <si>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</si>
  <si>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</si>
  <si>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</si>
  <si>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</si>
  <si>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</si>
  <si>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</si>
  <si>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</si>
  <si>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</si>
  <si>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</si>
  <si>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</si>
  <si>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</si>
  <si>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</si>
  <si>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</si>
  <si>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</si>
  <si>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</si>
  <si>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</si>
  <si>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</si>
  <si>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</si>
  <si>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</si>
  <si>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</si>
  <si>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</si>
  <si>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</si>
  <si>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</si>
  <si>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</si>
  <si>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</si>
  <si>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</si>
  <si>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</si>
  <si>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</si>
  <si>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</si>
  <si>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</si>
  <si>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</si>
  <si>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</si>
  <si>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</si>
  <si>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</si>
  <si>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</si>
  <si>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</si>
  <si>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</si>
  <si>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</si>
  <si>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</si>
  <si>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</si>
  <si>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</si>
  <si>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</si>
  <si>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</si>
  <si>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</si>
  <si>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</si>
  <si>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</si>
  <si>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</si>
  <si>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</si>
  <si>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</si>
  <si>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</si>
  <si>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</si>
  <si>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</si>
  <si>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</si>
  <si>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</si>
  <si>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</si>
  <si>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</si>
  <si>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</si>
  <si>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</si>
  <si>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</si>
  <si>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</si>
  <si>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</si>
  <si>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</si>
  <si>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</si>
  <si>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</si>
  <si>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</si>
  <si>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</si>
  <si>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</si>
  <si>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</si>
  <si>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</si>
  <si>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</si>
  <si>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</si>
  <si>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</si>
  <si>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</si>
  <si>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</si>
  <si>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</si>
  <si>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</si>
  <si>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</si>
  <si>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</si>
  <si>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</si>
  <si>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</si>
  <si>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</si>
  <si>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</si>
  <si>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</si>
  <si>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</si>
  <si>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</si>
  <si>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</si>
  <si>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</si>
  <si>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</si>
  <si>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</si>
  <si>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</si>
  <si>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</si>
  <si>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</si>
  <si>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</si>
  <si>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</si>
  <si>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</si>
  <si>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</si>
  <si>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</si>
  <si>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</si>
  <si>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</si>
  <si>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</si>
  <si>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</si>
  <si>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</si>
  <si>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</si>
  <si>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</si>
  <si>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</si>
  <si>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</si>
  <si>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</si>
  <si>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</si>
  <si>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</si>
  <si>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</si>
  <si>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</si>
  <si>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</si>
  <si>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</si>
  <si>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</si>
  <si>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</si>
  <si>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</si>
  <si>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</si>
  <si>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</si>
  <si>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</si>
  <si>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</si>
  <si>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</si>
  <si>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</si>
  <si>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</si>
  <si>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</si>
  <si>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</si>
  <si>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</si>
  <si>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</si>
  <si>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</si>
  <si>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</si>
  <si>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</si>
  <si>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</si>
  <si>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</si>
  <si>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</si>
  <si>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</si>
  <si>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</si>
  <si>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</si>
  <si>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</si>
  <si>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</si>
  <si>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</si>
  <si>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</si>
  <si>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</si>
  <si>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</si>
  <si>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</si>
  <si>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</si>
  <si>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</si>
  <si>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</si>
  <si>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</si>
  <si>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</si>
  <si>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</si>
  <si>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</si>
  <si>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</si>
  <si>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</si>
  <si>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</si>
  <si>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</si>
  <si>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</si>
  <si>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</si>
  <si>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</si>
  <si>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</si>
  <si>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</si>
  <si>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</si>
  <si>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</si>
  <si>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</si>
  <si>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</si>
  <si>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</si>
  <si>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</si>
  <si>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</si>
  <si>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</si>
  <si>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</si>
  <si>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</si>
  <si>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</si>
  <si>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</si>
  <si>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</si>
  <si>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</si>
  <si>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</si>
  <si>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</si>
  <si>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</si>
  <si>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</si>
  <si>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</si>
  <si>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</si>
  <si>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</si>
  <si>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</si>
  <si>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</si>
  <si>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</si>
  <si>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</si>
  <si>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</si>
  <si>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</si>
  <si>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</si>
  <si>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</si>
  <si>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</si>
  <si>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</si>
  <si>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</si>
  <si>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</si>
  <si>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</si>
  <si>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</si>
  <si>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</si>
  <si>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</si>
  <si>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</si>
  <si>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</si>
  <si>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</si>
  <si>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</si>
  <si>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</si>
  <si>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</si>
  <si>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</si>
  <si>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</si>
  <si>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</si>
  <si>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</si>
  <si>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</si>
  <si>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</si>
  <si>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</si>
  <si>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</si>
  <si>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</si>
  <si>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</si>
  <si>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</si>
  <si>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</si>
  <si>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</si>
  <si>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</si>
  <si>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</si>
  <si>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</si>
  <si>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</si>
  <si>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</si>
  <si>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</si>
  <si>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</si>
  <si>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</si>
  <si>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</si>
  <si>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</si>
  <si>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</si>
  <si>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</si>
  <si>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</si>
  <si>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</si>
  <si>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</si>
  <si>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</si>
  <si>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</si>
  <si>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</si>
  <si>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</si>
  <si>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</si>
  <si>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</si>
  <si>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</si>
  <si>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</si>
  <si>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</si>
  <si>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</si>
  <si>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</si>
  <si>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</si>
  <si>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</si>
  <si>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</si>
  <si>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</si>
  <si>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</si>
  <si>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</si>
  <si>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</si>
  <si>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</si>
  <si>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</si>
  <si>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</si>
  <si>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</si>
  <si>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</si>
  <si>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</si>
  <si>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</si>
  <si>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</si>
  <si>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</si>
  <si>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</si>
  <si>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</si>
  <si>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</si>
  <si>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</si>
  <si>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</si>
  <si>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</si>
  <si>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</si>
  <si>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</si>
  <si>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</si>
  <si>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</si>
  <si>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</si>
  <si>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</si>
  <si>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</si>
  <si>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</si>
  <si>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</si>
  <si>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</si>
  <si>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</si>
  <si>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</si>
  <si>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</si>
  <si>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</si>
  <si>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</si>
  <si>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</si>
  <si>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</si>
  <si>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</si>
  <si>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</si>
  <si>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</si>
  <si>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</si>
  <si>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</si>
  <si>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</si>
  <si>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</si>
  <si>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</si>
  <si>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</si>
  <si>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</si>
  <si>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</si>
  <si>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</si>
  <si>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</si>
  <si>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</si>
  <si>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</si>
  <si>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</si>
  <si>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</si>
  <si>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</si>
  <si>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</si>
  <si>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</si>
  <si>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</si>
  <si>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</si>
  <si>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</si>
  <si>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</si>
  <si>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</si>
  <si>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</si>
  <si>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</si>
  <si>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</si>
  <si>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</si>
  <si>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</si>
  <si>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</si>
  <si>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</si>
  <si>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</si>
  <si>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</si>
  <si>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</si>
  <si>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</si>
  <si>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</si>
  <si>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</si>
  <si>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</si>
  <si>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</si>
  <si>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</si>
  <si>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</si>
  <si>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</si>
  <si>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</si>
  <si>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</si>
  <si>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</si>
  <si>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</si>
  <si>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</si>
  <si>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</si>
  <si>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</si>
  <si>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</si>
  <si>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</si>
  <si>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</si>
  <si>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</si>
  <si>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</si>
  <si>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</si>
  <si>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</si>
  <si>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</si>
  <si>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</si>
  <si>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</si>
  <si>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</si>
  <si>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</si>
  <si>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</si>
  <si>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</si>
  <si>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</si>
  <si>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</si>
  <si>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</si>
  <si>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</si>
  <si>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</si>
  <si>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</si>
  <si>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</si>
  <si>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</si>
  <si>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</si>
  <si>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</si>
  <si>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</si>
  <si>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</si>
  <si>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</si>
  <si>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</si>
  <si>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</si>
  <si>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</si>
  <si>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</si>
  <si>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</si>
  <si>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</si>
  <si>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</si>
  <si>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</si>
  <si>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</si>
  <si>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</si>
  <si>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</si>
  <si>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</si>
  <si>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</si>
  <si>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</si>
  <si>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</si>
  <si>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</si>
  <si>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</si>
  <si>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</si>
  <si>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</si>
  <si>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</si>
  <si>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</si>
  <si>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</si>
  <si>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</si>
  <si>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</si>
  <si>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</si>
  <si>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</si>
  <si>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</si>
  <si>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</si>
  <si>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</si>
  <si>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</si>
  <si>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</si>
  <si>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</si>
  <si>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</si>
  <si>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</si>
  <si>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</si>
  <si>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</si>
  <si>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</si>
  <si>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</si>
  <si>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</si>
  <si>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</si>
  <si>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</si>
  <si>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</si>
  <si>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</si>
  <si>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</si>
  <si>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</si>
  <si>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</si>
  <si>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</si>
  <si>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</si>
  <si>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</si>
  <si>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</si>
  <si>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</si>
  <si>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</si>
  <si>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</si>
  <si>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</si>
  <si>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</si>
  <si>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Count of outcomes</t>
  </si>
  <si>
    <t>(All)</t>
  </si>
  <si>
    <t>Outcomes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</si>
  <si>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</si>
  <si>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</si>
  <si>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</si>
  <si>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</si>
  <si>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</si>
  <si>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</si>
  <si>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</si>
  <si>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</si>
  <si>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</si>
  <si>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</si>
  <si>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</si>
  <si>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</si>
  <si>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</si>
  <si>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</si>
  <si>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</si>
  <si>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</si>
  <si>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</si>
  <si>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</si>
  <si>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</si>
  <si>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</si>
  <si>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</si>
  <si>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</si>
  <si>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</si>
  <si>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</si>
  <si>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</si>
  <si>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</si>
  <si>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</si>
  <si>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</si>
  <si>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</si>
  <si>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</si>
  <si>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</si>
  <si>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</si>
  <si>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</si>
  <si>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</si>
  <si>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</si>
  <si>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</si>
  <si>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</si>
  <si>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</si>
  <si>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</si>
  <si>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</si>
  <si>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</si>
  <si>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</si>
  <si>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</si>
  <si>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</si>
  <si>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</si>
  <si>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</si>
  <si>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</si>
  <si>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</si>
  <si>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</si>
  <si>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</si>
  <si>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</si>
  <si>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</si>
  <si>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</si>
  <si>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</si>
  <si>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</si>
  <si>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</si>
  <si>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</si>
  <si>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</si>
  <si>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</si>
  <si>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</si>
  <si>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</si>
  <si>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</si>
  <si>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</si>
  <si>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</si>
  <si>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</si>
  <si>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</si>
  <si>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</si>
  <si>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</si>
  <si>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tro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</si>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</sst>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64" fontId="0" fillId="0" borderId="0" xfId="0" applyNumberFormat="1"/>
    <xf numFmtId="164" fontId="1" fillId="0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7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66"/>
        </patternFill>
      </fill>
    </dxf>
    <dxf>
      <fill>
        <patternFill>
          <bgColor rgb="FFFF5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0000"/>
      <color rgb="FFFF5050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F-41BB-A865-1AF117FE1D3C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F-41BB-A865-1AF117FE1D3C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CF-41BB-A865-1AF117FE1D3C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CF-41BB-A865-1AF117FE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226480"/>
        <c:axId val="594231400"/>
      </c:barChart>
      <c:catAx>
        <c:axId val="59422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31400"/>
        <c:crosses val="autoZero"/>
        <c:auto val="1"/>
        <c:lblAlgn val="ctr"/>
        <c:lblOffset val="100"/>
        <c:noMultiLvlLbl val="0"/>
      </c:catAx>
      <c:valAx>
        <c:axId val="594231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2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1-47D4-A03B-27BA9A0AD1BF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1-4DB5-9301-103031BB02A5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1-4DB5-9301-103031BB02A5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91-4DB5-9301-103031BB0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237632"/>
        <c:axId val="594232712"/>
      </c:barChart>
      <c:catAx>
        <c:axId val="59423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32712"/>
        <c:crosses val="autoZero"/>
        <c:auto val="1"/>
        <c:lblAlgn val="ctr"/>
        <c:lblOffset val="100"/>
        <c:noMultiLvlLbl val="0"/>
      </c:catAx>
      <c:valAx>
        <c:axId val="59423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3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B-41E6-A9F1-DAE9CCBBA763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B-41E6-A9F1-DAE9CCBBA763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AB-41E6-A9F1-DAE9CCBBA763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AB-41E6-A9F1-DAE9CCBBA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664512"/>
        <c:axId val="279663200"/>
      </c:lineChart>
      <c:catAx>
        <c:axId val="2796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663200"/>
        <c:crosses val="autoZero"/>
        <c:auto val="1"/>
        <c:lblAlgn val="ctr"/>
        <c:lblOffset val="100"/>
        <c:noMultiLvlLbl val="0"/>
      </c:catAx>
      <c:valAx>
        <c:axId val="27966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6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tro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</c:formatCode>
                <c:ptCount val="12"/>
                <c:pt idx="0">
                  <c:v>69.849999999999994</c:v>
                </c:pt>
                <c:pt idx="1">
                  <c:v>65.400000000000006</c:v>
                </c:pt>
                <c:pt idx="2">
                  <c:v>52.77</c:v>
                </c:pt>
                <c:pt idx="3">
                  <c:v>46.54</c:v>
                </c:pt>
                <c:pt idx="4">
                  <c:v>45.85</c:v>
                </c:pt>
                <c:pt idx="5">
                  <c:v>41.61</c:v>
                </c:pt>
                <c:pt idx="6">
                  <c:v>39.86</c:v>
                </c:pt>
                <c:pt idx="7">
                  <c:v>38.1</c:v>
                </c:pt>
                <c:pt idx="8">
                  <c:v>47.27</c:v>
                </c:pt>
                <c:pt idx="9">
                  <c:v>47.73</c:v>
                </c:pt>
                <c:pt idx="10">
                  <c:v>28.57</c:v>
                </c:pt>
                <c:pt idx="11">
                  <c:v>19.149999999999999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F0-4EDB-AED7-DC8A5497759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tro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</c:formatCode>
                <c:ptCount val="12"/>
                <c:pt idx="0">
                  <c:v>24.51</c:v>
                </c:pt>
                <c:pt idx="1">
                  <c:v>29.47</c:v>
                </c:pt>
                <c:pt idx="2">
                  <c:v>39.200000000000003</c:v>
                </c:pt>
                <c:pt idx="3">
                  <c:v>39.89</c:v>
                </c:pt>
                <c:pt idx="4">
                  <c:v>43.9</c:v>
                </c:pt>
                <c:pt idx="5">
                  <c:v>48.32</c:v>
                </c:pt>
                <c:pt idx="6">
                  <c:v>46.38</c:v>
                </c:pt>
                <c:pt idx="7">
                  <c:v>44.05</c:v>
                </c:pt>
                <c:pt idx="8">
                  <c:v>40</c:v>
                </c:pt>
                <c:pt idx="9">
                  <c:v>36.36</c:v>
                </c:pt>
                <c:pt idx="10">
                  <c:v>52.38</c:v>
                </c:pt>
                <c:pt idx="11">
                  <c:v>57.46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F0-4EDB-AED7-DC8A5497759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tro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</c:formatCode>
                <c:ptCount val="12"/>
                <c:pt idx="0">
                  <c:v>3.9</c:v>
                </c:pt>
                <c:pt idx="1">
                  <c:v>4.21</c:v>
                </c:pt>
                <c:pt idx="2">
                  <c:v>7.2</c:v>
                </c:pt>
                <c:pt idx="3">
                  <c:v>11.08</c:v>
                </c:pt>
                <c:pt idx="4">
                  <c:v>8.2899999999999991</c:v>
                </c:pt>
                <c:pt idx="5">
                  <c:v>9.4</c:v>
                </c:pt>
                <c:pt idx="6">
                  <c:v>13.04</c:v>
                </c:pt>
                <c:pt idx="7">
                  <c:v>15.48</c:v>
                </c:pt>
                <c:pt idx="8">
                  <c:v>12.73</c:v>
                </c:pt>
                <c:pt idx="9">
                  <c:v>13.64</c:v>
                </c:pt>
                <c:pt idx="10">
                  <c:v>19.05</c:v>
                </c:pt>
                <c:pt idx="11">
                  <c:v>22.27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F0-4EDB-AED7-DC8A54977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179872"/>
        <c:axId val="637175280"/>
      </c:lineChart>
      <c:catAx>
        <c:axId val="63717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75280"/>
        <c:crosses val="autoZero"/>
        <c:auto val="1"/>
        <c:lblAlgn val="ctr"/>
        <c:lblOffset val="100"/>
        <c:noMultiLvlLbl val="0"/>
      </c:catAx>
      <c:valAx>
        <c:axId val="6371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7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0</xdr:row>
      <xdr:rowOff>133350</xdr:rowOff>
    </xdr:from>
    <xdr:to>
      <xdr:col>16</xdr:col>
      <xdr:colOff>152400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EF4C9-2BEA-4EDE-9424-95259279F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18</xdr:row>
      <xdr:rowOff>152400</xdr:rowOff>
    </xdr:from>
    <xdr:to>
      <xdr:col>18</xdr:col>
      <xdr:colOff>556260</xdr:colOff>
      <xdr:row>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BBEB8-D8D0-4F53-BC5F-E126452FA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3</xdr:row>
      <xdr:rowOff>34290</xdr:rowOff>
    </xdr:from>
    <xdr:to>
      <xdr:col>16</xdr:col>
      <xdr:colOff>563880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4BC67-AFE2-4DD2-863F-81AEDB0DD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13</xdr:row>
      <xdr:rowOff>163830</xdr:rowOff>
    </xdr:from>
    <xdr:to>
      <xdr:col>14</xdr:col>
      <xdr:colOff>381000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D0C4A-13C3-4C50-8787-C7EBBFFAB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3611.697974884257" createdVersion="6" refreshedVersion="6" minRefreshableVersion="3" recordCount="4114" xr:uid="{5B1F5C15-94C8-45C7-80B4-0526AA1D20A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3611.906400347223" createdVersion="6" refreshedVersion="6" minRefreshableVersion="3" recordCount="4114" xr:uid="{AD804993-08B5-4ABB-A178-AAD9FDA2AB9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16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16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16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F6770-C1A0-4AA4-8291-864FE154C8D7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Outcomes"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numFmtId="2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69D40-C98A-4C77-85E4-A9F3132CF7B4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062E40-9C6C-44D4-BEC6-3A6AB7C3F675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J1" zoomScale="80" zoomScaleNormal="80" workbookViewId="0">
      <selection activeCell="N1685" sqref="N168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23.77734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109375" style="6" customWidth="1"/>
    <col min="16" max="16" width="23.21875" customWidth="1"/>
    <col min="17" max="17" width="17.6640625" customWidth="1"/>
    <col min="18" max="18" width="18" bestFit="1" customWidth="1"/>
    <col min="19" max="19" width="33.88671875" style="13" customWidth="1"/>
    <col min="20" max="20" width="3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1" t="s">
        <v>8368</v>
      </c>
      <c r="T1" s="1" t="s">
        <v>8369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IFERROR(E2/L2,0)</f>
        <v>63.917582417582416</v>
      </c>
      <c r="Q2" t="str">
        <f>LEFT(N2,FIND("/",N2)-1)</f>
        <v>film &amp; video</v>
      </c>
      <c r="R2" t="str">
        <f>RIGHT(N2,(LEN(N2)-FIND("/",N2)))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RIGHT(N3,(LEN(N3)-FIND("/",N3)))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5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RIGHT(N67,(LEN(N67)-FIND("/",N67)))</f>
        <v>shorts</v>
      </c>
      <c r="S67" s="12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5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RIGHT(N131,(LEN(N131)-FIND("/",N131)))</f>
        <v>science fiction</v>
      </c>
      <c r="S131" s="12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RIGHT(N195,(LEN(N195)-FIND("/",N195)))</f>
        <v>drama</v>
      </c>
      <c r="S195" s="12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5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RIGHT(N259,(LEN(N259)-FIND("/",N259)))</f>
        <v>documentary</v>
      </c>
      <c r="S259" s="12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5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RIGHT(N323,(LEN(N323)-FIND("/",N323)))</f>
        <v>documentary</v>
      </c>
      <c r="S323" s="12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5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RIGHT(N387,(LEN(N387)-FIND("/",N387)))</f>
        <v>documentary</v>
      </c>
      <c r="S387" s="12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5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RIGHT(N451,(LEN(N451)-FIND("/",N451)))</f>
        <v>animation</v>
      </c>
      <c r="S451" s="12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RIGHT(N515,(LEN(N515)-FIND("/",N515)))</f>
        <v>animation</v>
      </c>
      <c r="S515" s="12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5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RIGHT(N579,(LEN(N579)-FIND("/",N579)))</f>
        <v>web</v>
      </c>
      <c r="S579" s="12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5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RIGHT(N643,(LEN(N643)-FIND("/",N643)))</f>
        <v>wearables</v>
      </c>
      <c r="S643" s="12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5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RIGHT(N707,(LEN(N707)-FIND("/",N707)))</f>
        <v>wearables</v>
      </c>
      <c r="S707" s="12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5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RIGHT(N771,(LEN(N771)-FIND("/",N771)))</f>
        <v>fiction</v>
      </c>
      <c r="S771" s="12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RIGHT(N835,(LEN(N835)-FIND("/",N835)))</f>
        <v>rock</v>
      </c>
      <c r="S835" s="12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5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RIGHT(N899,(LEN(N899)-FIND("/",N899)))</f>
        <v>indie rock</v>
      </c>
      <c r="S899" s="12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5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RIGHT(N963,(LEN(N963)-FIND("/",N963)))</f>
        <v>wearables</v>
      </c>
      <c r="S963" s="12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5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RIGHT(N1027,(LEN(N1027)-FIND("/",N1027)))</f>
        <v>electronic music</v>
      </c>
      <c r="S1027" s="12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5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RIGHT(N1091,(LEN(N1091)-FIND("/",N1091)))</f>
        <v>video games</v>
      </c>
      <c r="S1091" s="12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RIGHT(N1155,(LEN(N1155)-FIND("/",N1155)))</f>
        <v>food trucks</v>
      </c>
      <c r="S1155" s="12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5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RIGHT(N1219,(LEN(N1219)-FIND("/",N1219)))</f>
        <v>photobooks</v>
      </c>
      <c r="S1219" s="12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5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RIGHT(N1283,(LEN(N1283)-FIND("/",N1283)))</f>
        <v>rock</v>
      </c>
      <c r="S1283" s="12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5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RIGHT(N1347,(LEN(N1347)-FIND("/",N1347)))</f>
        <v>nonfiction</v>
      </c>
      <c r="S1347" s="12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5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RIGHT(N1411,(LEN(N1411)-FIND("/",N1411)))</f>
        <v>translations</v>
      </c>
      <c r="S1411" s="12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RIGHT(N1475,(LEN(N1475)-FIND("/",N1475)))</f>
        <v>radio &amp; podcasts</v>
      </c>
      <c r="S1475" s="12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5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RIGHT(N1539,(LEN(N1539)-FIND("/",N1539)))</f>
        <v>photobooks</v>
      </c>
      <c r="S1539" s="12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5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RIGHT(N1603,(LEN(N1603)-FIND("/",N1603)))</f>
        <v>rock</v>
      </c>
      <c r="S1603" s="12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5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RIGHT(N1667,(LEN(N1667)-FIND("/",N1667)))</f>
        <v>pop</v>
      </c>
      <c r="S1667" s="12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E1683/D1683*100</f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5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RIGHT(N1731,(LEN(N1731)-FIND("/",N1731)))</f>
        <v>faith</v>
      </c>
      <c r="S1731" s="12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RIGHT(N1795,(LEN(N1795)-FIND("/",N1795)))</f>
        <v>photobooks</v>
      </c>
      <c r="S1795" s="12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5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RIGHT(N1859,(LEN(N1859)-FIND("/",N1859)))</f>
        <v>rock</v>
      </c>
      <c r="S1859" s="12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5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RIGHT(N1923,(LEN(N1923)-FIND("/",N1923)))</f>
        <v>indie rock</v>
      </c>
      <c r="S1923" s="12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5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RIGHT(N1987,(LEN(N1987)-FIND("/",N1987)))</f>
        <v>people</v>
      </c>
      <c r="S1987" s="12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5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RIGHT(N2051,(LEN(N2051)-FIND("/",N2051)))</f>
        <v>hardware</v>
      </c>
      <c r="S2051" s="12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RIGHT(N2115,(LEN(N2115)-FIND("/",N2115)))</f>
        <v>indie rock</v>
      </c>
      <c r="S2115" s="12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5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RIGHT(N2179,(LEN(N2179)-FIND("/",N2179)))</f>
        <v>rock</v>
      </c>
      <c r="S2179" s="12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5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RIGHT(N2243,(LEN(N2243)-FIND("/",N2243)))</f>
        <v>tabletop games</v>
      </c>
      <c r="S2243" s="12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5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RIGHT(N2307,(LEN(N2307)-FIND("/",N2307)))</f>
        <v>indie rock</v>
      </c>
      <c r="S2307" s="12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5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RIGHT(N2371,(LEN(N2371)-FIND("/",N2371)))</f>
        <v>web</v>
      </c>
      <c r="S2371" s="12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RIGHT(N2435,(LEN(N2435)-FIND("/",N2435)))</f>
        <v>food trucks</v>
      </c>
      <c r="S2435" s="12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5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RIGHT(N2499,(LEN(N2499)-FIND("/",N2499)))</f>
        <v>indie rock</v>
      </c>
      <c r="S2499" s="12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5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RIGHT(N2563,(LEN(N2563)-FIND("/",N2563)))</f>
        <v>food trucks</v>
      </c>
      <c r="S2563" s="12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5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RIGHT(N2627,(LEN(N2627)-FIND("/",N2627)))</f>
        <v>space exploration</v>
      </c>
      <c r="S2627" s="12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5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RIGHT(N2691,(LEN(N2691)-FIND("/",N2691)))</f>
        <v>food trucks</v>
      </c>
      <c r="S2691" s="12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RIGHT(N2755,(LEN(N2755)-FIND("/",N2755)))</f>
        <v>children's books</v>
      </c>
      <c r="S2755" s="12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5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RIGHT(N2819,(LEN(N2819)-FIND("/",N2819)))</f>
        <v>plays</v>
      </c>
      <c r="S2819" s="12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5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RIGHT(N2883,(LEN(N2883)-FIND("/",N2883)))</f>
        <v>plays</v>
      </c>
      <c r="S2883" s="12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5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RIGHT(N2947,(LEN(N2947)-FIND("/",N2947)))</f>
        <v>spaces</v>
      </c>
      <c r="S2947" s="12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5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RIGHT(N3011,(LEN(N3011)-FIND("/",N3011)))</f>
        <v>spaces</v>
      </c>
      <c r="S3011" s="12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RIGHT(N3075,(LEN(N3075)-FIND("/",N3075)))</f>
        <v>spaces</v>
      </c>
      <c r="S3075" s="12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5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RIGHT(N3139,(LEN(N3139)-FIND("/",N3139)))</f>
        <v>plays</v>
      </c>
      <c r="S3139" s="12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5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RIGHT(N3203,(LEN(N3203)-FIND("/",N3203)))</f>
        <v>musical</v>
      </c>
      <c r="S3203" s="12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5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RIGHT(N3267,(LEN(N3267)-FIND("/",N3267)))</f>
        <v>plays</v>
      </c>
      <c r="S3267" s="12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5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RIGHT(N3331,(LEN(N3331)-FIND("/",N3331)))</f>
        <v>plays</v>
      </c>
      <c r="S3331" s="12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RIGHT(N3395,(LEN(N3395)-FIND("/",N3395)))</f>
        <v>plays</v>
      </c>
      <c r="S3395" s="12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5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RIGHT(N3459,(LEN(N3459)-FIND("/",N3459)))</f>
        <v>plays</v>
      </c>
      <c r="S3459" s="12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5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RIGHT(N3523,(LEN(N3523)-FIND("/",N3523)))</f>
        <v>plays</v>
      </c>
      <c r="S3523" s="12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5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RIGHT(N3587,(LEN(N3587)-FIND("/",N3587)))</f>
        <v>plays</v>
      </c>
      <c r="S3587" s="12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5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RIGHT(N3651,(LEN(N3651)-FIND("/",N3651)))</f>
        <v>plays</v>
      </c>
      <c r="S3651" s="12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RIGHT(N3715,(LEN(N3715)-FIND("/",N3715)))</f>
        <v>plays</v>
      </c>
      <c r="S3715" s="12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5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RIGHT(N3779,(LEN(N3779)-FIND("/",N3779)))</f>
        <v>musical</v>
      </c>
      <c r="S3779" s="12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5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RIGHT(N3843,(LEN(N3843)-FIND("/",N3843)))</f>
        <v>plays</v>
      </c>
      <c r="S3843" s="12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5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RIGHT(N3907,(LEN(N3907)-FIND("/",N3907)))</f>
        <v>plays</v>
      </c>
      <c r="S3907" s="12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5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RIGHT(N3971,(LEN(N3971)-FIND("/",N3971)))</f>
        <v>plays</v>
      </c>
      <c r="S3971" s="12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RIGHT(N4035,(LEN(N4035)-FIND("/",N4035)))</f>
        <v>plays</v>
      </c>
      <c r="S4035" s="12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5">
        <f t="shared" ref="P4099:P4115" si="385">IFERROR(E4099/L4099,0)</f>
        <v>0</v>
      </c>
      <c r="Q4099" t="str">
        <f t="shared" ref="Q4099:Q4105" si="386">LEFT(N4099,FIND("/",N4099)-1)</f>
        <v>theater</v>
      </c>
      <c r="R4099" t="str">
        <f t="shared" ref="R4099:R4115" si="387">RIGHT(N4099,(LEN(N4099)-FIND("/",N4099)))</f>
        <v>plays</v>
      </c>
      <c r="S4099" s="12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ref="Q4106:Q4115" si="390">LEFT(N4106, SEARCH("/",N4106,1)-1)</f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90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90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90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90"/>
        <v>theater</v>
      </c>
      <c r="R4110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90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90"/>
        <v>theater</v>
      </c>
      <c r="R4112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90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90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90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T4115" xr:uid="{EAFE9158-B849-48A8-B6A5-5D6EEE0E8568}">
    <filterColumn colId="5">
      <filters>
        <filter val="live"/>
      </filters>
    </filterColumn>
  </autoFilter>
  <conditionalFormatting sqref="F1:F1048576">
    <cfRule type="containsText" dxfId="6" priority="7" operator="containsText" text="live">
      <formula>NOT(ISERROR(SEARCH("live",F1)))</formula>
    </cfRule>
    <cfRule type="containsText" dxfId="5" priority="8" operator="containsText" text="failed">
      <formula>NOT(ISERROR(SEARCH("failed",F1)))</formula>
    </cfRule>
    <cfRule type="containsText" dxfId="4" priority="9" operator="containsText" text="canceled">
      <formula>NOT(ISERROR(SEARCH("canceled",F1)))</formula>
    </cfRule>
    <cfRule type="containsText" dxfId="3" priority="10" operator="containsText" text="successful">
      <formula>NOT(ISERROR(SEARCH("successful",F1)))</formula>
    </cfRule>
  </conditionalFormatting>
  <conditionalFormatting sqref="O2:O4115">
    <cfRule type="cellIs" dxfId="2" priority="1" operator="greaterThanOrEqual">
      <formula>200</formula>
    </cfRule>
    <cfRule type="cellIs" dxfId="1" priority="2" operator="between">
      <formula>100</formula>
      <formula>199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846CD-5EB6-4529-9689-40B114DB4915}">
  <dimension ref="A1:F27"/>
  <sheetViews>
    <sheetView workbookViewId="0">
      <selection activeCell="C26" sqref="C26"/>
    </sheetView>
  </sheetViews>
  <sheetFormatPr defaultRowHeight="14.4" x14ac:dyDescent="0.3"/>
  <cols>
    <col min="1" max="1" width="17.33203125" bestFit="1" customWidth="1"/>
    <col min="2" max="5" width="11.77734375" bestFit="1" customWidth="1"/>
    <col min="6" max="6" width="10.77734375" bestFit="1" customWidth="1"/>
  </cols>
  <sheetData>
    <row r="1" spans="1:6" x14ac:dyDescent="0.3">
      <c r="A1" s="8" t="s">
        <v>8223</v>
      </c>
      <c r="B1" t="s">
        <v>8323</v>
      </c>
    </row>
    <row r="3" spans="1:6" x14ac:dyDescent="0.3">
      <c r="A3" s="8" t="s">
        <v>8322</v>
      </c>
      <c r="B3" s="8" t="s">
        <v>8324</v>
      </c>
    </row>
    <row r="4" spans="1:6" x14ac:dyDescent="0.3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t="s">
        <v>8314</v>
      </c>
      <c r="B8" s="10"/>
      <c r="C8" s="10"/>
      <c r="D8" s="10">
        <v>24</v>
      </c>
      <c r="E8" s="10"/>
      <c r="F8" s="10">
        <v>24</v>
      </c>
    </row>
    <row r="9" spans="1:6" x14ac:dyDescent="0.3">
      <c r="A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9" spans="2:6" x14ac:dyDescent="0.3">
      <c r="B19" s="10"/>
      <c r="C19" s="10"/>
      <c r="D19" s="10"/>
      <c r="E19" s="10"/>
      <c r="F19" s="10"/>
    </row>
    <row r="20" spans="2:6" x14ac:dyDescent="0.3">
      <c r="B20" s="10"/>
      <c r="C20" s="10"/>
      <c r="D20" s="10"/>
      <c r="E20" s="10"/>
      <c r="F20" s="10"/>
    </row>
    <row r="21" spans="2:6" x14ac:dyDescent="0.3">
      <c r="B21" s="10"/>
      <c r="C21" s="10"/>
      <c r="D21" s="10"/>
      <c r="E21" s="10"/>
      <c r="F21" s="10"/>
    </row>
    <row r="22" spans="2:6" x14ac:dyDescent="0.3">
      <c r="B22" s="10"/>
      <c r="C22" s="10"/>
      <c r="D22" s="10"/>
      <c r="E22" s="10"/>
      <c r="F22" s="10"/>
    </row>
    <row r="23" spans="2:6" x14ac:dyDescent="0.3">
      <c r="B23" s="10"/>
      <c r="C23" s="10"/>
      <c r="D23" s="10"/>
      <c r="E23" s="10"/>
      <c r="F23" s="10"/>
    </row>
    <row r="24" spans="2:6" x14ac:dyDescent="0.3">
      <c r="B24" s="10"/>
      <c r="C24" s="10"/>
      <c r="D24" s="10"/>
      <c r="E24" s="10"/>
      <c r="F24" s="10"/>
    </row>
    <row r="25" spans="2:6" x14ac:dyDescent="0.3">
      <c r="B25" s="10"/>
      <c r="C25" s="10"/>
      <c r="D25" s="10"/>
      <c r="E25" s="10"/>
      <c r="F25" s="10"/>
    </row>
    <row r="26" spans="2:6" x14ac:dyDescent="0.3">
      <c r="B26" s="10"/>
      <c r="C26" s="10"/>
      <c r="D26" s="10"/>
      <c r="E26" s="10"/>
      <c r="F26" s="10"/>
    </row>
    <row r="27" spans="2:6" x14ac:dyDescent="0.3">
      <c r="B27" s="10"/>
      <c r="C27" s="10"/>
      <c r="D27" s="10"/>
      <c r="E27" s="10"/>
      <c r="F27" s="1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129C0-D245-4331-8FEF-1CA1BCBE0ADD}">
  <dimension ref="A1:F47"/>
  <sheetViews>
    <sheetView workbookViewId="0"/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8323</v>
      </c>
    </row>
    <row r="2" spans="1:6" x14ac:dyDescent="0.3">
      <c r="A2" s="8" t="s">
        <v>8308</v>
      </c>
      <c r="B2" t="s">
        <v>8323</v>
      </c>
    </row>
    <row r="4" spans="1:6" x14ac:dyDescent="0.3">
      <c r="A4" s="8" t="s">
        <v>8367</v>
      </c>
      <c r="B4" s="8" t="s">
        <v>8325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9" t="s">
        <v>8326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8327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8328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8329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8330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8331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8334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8335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8337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8338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8341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8342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8346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8350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8351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8354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8355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8356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8360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8361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8362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8363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8365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8366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3CD70-7D5D-4EAF-919F-0607FAA6B596}">
  <dimension ref="A1:F18"/>
  <sheetViews>
    <sheetView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8308</v>
      </c>
      <c r="B1" t="s">
        <v>8323</v>
      </c>
    </row>
    <row r="2" spans="1:6" x14ac:dyDescent="0.3">
      <c r="A2" s="8" t="s">
        <v>8382</v>
      </c>
      <c r="B2" t="s">
        <v>8323</v>
      </c>
    </row>
    <row r="4" spans="1:6" x14ac:dyDescent="0.3">
      <c r="A4" s="8" t="s">
        <v>8321</v>
      </c>
      <c r="B4" s="8" t="s">
        <v>8325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4" t="s">
        <v>8376</v>
      </c>
      <c r="B6" s="10">
        <v>183</v>
      </c>
      <c r="C6" s="10">
        <v>149</v>
      </c>
      <c r="D6" s="10">
        <v>34</v>
      </c>
      <c r="E6" s="10">
        <v>2</v>
      </c>
      <c r="F6" s="10">
        <v>368</v>
      </c>
    </row>
    <row r="7" spans="1:6" x14ac:dyDescent="0.3">
      <c r="A7" s="14" t="s">
        <v>8377</v>
      </c>
      <c r="B7" s="10">
        <v>202</v>
      </c>
      <c r="C7" s="10">
        <v>105</v>
      </c>
      <c r="D7" s="10">
        <v>27</v>
      </c>
      <c r="E7" s="10">
        <v>18</v>
      </c>
      <c r="F7" s="10">
        <v>352</v>
      </c>
    </row>
    <row r="8" spans="1:6" x14ac:dyDescent="0.3">
      <c r="A8" s="14" t="s">
        <v>8378</v>
      </c>
      <c r="B8" s="10">
        <v>179</v>
      </c>
      <c r="C8" s="10">
        <v>108</v>
      </c>
      <c r="D8" s="10">
        <v>28</v>
      </c>
      <c r="E8" s="10">
        <v>30</v>
      </c>
      <c r="F8" s="10">
        <v>345</v>
      </c>
    </row>
    <row r="9" spans="1:6" x14ac:dyDescent="0.3">
      <c r="A9" s="14" t="s">
        <v>8379</v>
      </c>
      <c r="B9" s="10">
        <v>193</v>
      </c>
      <c r="C9" s="10">
        <v>103</v>
      </c>
      <c r="D9" s="10">
        <v>27</v>
      </c>
      <c r="E9" s="10"/>
      <c r="F9" s="10">
        <v>323</v>
      </c>
    </row>
    <row r="10" spans="1:6" x14ac:dyDescent="0.3">
      <c r="A10" s="14" t="s">
        <v>8370</v>
      </c>
      <c r="B10" s="10">
        <v>233</v>
      </c>
      <c r="C10" s="10">
        <v>126</v>
      </c>
      <c r="D10" s="10">
        <v>26</v>
      </c>
      <c r="E10" s="10"/>
      <c r="F10" s="10">
        <v>385</v>
      </c>
    </row>
    <row r="11" spans="1:6" x14ac:dyDescent="0.3">
      <c r="A11" s="14" t="s">
        <v>8380</v>
      </c>
      <c r="B11" s="10">
        <v>213</v>
      </c>
      <c r="C11" s="10">
        <v>148</v>
      </c>
      <c r="D11" s="10">
        <v>27</v>
      </c>
      <c r="E11" s="10"/>
      <c r="F11" s="10">
        <v>388</v>
      </c>
    </row>
    <row r="12" spans="1:6" x14ac:dyDescent="0.3">
      <c r="A12" s="14" t="s">
        <v>8371</v>
      </c>
      <c r="B12" s="10">
        <v>192</v>
      </c>
      <c r="C12" s="10">
        <v>148</v>
      </c>
      <c r="D12" s="10">
        <v>44</v>
      </c>
      <c r="E12" s="10"/>
      <c r="F12" s="10">
        <v>384</v>
      </c>
    </row>
    <row r="13" spans="1:6" x14ac:dyDescent="0.3">
      <c r="A13" s="14" t="s">
        <v>8372</v>
      </c>
      <c r="B13" s="10">
        <v>167</v>
      </c>
      <c r="C13" s="10">
        <v>134</v>
      </c>
      <c r="D13" s="10">
        <v>32</v>
      </c>
      <c r="E13" s="10"/>
      <c r="F13" s="10">
        <v>333</v>
      </c>
    </row>
    <row r="14" spans="1:6" x14ac:dyDescent="0.3">
      <c r="A14" s="14" t="s">
        <v>8373</v>
      </c>
      <c r="B14" s="10">
        <v>148</v>
      </c>
      <c r="C14" s="10">
        <v>127</v>
      </c>
      <c r="D14" s="10">
        <v>24</v>
      </c>
      <c r="E14" s="10"/>
      <c r="F14" s="10">
        <v>299</v>
      </c>
    </row>
    <row r="15" spans="1:6" x14ac:dyDescent="0.3">
      <c r="A15" s="14" t="s">
        <v>8374</v>
      </c>
      <c r="B15" s="10">
        <v>184</v>
      </c>
      <c r="C15" s="10">
        <v>150</v>
      </c>
      <c r="D15" s="10">
        <v>20</v>
      </c>
      <c r="E15" s="10"/>
      <c r="F15" s="10">
        <v>354</v>
      </c>
    </row>
    <row r="16" spans="1:6" x14ac:dyDescent="0.3">
      <c r="A16" s="14" t="s">
        <v>8375</v>
      </c>
      <c r="B16" s="10">
        <v>180</v>
      </c>
      <c r="C16" s="10">
        <v>113</v>
      </c>
      <c r="D16" s="10">
        <v>37</v>
      </c>
      <c r="E16" s="10"/>
      <c r="F16" s="10">
        <v>330</v>
      </c>
    </row>
    <row r="17" spans="1:6" x14ac:dyDescent="0.3">
      <c r="A17" s="14" t="s">
        <v>8381</v>
      </c>
      <c r="B17" s="10">
        <v>111</v>
      </c>
      <c r="C17" s="10">
        <v>119</v>
      </c>
      <c r="D17" s="10">
        <v>23</v>
      </c>
      <c r="E17" s="10"/>
      <c r="F17" s="10">
        <v>253</v>
      </c>
    </row>
    <row r="18" spans="1:6" x14ac:dyDescent="0.3">
      <c r="A18" s="14" t="s">
        <v>8320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86553-95D7-4507-8666-51EE6BFDF0B3}">
  <dimension ref="A1:H13"/>
  <sheetViews>
    <sheetView workbookViewId="0">
      <selection activeCell="F2" sqref="F2:H13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2.77734375" bestFit="1" customWidth="1"/>
    <col min="4" max="4" width="16.1093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5" t="s">
        <v>8383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5" t="s">
        <v>8388</v>
      </c>
      <c r="G1" s="15" t="s">
        <v>8389</v>
      </c>
      <c r="H1" s="15" t="s">
        <v>8390</v>
      </c>
    </row>
    <row r="2" spans="1:8" x14ac:dyDescent="0.3">
      <c r="A2" s="15" t="s">
        <v>8391</v>
      </c>
      <c r="B2">
        <f>COUNTIFS(Sheet1!F2:F4115,"=successful", Sheet1!D2:D4115, "&lt;1000")</f>
        <v>322</v>
      </c>
      <c r="C2">
        <f>COUNTIFS(Sheet1!F2:F4115,"=failed", Sheet1!D2:D4115, "&lt;1000")</f>
        <v>113</v>
      </c>
      <c r="D2">
        <f>COUNTIFS(Sheet1!F2:F4115,"=canceled", Sheet1!D2:D4115, "&lt;1000")</f>
        <v>18</v>
      </c>
      <c r="E2">
        <f>COUNTIFS(Sheet1!D2:D4115, "&lt;1000")</f>
        <v>461</v>
      </c>
      <c r="F2" s="6">
        <f>ROUND(B2/E2*100, 2)</f>
        <v>69.849999999999994</v>
      </c>
      <c r="G2" s="6">
        <f>ROUND(C2/E2*100, 2)</f>
        <v>24.51</v>
      </c>
      <c r="H2" s="6">
        <f>ROUND(D2/E2*100, 2)</f>
        <v>3.9</v>
      </c>
    </row>
    <row r="3" spans="1:8" x14ac:dyDescent="0.3">
      <c r="A3" s="15" t="s">
        <v>8392</v>
      </c>
      <c r="B3">
        <f>COUNTIFS(Sheet1!F2:F4115,"=successful", Sheet1!D2:D4115, "&gt;= 1000", Sheet1!D2:D4115, "&lt;=4999")</f>
        <v>932</v>
      </c>
      <c r="C3">
        <f>COUNTIFS(Sheet1!F2:F4115,"=failed", Sheet1!D2:D4115, "&gt;=1000", Sheet1!D2:D4115, "&lt;=4999")</f>
        <v>420</v>
      </c>
      <c r="D3">
        <f>COUNTIFS(Sheet1!F2:F4115,"=canceled",  Sheet1!D2:D4115, "&gt;=1000", Sheet1!D2:D4115, "&lt;=4999")</f>
        <v>60</v>
      </c>
      <c r="E3">
        <f>COUNTIFS(Sheet1!D2:D4115, "&gt;=1000", Sheet1!D2:D4115, "&lt;=4999")</f>
        <v>1425</v>
      </c>
      <c r="F3" s="6">
        <f t="shared" ref="F3:F13" si="0">ROUND(B3/E3*100, 2)</f>
        <v>65.400000000000006</v>
      </c>
      <c r="G3" s="6">
        <f t="shared" ref="G3:G13" si="1">ROUND(C3/E3*100, 2)</f>
        <v>29.47</v>
      </c>
      <c r="H3" s="6">
        <f t="shared" ref="H3:H13" si="2">ROUND(D3/E3*100, 2)</f>
        <v>4.21</v>
      </c>
    </row>
    <row r="4" spans="1:8" x14ac:dyDescent="0.3">
      <c r="A4" s="15" t="s">
        <v>8393</v>
      </c>
      <c r="B4">
        <f>COUNTIFS(Sheet1!$F$2:$F$4115,"=successful", Sheet1!$D$2:$D$4115, "&gt;= 5000", Sheet1!$D$2:$D$4115, "&lt;=9999")</f>
        <v>381</v>
      </c>
      <c r="C4">
        <f>COUNTIFS(Sheet1!$F$2:$F$4115,"=failed", Sheet1!$D$2:$D$4115, "&gt;=5000", Sheet1!$D$2:$D$4115, "&lt;=9999")</f>
        <v>283</v>
      </c>
      <c r="D4">
        <f>COUNTIFS(Sheet1!$F$2:$F$4115,"=canceled",  Sheet1!$D$2:$D$4115, "&gt;=5000", Sheet1!$D$2:$D$4115, "&lt;=9999")</f>
        <v>52</v>
      </c>
      <c r="E4">
        <f>COUNTIFS(Sheet1!$D$2:$D$4115, "&gt;=5000", Sheet1!$D$2:$D$4115, "&lt;=9999")</f>
        <v>722</v>
      </c>
      <c r="F4" s="6">
        <f t="shared" si="0"/>
        <v>52.77</v>
      </c>
      <c r="G4" s="6">
        <f t="shared" si="1"/>
        <v>39.200000000000003</v>
      </c>
      <c r="H4" s="6">
        <f t="shared" si="2"/>
        <v>7.2</v>
      </c>
    </row>
    <row r="5" spans="1:8" x14ac:dyDescent="0.3">
      <c r="A5" s="15" t="s">
        <v>8394</v>
      </c>
      <c r="B5">
        <f>COUNTIFS(Sheet1!$F$2:$F$4115,"=successful", Sheet1!$D$2:$D$4115, "&gt;= 10000", Sheet1!$D$2:$D$4115, "&lt;=14999")</f>
        <v>168</v>
      </c>
      <c r="C5">
        <f>COUNTIFS(Sheet1!$F$2:$F$4115,"=failed", Sheet1!$D$2:$D$4115, "&gt;=10000", Sheet1!$D$2:$D$4115, "&lt;=14999")</f>
        <v>144</v>
      </c>
      <c r="D5">
        <f>COUNTIFS(Sheet1!$F$2:$F$4115,"=canceled",  Sheet1!$D$2:$D$4115, "&gt;=10000", Sheet1!$D$2:$D$4115, "&lt;=14999")</f>
        <v>40</v>
      </c>
      <c r="E5">
        <f>COUNTIFS(Sheet1!$D$2:$D$4115, "&gt;=10000", Sheet1!$D$2:$D$4115, "&lt;=14999")</f>
        <v>361</v>
      </c>
      <c r="F5" s="6">
        <f t="shared" si="0"/>
        <v>46.54</v>
      </c>
      <c r="G5" s="6">
        <f t="shared" si="1"/>
        <v>39.89</v>
      </c>
      <c r="H5" s="6">
        <f t="shared" si="2"/>
        <v>11.08</v>
      </c>
    </row>
    <row r="6" spans="1:8" x14ac:dyDescent="0.3">
      <c r="A6" s="15" t="s">
        <v>8395</v>
      </c>
      <c r="B6">
        <f>COUNTIFS(Sheet1!$F$2:$F$4115,"=successful", Sheet1!$D$2:$D$4115, "&gt;= 15000", Sheet1!$D$2:$D$4115, "&lt;=19999")</f>
        <v>94</v>
      </c>
      <c r="C6">
        <f>COUNTIFS(Sheet1!$F$2:$F$4115,"=failed", Sheet1!$D$2:$D$4115, "&gt;=15000", Sheet1!$D$2:$D$4115, "&lt;=19999")</f>
        <v>90</v>
      </c>
      <c r="D6">
        <f>COUNTIFS(Sheet1!$F$2:$F$4115,"=canceled",  Sheet1!$D$2:$D$4115, "&gt;=15000", Sheet1!$D$2:$D$4115, "&lt;=19999")</f>
        <v>17</v>
      </c>
      <c r="E6">
        <f>COUNTIFS(Sheet1!$D$2:$D$4115, "&gt;=15000", Sheet1!$D$2:$D$4115, "&lt;=19999")</f>
        <v>205</v>
      </c>
      <c r="F6" s="6">
        <f t="shared" si="0"/>
        <v>45.85</v>
      </c>
      <c r="G6" s="6">
        <f t="shared" si="1"/>
        <v>43.9</v>
      </c>
      <c r="H6" s="6">
        <f t="shared" si="2"/>
        <v>8.2899999999999991</v>
      </c>
    </row>
    <row r="7" spans="1:8" x14ac:dyDescent="0.3">
      <c r="A7" s="15" t="s">
        <v>8396</v>
      </c>
      <c r="B7">
        <f>COUNTIFS(Sheet1!$F$2:$F$4115,"=successful", Sheet1!$D$2:$D$4115, "&gt;= 20000", Sheet1!$D$2:$D$4115, "&lt;=24999")</f>
        <v>62</v>
      </c>
      <c r="C7">
        <f>COUNTIFS(Sheet1!$F$2:$F$4115,"=failed", Sheet1!$D$2:$D$4115, "&gt;=20000", Sheet1!$D$2:$D$4115, "&lt;=24999")</f>
        <v>72</v>
      </c>
      <c r="D7">
        <f>COUNTIFS(Sheet1!$F$2:$F$4115,"=canceled",  Sheet1!$D$2:$D$4115, "&gt;=20000", Sheet1!$D$2:$D$4115, "&lt;=24999")</f>
        <v>14</v>
      </c>
      <c r="E7">
        <f>COUNTIFS(Sheet1!$D$2:$D$4115, "&gt;=20000", Sheet1!$D$2:$D$4115, "&lt;=24999")</f>
        <v>149</v>
      </c>
      <c r="F7" s="6">
        <f t="shared" si="0"/>
        <v>41.61</v>
      </c>
      <c r="G7" s="6">
        <f t="shared" si="1"/>
        <v>48.32</v>
      </c>
      <c r="H7" s="6">
        <f t="shared" si="2"/>
        <v>9.4</v>
      </c>
    </row>
    <row r="8" spans="1:8" x14ac:dyDescent="0.3">
      <c r="A8" s="15" t="s">
        <v>8397</v>
      </c>
      <c r="B8">
        <f>COUNTIFS(Sheet1!$F$2:$F$4115,"=successful", Sheet1!$D$2:$D$4115, "&gt;= 25000", Sheet1!$D$2:$D$4115, "&lt;=29999")</f>
        <v>55</v>
      </c>
      <c r="C8">
        <f>COUNTIFS(Sheet1!$F$2:$F$4115,"=failed", Sheet1!$D$2:$D$4115, "&gt;=25000", Sheet1!$D$2:$D$4115, "&lt;=29999")</f>
        <v>64</v>
      </c>
      <c r="D8">
        <f>COUNTIFS(Sheet1!$F$2:$F$4115,"=canceled",  Sheet1!$D$2:$D$4115, "&gt;=25000", Sheet1!$D$2:$D$4115, "&lt;=29999")</f>
        <v>18</v>
      </c>
      <c r="E8">
        <f>COUNTIFS(Sheet1!$D$2:$D$4115, "&gt;=25000", Sheet1!$D$2:$D$4115, "&lt;=29999")</f>
        <v>138</v>
      </c>
      <c r="F8" s="6">
        <f t="shared" si="0"/>
        <v>39.86</v>
      </c>
      <c r="G8" s="6">
        <f t="shared" si="1"/>
        <v>46.38</v>
      </c>
      <c r="H8" s="6">
        <f t="shared" si="2"/>
        <v>13.04</v>
      </c>
    </row>
    <row r="9" spans="1:8" x14ac:dyDescent="0.3">
      <c r="A9" s="15" t="s">
        <v>8398</v>
      </c>
      <c r="B9">
        <f>COUNTIFS(Sheet1!$F$2:$F$4115,"=successful", Sheet1!$D$2:$D$4115, "&gt;= 30000", Sheet1!$D$2:$D$4115, "&lt;=34999")</f>
        <v>32</v>
      </c>
      <c r="C9">
        <f>COUNTIFS(Sheet1!$F$2:$F$4115,"=failed", Sheet1!$D$2:$D$4115, "&gt;=30000", Sheet1!$D$2:$D$4115, "&lt;=34999")</f>
        <v>37</v>
      </c>
      <c r="D9">
        <f>COUNTIFS(Sheet1!$F$2:$F$4115,"=canceled",  Sheet1!$D$2:$D$4115, "&gt;=30000", Sheet1!$D$2:$D$4115, "&lt;=34999")</f>
        <v>13</v>
      </c>
      <c r="E9">
        <f>COUNTIFS(Sheet1!$D$2:$D$4115, "&gt;=30000", Sheet1!$D$2:$D$4115, "&lt;=34999")</f>
        <v>84</v>
      </c>
      <c r="F9" s="6">
        <f t="shared" si="0"/>
        <v>38.1</v>
      </c>
      <c r="G9" s="6">
        <f t="shared" si="1"/>
        <v>44.05</v>
      </c>
      <c r="H9" s="6">
        <f t="shared" si="2"/>
        <v>15.48</v>
      </c>
    </row>
    <row r="10" spans="1:8" x14ac:dyDescent="0.3">
      <c r="A10" s="15" t="s">
        <v>8399</v>
      </c>
      <c r="B10">
        <f>COUNTIFS(Sheet1!$F$2:$F$4115,"=successful", Sheet1!$D$2:$D$4115, "&gt;= 35000", Sheet1!$D$2:$D$4115, "&lt;=39999")</f>
        <v>26</v>
      </c>
      <c r="C10">
        <f>COUNTIFS(Sheet1!$F$2:$F$4115,"=failed", Sheet1!$D$2:$D$4115, "&gt;=35000", Sheet1!$D$2:$D$4115, "&lt;=39999")</f>
        <v>22</v>
      </c>
      <c r="D10">
        <f>COUNTIFS(Sheet1!$F$2:$F$4115,"=canceled",  Sheet1!$D$2:$D$4115, "&gt;=35000", Sheet1!$D$2:$D$4115, "&lt;=39999")</f>
        <v>7</v>
      </c>
      <c r="E10">
        <f>COUNTIFS(Sheet1!$D$2:$D$4115, "&gt;=35000", Sheet1!$D$2:$D$4115, "&lt;=39999")</f>
        <v>55</v>
      </c>
      <c r="F10" s="6">
        <f t="shared" si="0"/>
        <v>47.27</v>
      </c>
      <c r="G10" s="6">
        <f t="shared" si="1"/>
        <v>40</v>
      </c>
      <c r="H10" s="6">
        <f t="shared" si="2"/>
        <v>12.73</v>
      </c>
    </row>
    <row r="11" spans="1:8" x14ac:dyDescent="0.3">
      <c r="A11" s="15" t="s">
        <v>8400</v>
      </c>
      <c r="B11">
        <f>COUNTIFS(Sheet1!$F$2:$F$4115,"=successful", Sheet1!$D$2:$D$4115, "&gt;= 40000", Sheet1!$D$2:$D$4115, "&lt;=44999")</f>
        <v>21</v>
      </c>
      <c r="C11">
        <f>COUNTIFS(Sheet1!$F$2:$F$4115,"=failed", Sheet1!$D$2:$D$4115, "&gt;=40000", Sheet1!$D$2:$D$4115, "&lt;=44999")</f>
        <v>16</v>
      </c>
      <c r="D11">
        <f>COUNTIFS(Sheet1!$F$2:$F$4115,"=canceled",  Sheet1!$D$2:$D$4115, "&gt;=40000", Sheet1!$D$2:$D$4115, "&lt;=44999")</f>
        <v>6</v>
      </c>
      <c r="E11">
        <f>COUNTIFS(Sheet1!$D$2:$D$4115, "&gt;=40000", Sheet1!$D$2:$D$4115, "&lt;=44999")</f>
        <v>44</v>
      </c>
      <c r="F11" s="6">
        <f t="shared" si="0"/>
        <v>47.73</v>
      </c>
      <c r="G11" s="6">
        <f t="shared" si="1"/>
        <v>36.36</v>
      </c>
      <c r="H11" s="6">
        <f t="shared" si="2"/>
        <v>13.64</v>
      </c>
    </row>
    <row r="12" spans="1:8" x14ac:dyDescent="0.3">
      <c r="A12" s="15" t="s">
        <v>8401</v>
      </c>
      <c r="B12">
        <f>COUNTIFS(Sheet1!$F$2:$F$4115,"=successful", Sheet1!$D$2:$D$4115, "&gt;= 45000", Sheet1!$D$2:$D$4115, "&lt;=49999")</f>
        <v>6</v>
      </c>
      <c r="C12">
        <f>COUNTIFS(Sheet1!$F$2:$F$4115,"=failed", Sheet1!$D$2:$D$4115, "&gt;=45000", Sheet1!$D$2:$D$4115, "&lt;=49999")</f>
        <v>11</v>
      </c>
      <c r="D12">
        <f>COUNTIFS(Sheet1!$F$2:$F$4115,"=canceled",  Sheet1!$D$2:$D$4115, "&gt;=45000", Sheet1!$D$2:$D$4115, "&lt;=49999")</f>
        <v>4</v>
      </c>
      <c r="E12">
        <f>COUNTIFS(Sheet1!$D$2:$D$4115, "&gt;=45000", Sheet1!$D$2:$D$4115, "&lt;=49999")</f>
        <v>21</v>
      </c>
      <c r="F12" s="6">
        <f t="shared" si="0"/>
        <v>28.57</v>
      </c>
      <c r="G12" s="6">
        <f t="shared" si="1"/>
        <v>52.38</v>
      </c>
      <c r="H12" s="6">
        <f t="shared" si="2"/>
        <v>19.05</v>
      </c>
    </row>
    <row r="13" spans="1:8" x14ac:dyDescent="0.3">
      <c r="A13" s="15" t="s">
        <v>8402</v>
      </c>
      <c r="B13">
        <f>COUNTIFS(Sheet1!$F$2:$F$4115,"=successful", Sheet1!$D$2:$D$4115, "&gt;= 50000")</f>
        <v>86</v>
      </c>
      <c r="C13">
        <f>COUNTIFS(Sheet1!$F$2:$F$4115,"=failed", Sheet1!$D$2:$D$4115, "&gt;=50000")</f>
        <v>258</v>
      </c>
      <c r="D13">
        <f>COUNTIFS(Sheet1!$F$2:$F$4115,"=canceled",  Sheet1!$D$2:$D$4115, "&gt;=50000")</f>
        <v>100</v>
      </c>
      <c r="E13">
        <f>COUNTIFS(Sheet1!$D$2:$D$4115, "&gt;=50000")</f>
        <v>449</v>
      </c>
      <c r="F13" s="6">
        <f t="shared" si="0"/>
        <v>19.149999999999999</v>
      </c>
      <c r="G13" s="6">
        <f t="shared" si="1"/>
        <v>57.46</v>
      </c>
      <c r="H13" s="6">
        <f t="shared" si="2"/>
        <v>22.27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acer</cp:lastModifiedBy>
  <dcterms:created xsi:type="dcterms:W3CDTF">2017-04-20T15:17:24Z</dcterms:created>
  <dcterms:modified xsi:type="dcterms:W3CDTF">2019-05-30T01:33:29Z</dcterms:modified>
</cp:coreProperties>
</file>