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3040" yWindow="8300" windowWidth="23480" windowHeight="8160" activeTab="2"/>
  </bookViews>
  <sheets>
    <sheet name="UMMC" sheetId="1" r:id="rId1"/>
    <sheet name="JHU" sheetId="2" r:id="rId2"/>
    <sheet name="NIH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9" i="3" l="1"/>
  <c r="M29" i="3"/>
  <c r="H29" i="3"/>
  <c r="P29" i="3"/>
  <c r="G29" i="3"/>
  <c r="F29" i="3"/>
  <c r="N28" i="3"/>
  <c r="M28" i="3"/>
  <c r="H28" i="3"/>
  <c r="P28" i="3"/>
  <c r="G28" i="3"/>
  <c r="F28" i="3"/>
  <c r="N27" i="3"/>
  <c r="M27" i="3"/>
  <c r="H27" i="3"/>
  <c r="P27" i="3"/>
  <c r="G27" i="3"/>
  <c r="F27" i="3"/>
  <c r="N26" i="3"/>
  <c r="M26" i="3"/>
  <c r="H26" i="3"/>
  <c r="P26" i="3"/>
  <c r="G26" i="3"/>
  <c r="F26" i="3"/>
  <c r="N25" i="3"/>
  <c r="M25" i="3"/>
  <c r="P25" i="3"/>
  <c r="H25" i="3"/>
  <c r="G25" i="3"/>
  <c r="F25" i="3"/>
  <c r="P23" i="3"/>
  <c r="N23" i="3"/>
  <c r="M23" i="3"/>
  <c r="H23" i="3"/>
  <c r="G23" i="3"/>
  <c r="F23" i="3"/>
  <c r="N22" i="3"/>
  <c r="M22" i="3"/>
  <c r="H22" i="3"/>
  <c r="P22" i="3"/>
  <c r="G22" i="3"/>
  <c r="F22" i="3"/>
  <c r="M20" i="3"/>
  <c r="N20" i="3"/>
  <c r="H20" i="3"/>
  <c r="P20" i="3"/>
  <c r="G20" i="3"/>
  <c r="F20" i="3"/>
  <c r="H19" i="3"/>
  <c r="M19" i="3"/>
  <c r="N19" i="3"/>
  <c r="P19" i="3"/>
  <c r="G19" i="3"/>
  <c r="F19" i="3"/>
  <c r="M18" i="3"/>
  <c r="N18" i="3"/>
  <c r="P18" i="3"/>
  <c r="H18" i="3"/>
  <c r="G18" i="3"/>
  <c r="F18" i="3"/>
  <c r="N17" i="3"/>
  <c r="M17" i="3"/>
  <c r="H17" i="3"/>
  <c r="P17" i="3"/>
  <c r="G17" i="3"/>
  <c r="F17" i="3"/>
  <c r="M15" i="3"/>
  <c r="N15" i="3"/>
  <c r="H15" i="3"/>
  <c r="P15" i="3"/>
  <c r="G15" i="3"/>
  <c r="F15" i="3"/>
  <c r="M14" i="3"/>
  <c r="N14" i="3"/>
  <c r="H14" i="3"/>
  <c r="P14" i="3"/>
  <c r="G14" i="3"/>
  <c r="F14" i="3"/>
  <c r="F13" i="3"/>
  <c r="M13" i="3"/>
  <c r="P13" i="3"/>
  <c r="G13" i="3"/>
  <c r="N13" i="3"/>
  <c r="H13" i="3"/>
  <c r="F10" i="3"/>
  <c r="M10" i="3"/>
  <c r="F11" i="3"/>
  <c r="M11" i="3"/>
  <c r="P11" i="3"/>
  <c r="G11" i="3"/>
  <c r="N11" i="3"/>
  <c r="H11" i="3"/>
  <c r="P10" i="3"/>
  <c r="G10" i="3"/>
  <c r="N10" i="3"/>
  <c r="H10" i="3"/>
  <c r="P9" i="3"/>
  <c r="F9" i="3"/>
  <c r="M9" i="3"/>
  <c r="G9" i="3"/>
  <c r="N9" i="3"/>
  <c r="H9" i="3"/>
  <c r="K3" i="3"/>
  <c r="L3" i="3"/>
  <c r="K4" i="3"/>
  <c r="L4" i="3"/>
  <c r="K5" i="3"/>
  <c r="L5" i="3"/>
  <c r="K6" i="3"/>
  <c r="L6" i="3"/>
  <c r="K7" i="3"/>
  <c r="L7" i="3"/>
  <c r="K2" i="3"/>
  <c r="L2" i="3"/>
  <c r="L6" i="1"/>
  <c r="M2" i="1"/>
  <c r="N2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P17" i="2"/>
  <c r="P16" i="2"/>
  <c r="P15" i="2"/>
  <c r="H35" i="2"/>
  <c r="P37" i="2"/>
  <c r="P36" i="2"/>
  <c r="P35" i="2"/>
  <c r="P34" i="2"/>
  <c r="P33" i="2"/>
  <c r="P32" i="2"/>
  <c r="P31" i="2"/>
  <c r="P30" i="2"/>
  <c r="P29" i="2"/>
  <c r="N37" i="2"/>
  <c r="M37" i="2"/>
  <c r="H37" i="2"/>
  <c r="N36" i="2"/>
  <c r="M36" i="2"/>
  <c r="H36" i="2"/>
  <c r="N35" i="2"/>
  <c r="M35" i="2"/>
  <c r="N34" i="2"/>
  <c r="M34" i="2"/>
  <c r="H34" i="2"/>
  <c r="N33" i="2"/>
  <c r="M33" i="2"/>
  <c r="H33" i="2"/>
  <c r="N32" i="2"/>
  <c r="M32" i="2"/>
  <c r="H32" i="2"/>
  <c r="N31" i="2"/>
  <c r="M31" i="2"/>
  <c r="H31" i="2"/>
  <c r="N30" i="2"/>
  <c r="M30" i="2"/>
  <c r="H30" i="2"/>
  <c r="N29" i="2"/>
  <c r="M29" i="2"/>
  <c r="H29" i="2"/>
  <c r="P28" i="2"/>
  <c r="N28" i="2"/>
  <c r="M28" i="2"/>
  <c r="H28" i="2"/>
  <c r="P27" i="2"/>
  <c r="N27" i="2"/>
  <c r="M27" i="2"/>
  <c r="H27" i="2"/>
  <c r="P26" i="2"/>
  <c r="N26" i="2"/>
  <c r="M26" i="2"/>
  <c r="H26" i="2"/>
  <c r="P25" i="2"/>
  <c r="N25" i="2"/>
  <c r="M25" i="2"/>
  <c r="H25" i="2"/>
  <c r="P24" i="2"/>
  <c r="N24" i="2"/>
  <c r="M24" i="2"/>
  <c r="H24" i="2"/>
  <c r="P23" i="2"/>
  <c r="N23" i="2"/>
  <c r="M23" i="2"/>
  <c r="H23" i="2"/>
  <c r="N22" i="2"/>
  <c r="M22" i="2"/>
  <c r="H22" i="2"/>
  <c r="P21" i="2"/>
  <c r="N21" i="2"/>
  <c r="M21" i="2"/>
  <c r="H21" i="2"/>
  <c r="N20" i="2"/>
  <c r="M20" i="2"/>
  <c r="H20" i="2"/>
  <c r="N19" i="2"/>
  <c r="M19" i="2"/>
  <c r="H19" i="2"/>
  <c r="P18" i="2"/>
  <c r="N18" i="2"/>
  <c r="M18" i="2"/>
  <c r="H18" i="2"/>
  <c r="N17" i="2"/>
  <c r="M17" i="2"/>
  <c r="H17" i="2"/>
  <c r="N16" i="2"/>
  <c r="M16" i="2"/>
  <c r="H16" i="2"/>
  <c r="N15" i="2"/>
  <c r="M15" i="2"/>
  <c r="H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H5" i="2"/>
  <c r="N4" i="2"/>
  <c r="M4" i="2"/>
  <c r="H4" i="2"/>
  <c r="N3" i="2"/>
  <c r="M3" i="2"/>
  <c r="H3" i="2"/>
  <c r="N2" i="2"/>
  <c r="M2" i="2"/>
  <c r="H2" i="2"/>
  <c r="K14" i="1"/>
  <c r="L14" i="1"/>
  <c r="O14" i="1"/>
  <c r="K5" i="1"/>
  <c r="L5" i="1"/>
  <c r="O5" i="1"/>
  <c r="K6" i="1"/>
  <c r="K15" i="1"/>
  <c r="L15" i="1"/>
  <c r="O15" i="1"/>
  <c r="K12" i="1"/>
  <c r="L12" i="1"/>
  <c r="O12" i="1"/>
  <c r="K13" i="1"/>
  <c r="L13" i="1"/>
  <c r="O13" i="1"/>
  <c r="K11" i="1"/>
  <c r="L11" i="1"/>
  <c r="O11" i="1"/>
  <c r="K9" i="1"/>
  <c r="L9" i="1"/>
  <c r="O9" i="1"/>
  <c r="K10" i="1"/>
  <c r="L10" i="1"/>
  <c r="O10" i="1"/>
  <c r="K8" i="1"/>
  <c r="L8" i="1"/>
  <c r="O8" i="1"/>
  <c r="K7" i="1"/>
  <c r="L7" i="1"/>
  <c r="O7" i="1"/>
  <c r="O6" i="1"/>
  <c r="K3" i="1"/>
  <c r="L3" i="1"/>
  <c r="O3" i="1"/>
  <c r="K4" i="1"/>
  <c r="L4" i="1"/>
  <c r="O4" i="1"/>
  <c r="K2" i="1"/>
  <c r="L2" i="1"/>
  <c r="O2" i="1"/>
  <c r="H14" i="1"/>
  <c r="H15" i="1"/>
  <c r="H17" i="1"/>
  <c r="H12" i="1"/>
  <c r="H13" i="1"/>
  <c r="H11" i="1"/>
  <c r="H9" i="1"/>
  <c r="H10" i="1"/>
  <c r="H8" i="1"/>
  <c r="H6" i="1"/>
  <c r="H7" i="1"/>
  <c r="H5" i="1"/>
  <c r="H3" i="1"/>
  <c r="H4" i="1"/>
  <c r="H2" i="1"/>
</calcChain>
</file>

<file path=xl/sharedStrings.xml><?xml version="1.0" encoding="utf-8"?>
<sst xmlns="http://schemas.openxmlformats.org/spreadsheetml/2006/main" count="180" uniqueCount="83">
  <si>
    <t>Identifier</t>
  </si>
  <si>
    <t>Seizure #</t>
  </si>
  <si>
    <t>Date of Sz</t>
  </si>
  <si>
    <t>E Onset</t>
  </si>
  <si>
    <t>E Offset</t>
  </si>
  <si>
    <t>C Onset</t>
  </si>
  <si>
    <t>C Offset</t>
  </si>
  <si>
    <t>Lobe</t>
  </si>
  <si>
    <t>Onset</t>
  </si>
  <si>
    <t>Electrode labels</t>
  </si>
  <si>
    <t>Various Channels</t>
  </si>
  <si>
    <t>UMMC001_sz1</t>
  </si>
  <si>
    <t>Left Fronto-Parietal</t>
  </si>
  <si>
    <t>Grid</t>
  </si>
  <si>
    <t>GP1-32, F1-6, GA1-32, OFS1-4, OFI1-6, TS2-6, TI2-8</t>
  </si>
  <si>
    <t>UMMC001_sz2</t>
  </si>
  <si>
    <t>UMMC001_sz3</t>
  </si>
  <si>
    <t>UMMC002_sz1</t>
  </si>
  <si>
    <t>Left Mesial Temporal</t>
  </si>
  <si>
    <t>Strip</t>
  </si>
  <si>
    <t>SupF3-6, IF1-6, Grid4-32, AnT1-4, Mest1-6, SubT2-4</t>
  </si>
  <si>
    <t>EKG</t>
  </si>
  <si>
    <t>UMMC002_sz2</t>
  </si>
  <si>
    <t>UMMC002_sz3</t>
  </si>
  <si>
    <t>UMMC003_sz1</t>
  </si>
  <si>
    <t>LF3-6, SF1-4, AntT1-4, MesT1-6, Grid3-32</t>
  </si>
  <si>
    <t>UMMC003_sz2</t>
  </si>
  <si>
    <t>UMMC003_sz3</t>
  </si>
  <si>
    <t>UMMC004_sz1</t>
  </si>
  <si>
    <t>Right Ant. Temporal</t>
  </si>
  <si>
    <t>LF3-6, SF1-6, AT1-6, ST1-4, Grid1-32</t>
  </si>
  <si>
    <t>UMMC004_sz2</t>
  </si>
  <si>
    <t>UMMC004_sz3</t>
  </si>
  <si>
    <t>UMMC005_sz1</t>
  </si>
  <si>
    <t>N/A</t>
  </si>
  <si>
    <t>Right Temporal</t>
  </si>
  <si>
    <t>F3-6, AT1-6, PT1-6, G1-32</t>
  </si>
  <si>
    <t>UMMC005_sz2</t>
  </si>
  <si>
    <t>UMMC005_sz3</t>
  </si>
  <si>
    <t>E Duration</t>
  </si>
  <si>
    <t>C Duration</t>
  </si>
  <si>
    <t>Recording Start</t>
  </si>
  <si>
    <t>C Duration s</t>
  </si>
  <si>
    <t>Frequency</t>
  </si>
  <si>
    <t>Left Flank</t>
  </si>
  <si>
    <t>C Duration 
+ LR Flanks</t>
  </si>
  <si>
    <t xml:space="preserve">Recording 
Duration (s) </t>
  </si>
  <si>
    <t>Right Flank</t>
  </si>
  <si>
    <t>JH101</t>
  </si>
  <si>
    <t>JH102</t>
  </si>
  <si>
    <t>JH103</t>
  </si>
  <si>
    <t>JH104</t>
  </si>
  <si>
    <t>JH105</t>
  </si>
  <si>
    <t>JH106</t>
  </si>
  <si>
    <t>JH107</t>
  </si>
  <si>
    <t>pt2sz1</t>
  </si>
  <si>
    <t>pt2sz3</t>
  </si>
  <si>
    <t>pt2sz4</t>
  </si>
  <si>
    <t>pt3sz2</t>
  </si>
  <si>
    <t>pt3sz3</t>
  </si>
  <si>
    <t>pt3sz4</t>
  </si>
  <si>
    <t>C Duration (secs)</t>
  </si>
  <si>
    <t>Done?</t>
  </si>
  <si>
    <t>x</t>
  </si>
  <si>
    <t>pt8sz1</t>
  </si>
  <si>
    <t>pt8sz2</t>
  </si>
  <si>
    <t>pt8sz3</t>
  </si>
  <si>
    <t>pt10sz1</t>
  </si>
  <si>
    <t>pt10sz2</t>
  </si>
  <si>
    <t>pt10sz3</t>
  </si>
  <si>
    <t># channels</t>
  </si>
  <si>
    <t>pt11sz1</t>
  </si>
  <si>
    <t>pt11sz2</t>
  </si>
  <si>
    <t>pt11sz3</t>
  </si>
  <si>
    <t>pt11sz4</t>
  </si>
  <si>
    <t>pt12sz1</t>
  </si>
  <si>
    <t>pt12sz2</t>
  </si>
  <si>
    <t>pt13sz1</t>
  </si>
  <si>
    <t>pt13sz2</t>
  </si>
  <si>
    <t>pt13sz3</t>
  </si>
  <si>
    <t>pt13sz4</t>
  </si>
  <si>
    <t>pt13sz5</t>
  </si>
  <si>
    <t>*Short seizure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</si>
</sst>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[$-F400]h:mm:ss\ AM/PM"/>
    <numFmt numFmtId="166" formatCode="h:m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21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" fontId="5" fillId="3" borderId="0" xfId="2" applyNumberFormat="1" applyAlignment="1">
      <alignment horizontal="center" vertical="center"/>
    </xf>
    <xf numFmtId="0" fontId="5" fillId="3" borderId="0" xfId="2" applyAlignment="1">
      <alignment horizontal="center" vertical="center"/>
    </xf>
    <xf numFmtId="1" fontId="4" fillId="2" borderId="0" xfId="1" applyNumberFormat="1" applyAlignment="1">
      <alignment horizontal="center" vertical="center"/>
    </xf>
    <xf numFmtId="0" fontId="4" fillId="2" borderId="0" xfId="1" applyAlignment="1">
      <alignment horizontal="center" vertical="center"/>
    </xf>
    <xf numFmtId="21" fontId="5" fillId="3" borderId="0" xfId="2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1" fontId="0" fillId="4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21" fontId="9" fillId="0" borderId="0" xfId="2" applyNumberFormat="1" applyFont="1" applyFill="1" applyAlignment="1">
      <alignment horizontal="center" vertical="center"/>
    </xf>
    <xf numFmtId="21" fontId="3" fillId="0" borderId="0" xfId="0" applyNumberFormat="1" applyFont="1" applyFill="1"/>
    <xf numFmtId="0" fontId="3" fillId="0" borderId="0" xfId="0" applyFont="1" applyFill="1"/>
    <xf numFmtId="166" fontId="0" fillId="0" borderId="0" xfId="0" applyNumberFormat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0" fontId="0" fillId="5" borderId="0" xfId="0" applyNumberFormat="1" applyFill="1"/>
    <xf numFmtId="21" fontId="9" fillId="5" borderId="0" xfId="2" applyNumberFormat="1" applyFont="1" applyFill="1" applyAlignment="1">
      <alignment horizontal="center" vertical="center"/>
    </xf>
    <xf numFmtId="21" fontId="0" fillId="5" borderId="0" xfId="0" applyNumberFormat="1" applyFill="1" applyAlignment="1">
      <alignment horizontal="center" vertical="center"/>
    </xf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120" zoomScaleNormal="120" zoomScalePageLayoutView="120" workbookViewId="0">
      <pane ySplit="1" topLeftCell="A2" activePane="bottomLeft" state="frozen"/>
      <selection pane="bottomLeft" activeCell="K2" sqref="K2"/>
    </sheetView>
  </sheetViews>
  <sheetFormatPr baseColWidth="10" defaultColWidth="8.83203125" defaultRowHeight="14" x14ac:dyDescent="0"/>
  <cols>
    <col min="1" max="1" width="12.6640625" bestFit="1" customWidth="1"/>
    <col min="2" max="2" width="8.1640625" bestFit="1" customWidth="1"/>
    <col min="3" max="3" width="9.1640625" bestFit="1" customWidth="1"/>
    <col min="4" max="4" width="8.83203125" bestFit="1" customWidth="1"/>
    <col min="5" max="5" width="13" bestFit="1" customWidth="1"/>
    <col min="6" max="7" width="7.83203125" bestFit="1" customWidth="1"/>
    <col min="8" max="8" width="9.1640625" bestFit="1" customWidth="1"/>
    <col min="9" max="9" width="7.83203125" bestFit="1" customWidth="1"/>
    <col min="10" max="10" width="8.33203125" bestFit="1" customWidth="1"/>
    <col min="11" max="11" width="8.33203125" customWidth="1"/>
    <col min="12" max="12" width="10.5" bestFit="1" customWidth="1"/>
    <col min="13" max="13" width="9.1640625" bestFit="1" customWidth="1"/>
    <col min="14" max="14" width="10.33203125" bestFit="1" customWidth="1"/>
    <col min="15" max="15" width="9.5" bestFit="1" customWidth="1"/>
    <col min="16" max="16" width="10.1640625" bestFit="1" customWidth="1"/>
    <col min="17" max="17" width="17.5" bestFit="1" customWidth="1"/>
    <col min="18" max="18" width="5.6640625" bestFit="1" customWidth="1"/>
    <col min="19" max="19" width="41.83203125" bestFit="1" customWidth="1"/>
    <col min="20" max="20" width="14.83203125" bestFit="1" customWidth="1"/>
  </cols>
  <sheetData>
    <row r="1" spans="1:20" ht="42">
      <c r="A1" s="1" t="s">
        <v>0</v>
      </c>
      <c r="B1" s="1" t="s">
        <v>1</v>
      </c>
      <c r="C1" s="1" t="s">
        <v>43</v>
      </c>
      <c r="D1" s="2" t="s">
        <v>2</v>
      </c>
      <c r="E1" s="2" t="s">
        <v>41</v>
      </c>
      <c r="F1" s="3" t="s">
        <v>3</v>
      </c>
      <c r="G1" s="1" t="s">
        <v>4</v>
      </c>
      <c r="H1" s="1" t="s">
        <v>39</v>
      </c>
      <c r="I1" s="1" t="s">
        <v>5</v>
      </c>
      <c r="J1" s="1" t="s">
        <v>6</v>
      </c>
      <c r="K1" s="1" t="s">
        <v>40</v>
      </c>
      <c r="L1" s="1" t="s">
        <v>42</v>
      </c>
      <c r="M1" s="1" t="s">
        <v>44</v>
      </c>
      <c r="N1" s="1" t="s">
        <v>47</v>
      </c>
      <c r="O1" s="19" t="s">
        <v>45</v>
      </c>
      <c r="P1" s="19" t="s">
        <v>46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">
      <c r="A2" s="4" t="s">
        <v>11</v>
      </c>
      <c r="B2" s="4">
        <v>1</v>
      </c>
      <c r="C2" s="15">
        <v>500</v>
      </c>
      <c r="D2" s="5">
        <v>40321</v>
      </c>
      <c r="E2" s="6">
        <v>0.25104166666666666</v>
      </c>
      <c r="F2" s="6">
        <v>0.25140046296296298</v>
      </c>
      <c r="G2" s="6">
        <v>0.2525810185185185</v>
      </c>
      <c r="H2" s="6">
        <f t="shared" ref="H2:H15" si="0">G2-F2</f>
        <v>1.1805555555555181E-3</v>
      </c>
      <c r="I2" s="6">
        <v>0.25188657407407405</v>
      </c>
      <c r="J2" s="6">
        <v>0.25256944444444446</v>
      </c>
      <c r="K2" s="6">
        <f t="shared" ref="K2:K15" si="1">J2-I2</f>
        <v>6.828703703704031E-4</v>
      </c>
      <c r="L2" s="11">
        <f t="shared" ref="L2:L15" si="2">K2*86400</f>
        <v>59.000000000002828</v>
      </c>
      <c r="M2" s="6">
        <f t="shared" ref="M2:M15" si="3">I2-E2</f>
        <v>8.4490740740739145E-4</v>
      </c>
      <c r="N2" s="6">
        <f t="shared" ref="N2:N15" si="4">E2+TIME(0, ROUNDDOWN(P2/60, 2), MOD(P2, 60)) - J2</f>
        <v>7.407407407407085E-4</v>
      </c>
      <c r="O2" s="11">
        <f t="shared" ref="O2:O15" si="5">L2+120</f>
        <v>179.00000000000284</v>
      </c>
      <c r="P2" s="16">
        <v>196</v>
      </c>
      <c r="Q2" s="15" t="s">
        <v>12</v>
      </c>
      <c r="R2" s="4" t="s">
        <v>13</v>
      </c>
      <c r="S2" s="4" t="s">
        <v>14</v>
      </c>
      <c r="T2" s="4"/>
    </row>
    <row r="3" spans="1:20" ht="15">
      <c r="A3" s="4" t="s">
        <v>15</v>
      </c>
      <c r="B3" s="4">
        <v>2</v>
      </c>
      <c r="C3" s="15">
        <v>500</v>
      </c>
      <c r="D3" s="5">
        <v>40323</v>
      </c>
      <c r="E3" s="6">
        <v>0.12973379629629631</v>
      </c>
      <c r="F3" s="6">
        <v>0.13009259259259259</v>
      </c>
      <c r="G3" s="6">
        <v>0.13136574074074073</v>
      </c>
      <c r="H3" s="6">
        <f t="shared" si="0"/>
        <v>1.2731481481481344E-3</v>
      </c>
      <c r="I3" s="6">
        <v>0.13047453703703704</v>
      </c>
      <c r="J3" s="6">
        <v>0.13136574074074073</v>
      </c>
      <c r="K3" s="6">
        <f t="shared" si="1"/>
        <v>8.9120370370368573E-4</v>
      </c>
      <c r="L3" s="11">
        <f t="shared" si="2"/>
        <v>76.999999999998451</v>
      </c>
      <c r="M3" s="6">
        <f t="shared" si="3"/>
        <v>7.4074074074073626E-4</v>
      </c>
      <c r="N3" s="6">
        <f t="shared" si="4"/>
        <v>7.0601851851853636E-4</v>
      </c>
      <c r="O3" s="11">
        <f t="shared" si="5"/>
        <v>196.99999999999847</v>
      </c>
      <c r="P3" s="16">
        <v>202</v>
      </c>
      <c r="Q3" s="15" t="s">
        <v>12</v>
      </c>
      <c r="R3" s="4" t="s">
        <v>13</v>
      </c>
      <c r="S3" s="4"/>
      <c r="T3" s="4"/>
    </row>
    <row r="4" spans="1:20" ht="15">
      <c r="A4" s="4" t="s">
        <v>16</v>
      </c>
      <c r="B4" s="4">
        <v>3</v>
      </c>
      <c r="C4" s="15">
        <v>500</v>
      </c>
      <c r="D4" s="5">
        <v>40323</v>
      </c>
      <c r="E4" s="6">
        <v>0.6960763888888889</v>
      </c>
      <c r="F4" s="6">
        <v>0.69680555555555557</v>
      </c>
      <c r="G4" s="6">
        <v>0.69787037037037036</v>
      </c>
      <c r="H4" s="6">
        <f t="shared" si="0"/>
        <v>1.0648148148147962E-3</v>
      </c>
      <c r="I4" s="6">
        <v>0.69695601851851852</v>
      </c>
      <c r="J4" s="6">
        <v>0.69787037037037036</v>
      </c>
      <c r="K4" s="6">
        <f t="shared" si="1"/>
        <v>9.1435185185184675E-4</v>
      </c>
      <c r="L4" s="11">
        <f t="shared" si="2"/>
        <v>78.999999999999559</v>
      </c>
      <c r="M4" s="6">
        <f t="shared" si="3"/>
        <v>8.796296296296191E-4</v>
      </c>
      <c r="N4" s="6">
        <f t="shared" si="4"/>
        <v>7.0601851851848085E-4</v>
      </c>
      <c r="O4" s="11">
        <f t="shared" si="5"/>
        <v>198.99999999999955</v>
      </c>
      <c r="P4" s="16">
        <v>216</v>
      </c>
      <c r="Q4" s="15" t="s">
        <v>12</v>
      </c>
      <c r="R4" s="4" t="s">
        <v>13</v>
      </c>
      <c r="S4" s="4"/>
      <c r="T4" s="4"/>
    </row>
    <row r="5" spans="1:20" ht="15">
      <c r="A5" s="4" t="s">
        <v>17</v>
      </c>
      <c r="B5" s="4">
        <v>1</v>
      </c>
      <c r="C5" s="15">
        <v>500</v>
      </c>
      <c r="D5" s="5">
        <v>41472</v>
      </c>
      <c r="E5" s="6">
        <v>0.84157407407407403</v>
      </c>
      <c r="F5" s="6">
        <v>0.84226851851851858</v>
      </c>
      <c r="G5" s="6">
        <v>0.84285879629629623</v>
      </c>
      <c r="H5" s="6">
        <f t="shared" si="0"/>
        <v>5.9027777777764801E-4</v>
      </c>
      <c r="I5" s="6">
        <v>0.84243055555555557</v>
      </c>
      <c r="J5" s="6">
        <v>0.84287037037037038</v>
      </c>
      <c r="K5" s="9">
        <f t="shared" si="1"/>
        <v>4.3981481481480955E-4</v>
      </c>
      <c r="L5" s="11">
        <f t="shared" si="2"/>
        <v>37.999999999999545</v>
      </c>
      <c r="M5" s="6">
        <f t="shared" si="3"/>
        <v>8.5648148148154135E-4</v>
      </c>
      <c r="N5" s="6">
        <f t="shared" si="4"/>
        <v>7.1759259259251973E-4</v>
      </c>
      <c r="O5" s="11">
        <f t="shared" si="5"/>
        <v>157.99999999999955</v>
      </c>
      <c r="P5" s="16">
        <v>174</v>
      </c>
      <c r="Q5" s="4" t="s">
        <v>18</v>
      </c>
      <c r="R5" s="4" t="s">
        <v>19</v>
      </c>
      <c r="S5" s="4" t="s">
        <v>20</v>
      </c>
      <c r="T5" s="4" t="s">
        <v>21</v>
      </c>
    </row>
    <row r="6" spans="1:20" ht="15">
      <c r="A6" s="13" t="s">
        <v>22</v>
      </c>
      <c r="B6" s="4">
        <v>2</v>
      </c>
      <c r="C6" s="15">
        <v>500</v>
      </c>
      <c r="D6" s="5">
        <v>41480</v>
      </c>
      <c r="E6" s="6">
        <v>5.6712962962962956E-4</v>
      </c>
      <c r="F6" s="6">
        <v>5.6712962962962956E-4</v>
      </c>
      <c r="G6" s="6">
        <v>2.6967592592592594E-3</v>
      </c>
      <c r="H6" s="6">
        <f t="shared" si="0"/>
        <v>2.1296296296296298E-3</v>
      </c>
      <c r="I6" s="6">
        <v>7.175925925925927E-4</v>
      </c>
      <c r="J6" s="6">
        <v>2.6967592592592594E-3</v>
      </c>
      <c r="K6" s="9">
        <f t="shared" si="1"/>
        <v>1.9791666666666668E-3</v>
      </c>
      <c r="L6" s="11">
        <f t="shared" si="2"/>
        <v>171.00000000000003</v>
      </c>
      <c r="M6" s="18">
        <f t="shared" si="3"/>
        <v>1.5046296296296314E-4</v>
      </c>
      <c r="N6" s="6">
        <f t="shared" si="4"/>
        <v>1.2731481481481487E-3</v>
      </c>
      <c r="O6" s="11">
        <f t="shared" si="5"/>
        <v>291</v>
      </c>
      <c r="P6" s="16">
        <v>294</v>
      </c>
      <c r="Q6" s="4" t="s">
        <v>18</v>
      </c>
      <c r="R6" s="4" t="s">
        <v>19</v>
      </c>
      <c r="S6" s="4"/>
      <c r="T6" s="4"/>
    </row>
    <row r="7" spans="1:20" ht="15">
      <c r="A7" s="13" t="s">
        <v>23</v>
      </c>
      <c r="B7" s="4">
        <v>3</v>
      </c>
      <c r="C7" s="15">
        <v>500</v>
      </c>
      <c r="D7" s="5">
        <v>41480</v>
      </c>
      <c r="E7" s="6">
        <v>0.27719907407407407</v>
      </c>
      <c r="F7" s="6">
        <v>0.27729166666666666</v>
      </c>
      <c r="G7" s="6">
        <v>0.27966435185185184</v>
      </c>
      <c r="H7" s="6">
        <f t="shared" si="0"/>
        <v>2.372685185185186E-3</v>
      </c>
      <c r="I7" s="6">
        <v>0.27739583333333334</v>
      </c>
      <c r="J7" s="6">
        <v>0.2792708333333333</v>
      </c>
      <c r="K7" s="9">
        <f t="shared" si="1"/>
        <v>1.87499999999996E-3</v>
      </c>
      <c r="L7" s="11">
        <f t="shared" si="2"/>
        <v>161.99999999999653</v>
      </c>
      <c r="M7" s="18">
        <f t="shared" si="3"/>
        <v>1.9675925925927151E-4</v>
      </c>
      <c r="N7" s="6">
        <f t="shared" si="4"/>
        <v>1.0995370370370794E-3</v>
      </c>
      <c r="O7" s="14">
        <f t="shared" si="5"/>
        <v>281.99999999999653</v>
      </c>
      <c r="P7" s="14">
        <v>274</v>
      </c>
      <c r="Q7" s="4" t="s">
        <v>18</v>
      </c>
      <c r="R7" s="4" t="s">
        <v>19</v>
      </c>
      <c r="S7" s="4"/>
      <c r="T7" s="4"/>
    </row>
    <row r="8" spans="1:20" ht="15">
      <c r="A8" s="13" t="s">
        <v>24</v>
      </c>
      <c r="B8" s="4">
        <v>1</v>
      </c>
      <c r="C8" s="15">
        <v>250</v>
      </c>
      <c r="D8" s="5">
        <v>41866</v>
      </c>
      <c r="E8" s="6">
        <v>0.30850694444444443</v>
      </c>
      <c r="F8" s="6">
        <v>0.30920138888888887</v>
      </c>
      <c r="G8" s="6">
        <v>0.31034722222222222</v>
      </c>
      <c r="H8" s="6">
        <f t="shared" si="0"/>
        <v>1.1458333333333459E-3</v>
      </c>
      <c r="I8" s="8">
        <v>0.30953703703703705</v>
      </c>
      <c r="J8" s="8">
        <v>0.31037037037037035</v>
      </c>
      <c r="K8" s="9">
        <f t="shared" si="1"/>
        <v>8.3333333333329707E-4</v>
      </c>
      <c r="L8" s="11">
        <f t="shared" si="2"/>
        <v>71.999999999996874</v>
      </c>
      <c r="M8" s="6">
        <f t="shared" si="3"/>
        <v>1.0300925925926241E-3</v>
      </c>
      <c r="N8" s="6">
        <f t="shared" si="4"/>
        <v>7.2916666666666963E-4</v>
      </c>
      <c r="O8" s="11">
        <f t="shared" si="5"/>
        <v>191.99999999999687</v>
      </c>
      <c r="P8" s="16">
        <v>224</v>
      </c>
      <c r="Q8" s="4" t="s">
        <v>18</v>
      </c>
      <c r="R8" s="4" t="s">
        <v>19</v>
      </c>
      <c r="S8" s="4" t="s">
        <v>25</v>
      </c>
      <c r="T8" s="4" t="s">
        <v>21</v>
      </c>
    </row>
    <row r="9" spans="1:20" ht="15">
      <c r="A9" s="13" t="s">
        <v>26</v>
      </c>
      <c r="B9" s="4">
        <v>2</v>
      </c>
      <c r="C9" s="15">
        <v>250</v>
      </c>
      <c r="D9" s="5">
        <v>41867</v>
      </c>
      <c r="E9" s="6">
        <v>0.63583333333333336</v>
      </c>
      <c r="F9" s="6">
        <v>0.6363657407407407</v>
      </c>
      <c r="G9" s="6">
        <v>0.63743055555555561</v>
      </c>
      <c r="H9" s="6">
        <f t="shared" si="0"/>
        <v>1.0648148148149073E-3</v>
      </c>
      <c r="I9" s="8">
        <v>0.6363657407407407</v>
      </c>
      <c r="J9" s="8">
        <v>0.63710648148148141</v>
      </c>
      <c r="K9" s="9">
        <f t="shared" si="1"/>
        <v>7.407407407407085E-4</v>
      </c>
      <c r="L9" s="11">
        <f t="shared" si="2"/>
        <v>63.999999999997215</v>
      </c>
      <c r="M9" s="18">
        <f t="shared" si="3"/>
        <v>5.324074074073426E-4</v>
      </c>
      <c r="N9" s="6">
        <f t="shared" si="4"/>
        <v>1.0416666666667185E-3</v>
      </c>
      <c r="O9" s="11">
        <f t="shared" si="5"/>
        <v>183.99999999999721</v>
      </c>
      <c r="P9" s="16">
        <v>200</v>
      </c>
      <c r="Q9" s="4" t="s">
        <v>18</v>
      </c>
      <c r="R9" s="4" t="s">
        <v>19</v>
      </c>
      <c r="S9" s="4"/>
      <c r="T9" s="4"/>
    </row>
    <row r="10" spans="1:20" ht="15">
      <c r="A10" s="13" t="s">
        <v>27</v>
      </c>
      <c r="B10" s="4">
        <v>3</v>
      </c>
      <c r="C10" s="15">
        <v>250</v>
      </c>
      <c r="D10" s="5">
        <v>41868</v>
      </c>
      <c r="E10" s="6">
        <v>0.70796296296296291</v>
      </c>
      <c r="F10" s="6">
        <v>0.70861111111111119</v>
      </c>
      <c r="G10" s="6">
        <v>0.71027777777777779</v>
      </c>
      <c r="H10" s="6">
        <f t="shared" si="0"/>
        <v>1.6666666666665941E-3</v>
      </c>
      <c r="I10" s="8">
        <v>0.70885416666666667</v>
      </c>
      <c r="J10" s="8">
        <v>0.71030092592592586</v>
      </c>
      <c r="K10" s="9">
        <f t="shared" si="1"/>
        <v>1.4467592592591894E-3</v>
      </c>
      <c r="L10" s="11">
        <f t="shared" si="2"/>
        <v>124.99999999999396</v>
      </c>
      <c r="M10" s="6">
        <f t="shared" si="3"/>
        <v>8.91203703703769E-4</v>
      </c>
      <c r="N10" s="6">
        <f t="shared" si="4"/>
        <v>7.1759259259263075E-4</v>
      </c>
      <c r="O10" s="11">
        <f t="shared" si="5"/>
        <v>244.99999999999397</v>
      </c>
      <c r="P10" s="16">
        <v>264</v>
      </c>
      <c r="Q10" s="4" t="s">
        <v>18</v>
      </c>
      <c r="R10" s="4" t="s">
        <v>19</v>
      </c>
      <c r="S10" s="4"/>
      <c r="T10" s="4"/>
    </row>
    <row r="11" spans="1:20" ht="15">
      <c r="A11" s="13" t="s">
        <v>28</v>
      </c>
      <c r="B11" s="4">
        <v>1</v>
      </c>
      <c r="C11" s="15">
        <v>250</v>
      </c>
      <c r="D11" s="5">
        <v>41043</v>
      </c>
      <c r="E11" s="6">
        <v>0.73518518518518527</v>
      </c>
      <c r="F11" s="6">
        <v>0.7359606481481481</v>
      </c>
      <c r="G11" s="6">
        <v>0.73712962962962969</v>
      </c>
      <c r="H11" s="6">
        <f t="shared" si="0"/>
        <v>1.1689814814815902E-3</v>
      </c>
      <c r="I11" s="8">
        <v>0.736261574074074</v>
      </c>
      <c r="J11" s="8">
        <v>0.73715277777777777</v>
      </c>
      <c r="K11" s="9">
        <f t="shared" si="1"/>
        <v>8.91203703703769E-4</v>
      </c>
      <c r="L11" s="11">
        <f t="shared" si="2"/>
        <v>77.000000000005642</v>
      </c>
      <c r="M11" s="6">
        <f t="shared" si="3"/>
        <v>1.0763888888887241E-3</v>
      </c>
      <c r="N11" s="6">
        <f t="shared" si="4"/>
        <v>7.1759259259274177E-4</v>
      </c>
      <c r="O11" s="11">
        <f t="shared" si="5"/>
        <v>197.00000000000563</v>
      </c>
      <c r="P11" s="16">
        <v>232</v>
      </c>
      <c r="Q11" s="4" t="s">
        <v>29</v>
      </c>
      <c r="R11" s="4" t="s">
        <v>19</v>
      </c>
      <c r="S11" s="4" t="s">
        <v>30</v>
      </c>
      <c r="T11" s="4"/>
    </row>
    <row r="12" spans="1:20" ht="15">
      <c r="A12" s="13" t="s">
        <v>31</v>
      </c>
      <c r="B12" s="4">
        <v>2</v>
      </c>
      <c r="C12" s="15">
        <v>250</v>
      </c>
      <c r="D12" s="5">
        <v>41043</v>
      </c>
      <c r="E12" s="6">
        <v>0.94</v>
      </c>
      <c r="F12" s="6">
        <v>0.94035879629629626</v>
      </c>
      <c r="G12" s="6">
        <v>0.94218750000000007</v>
      </c>
      <c r="H12" s="6">
        <f t="shared" si="0"/>
        <v>1.8287037037038045E-3</v>
      </c>
      <c r="I12" s="8">
        <v>0.9412962962962963</v>
      </c>
      <c r="J12" s="8">
        <v>0.94230324074074068</v>
      </c>
      <c r="K12" s="9">
        <f t="shared" si="1"/>
        <v>1.0069444444443798E-3</v>
      </c>
      <c r="L12" s="11">
        <f t="shared" si="2"/>
        <v>86.999999999994415</v>
      </c>
      <c r="M12" s="6">
        <f t="shared" si="3"/>
        <v>1.2962962962963509E-3</v>
      </c>
      <c r="N12" s="6">
        <f t="shared" si="4"/>
        <v>7.1759259259263075E-4</v>
      </c>
      <c r="O12" s="11">
        <f t="shared" si="5"/>
        <v>206.99999999999443</v>
      </c>
      <c r="P12" s="16">
        <v>261</v>
      </c>
      <c r="Q12" s="4" t="s">
        <v>29</v>
      </c>
      <c r="R12" s="4" t="s">
        <v>19</v>
      </c>
      <c r="S12" s="4"/>
      <c r="T12" s="4"/>
    </row>
    <row r="13" spans="1:20" ht="15">
      <c r="A13" s="13" t="s">
        <v>32</v>
      </c>
      <c r="B13" s="4">
        <v>3</v>
      </c>
      <c r="C13" s="15">
        <v>250</v>
      </c>
      <c r="D13" s="5">
        <v>41044</v>
      </c>
      <c r="E13" s="6">
        <v>0.51648148148148143</v>
      </c>
      <c r="F13" s="6">
        <v>0.51692129629629624</v>
      </c>
      <c r="G13" s="6">
        <v>0.51833333333333331</v>
      </c>
      <c r="H13" s="6">
        <f t="shared" si="0"/>
        <v>1.4120370370370727E-3</v>
      </c>
      <c r="I13" s="8">
        <v>0.51762731481481483</v>
      </c>
      <c r="J13" s="8">
        <v>0.51834490740740746</v>
      </c>
      <c r="K13" s="9">
        <f t="shared" si="1"/>
        <v>7.1759259259263075E-4</v>
      </c>
      <c r="L13" s="11">
        <f t="shared" si="2"/>
        <v>62.000000000003297</v>
      </c>
      <c r="M13" s="6">
        <f t="shared" si="3"/>
        <v>1.1458333333334014E-3</v>
      </c>
      <c r="N13" s="6">
        <f t="shared" si="4"/>
        <v>7.291666666665586E-4</v>
      </c>
      <c r="O13" s="11">
        <f t="shared" si="5"/>
        <v>182.0000000000033</v>
      </c>
      <c r="P13" s="16">
        <v>224</v>
      </c>
      <c r="Q13" s="4" t="s">
        <v>29</v>
      </c>
      <c r="R13" s="4" t="s">
        <v>19</v>
      </c>
      <c r="S13" s="4"/>
      <c r="T13" s="4"/>
    </row>
    <row r="14" spans="1:20" ht="15">
      <c r="A14" s="13" t="s">
        <v>37</v>
      </c>
      <c r="B14" s="4">
        <v>2</v>
      </c>
      <c r="C14" s="17">
        <v>1000</v>
      </c>
      <c r="D14" s="5">
        <v>42408</v>
      </c>
      <c r="E14" s="6">
        <v>0.32010416666666669</v>
      </c>
      <c r="F14" s="6">
        <v>0.32063657407407409</v>
      </c>
      <c r="G14" s="6">
        <v>0.32203703703703707</v>
      </c>
      <c r="H14" s="6">
        <f t="shared" si="0"/>
        <v>1.4004629629629783E-3</v>
      </c>
      <c r="I14" s="6">
        <v>0.32069444444444445</v>
      </c>
      <c r="J14" s="6">
        <v>0.32197916666666665</v>
      </c>
      <c r="K14" s="9">
        <f t="shared" si="1"/>
        <v>1.284722222222201E-3</v>
      </c>
      <c r="L14" s="11">
        <f t="shared" si="2"/>
        <v>110.99999999999817</v>
      </c>
      <c r="M14" s="18">
        <f t="shared" si="3"/>
        <v>5.9027777777775903E-4</v>
      </c>
      <c r="N14" s="6">
        <f t="shared" si="4"/>
        <v>7.6388888888895279E-4</v>
      </c>
      <c r="O14" s="14">
        <f t="shared" si="5"/>
        <v>230.99999999999818</v>
      </c>
      <c r="P14" s="14">
        <v>228</v>
      </c>
      <c r="Q14" s="4" t="s">
        <v>29</v>
      </c>
      <c r="R14" s="4" t="s">
        <v>19</v>
      </c>
      <c r="S14" s="4"/>
      <c r="T14" s="4"/>
    </row>
    <row r="15" spans="1:20" ht="15">
      <c r="A15" s="13" t="s">
        <v>38</v>
      </c>
      <c r="B15" s="4">
        <v>3</v>
      </c>
      <c r="C15" s="17">
        <v>1000</v>
      </c>
      <c r="D15" s="5">
        <v>42408</v>
      </c>
      <c r="E15" s="6">
        <v>0.81341435185185185</v>
      </c>
      <c r="F15" s="6">
        <v>0.8141087962962964</v>
      </c>
      <c r="G15" s="6">
        <v>0.81587962962962957</v>
      </c>
      <c r="H15" s="6">
        <f t="shared" si="0"/>
        <v>1.7708333333331661E-3</v>
      </c>
      <c r="I15" s="6">
        <v>0.81414351851851852</v>
      </c>
      <c r="J15" s="6">
        <v>0.81598379629629625</v>
      </c>
      <c r="K15" s="9">
        <f t="shared" si="1"/>
        <v>1.8402777777777324E-3</v>
      </c>
      <c r="L15" s="11">
        <f t="shared" si="2"/>
        <v>158.99999999999608</v>
      </c>
      <c r="M15" s="6">
        <f t="shared" si="3"/>
        <v>7.2916666666666963E-4</v>
      </c>
      <c r="N15" s="6">
        <f t="shared" si="4"/>
        <v>6.0185185185190893E-4</v>
      </c>
      <c r="O15" s="14">
        <f t="shared" si="5"/>
        <v>278.99999999999608</v>
      </c>
      <c r="P15" s="14">
        <v>274</v>
      </c>
      <c r="Q15" s="4" t="s">
        <v>29</v>
      </c>
      <c r="R15" s="4" t="s">
        <v>19</v>
      </c>
      <c r="S15" s="4"/>
      <c r="T15" s="4"/>
    </row>
    <row r="16" spans="1:20">
      <c r="A16" s="13"/>
      <c r="B16" s="4"/>
      <c r="C16" s="4"/>
      <c r="D16" s="5"/>
      <c r="E16" s="6"/>
      <c r="F16" s="6"/>
      <c r="G16" s="6"/>
      <c r="H16" s="6"/>
      <c r="I16" s="6"/>
      <c r="J16" s="6"/>
      <c r="K16" s="6"/>
      <c r="L16" s="6"/>
      <c r="M16" s="9"/>
      <c r="N16" s="11"/>
      <c r="O16" s="11"/>
      <c r="P16" s="10"/>
      <c r="Q16" s="4"/>
      <c r="R16" s="4"/>
      <c r="S16" s="4"/>
      <c r="T16" s="4"/>
    </row>
    <row r="17" spans="1:20" ht="15">
      <c r="A17" s="4" t="s">
        <v>33</v>
      </c>
      <c r="B17" s="4">
        <v>1</v>
      </c>
      <c r="C17" s="4"/>
      <c r="D17" s="5">
        <v>42403</v>
      </c>
      <c r="E17" s="5"/>
      <c r="F17" s="6">
        <v>0.54686342592592596</v>
      </c>
      <c r="G17" s="6">
        <v>0.63490740740740736</v>
      </c>
      <c r="H17" s="18">
        <f>G17-F17</f>
        <v>8.8043981481481404E-2</v>
      </c>
      <c r="I17" s="15" t="s">
        <v>34</v>
      </c>
      <c r="J17" s="15" t="s">
        <v>34</v>
      </c>
      <c r="M17" s="7"/>
      <c r="N17" s="7"/>
      <c r="O17" s="7"/>
      <c r="P17" s="12"/>
      <c r="Q17" s="4" t="s">
        <v>35</v>
      </c>
      <c r="R17" s="4" t="s">
        <v>13</v>
      </c>
      <c r="S17" s="4" t="s">
        <v>36</v>
      </c>
      <c r="T17" s="4" t="s">
        <v>21</v>
      </c>
    </row>
    <row r="20" spans="1:20">
      <c r="I20" s="20"/>
    </row>
  </sheetData>
  <pageMargins left="0.7" right="0.7" top="0.75" bottom="0.75" header="0.3" footer="0.3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G1" workbookViewId="0">
      <pane ySplit="1" topLeftCell="A21" activePane="bottomLeft" state="frozen"/>
      <selection pane="bottomLeft" activeCell="M21" sqref="M21:N37"/>
    </sheetView>
  </sheetViews>
  <sheetFormatPr baseColWidth="10" defaultRowHeight="14" x14ac:dyDescent="0"/>
  <cols>
    <col min="1" max="1" width="8.6640625" bestFit="1" customWidth="1"/>
    <col min="5" max="5" width="13" bestFit="1" customWidth="1"/>
    <col min="6" max="6" width="15.5" bestFit="1" customWidth="1"/>
    <col min="7" max="7" width="12" bestFit="1" customWidth="1"/>
    <col min="8" max="8" width="17" style="30" customWidth="1"/>
    <col min="12" max="12" width="14.1640625" bestFit="1" customWidth="1"/>
  </cols>
  <sheetData>
    <row r="1" spans="1:21" ht="28">
      <c r="A1" s="1" t="s">
        <v>0</v>
      </c>
      <c r="B1" s="1" t="s">
        <v>1</v>
      </c>
      <c r="C1" s="1" t="s">
        <v>43</v>
      </c>
      <c r="D1" s="2" t="s">
        <v>2</v>
      </c>
      <c r="E1" s="2" t="s">
        <v>41</v>
      </c>
      <c r="F1" s="3" t="s">
        <v>3</v>
      </c>
      <c r="G1" s="1" t="s">
        <v>4</v>
      </c>
      <c r="H1" s="27" t="s">
        <v>39</v>
      </c>
      <c r="I1" s="1" t="s">
        <v>5</v>
      </c>
      <c r="J1" s="1" t="s">
        <v>6</v>
      </c>
      <c r="K1" s="1" t="s">
        <v>40</v>
      </c>
      <c r="L1" s="1" t="s">
        <v>61</v>
      </c>
      <c r="M1" s="1" t="s">
        <v>44</v>
      </c>
      <c r="N1" s="1" t="s">
        <v>47</v>
      </c>
      <c r="O1" s="19" t="s">
        <v>45</v>
      </c>
      <c r="P1" s="19" t="s">
        <v>46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62</v>
      </c>
    </row>
    <row r="2" spans="1:21" ht="15">
      <c r="A2" t="s">
        <v>48</v>
      </c>
      <c r="B2">
        <v>1</v>
      </c>
      <c r="C2">
        <v>1000</v>
      </c>
      <c r="D2" s="21">
        <v>42472</v>
      </c>
      <c r="F2" s="22">
        <v>0.93699074074074085</v>
      </c>
      <c r="G2" s="22">
        <v>0.93724537037037037</v>
      </c>
      <c r="H2" s="28">
        <f>G2-F2</f>
        <v>2.546296296295214E-4</v>
      </c>
      <c r="M2" s="6">
        <f t="shared" ref="M2:M37" si="0">IF(I2="",F2-E2,I2-E2)</f>
        <v>0.93699074074074085</v>
      </c>
      <c r="N2" s="6">
        <f t="shared" ref="N2:N37" si="1">E2+TIME(0, ROUNDDOWN(P2/60, 2), MOD(P2, 60)) - IF(J2="",G2,J2)</f>
        <v>-0.93724537037037037</v>
      </c>
    </row>
    <row r="3" spans="1:21" ht="15">
      <c r="A3" t="s">
        <v>48</v>
      </c>
      <c r="B3">
        <v>2</v>
      </c>
      <c r="C3">
        <v>1000</v>
      </c>
      <c r="D3" s="21">
        <v>42473</v>
      </c>
      <c r="F3" s="22">
        <v>0.41717592592592595</v>
      </c>
      <c r="G3" s="22">
        <v>0.41966435185185186</v>
      </c>
      <c r="H3" s="28">
        <f>G3-F3</f>
        <v>2.4884259259259078E-3</v>
      </c>
      <c r="M3" s="6">
        <f t="shared" si="0"/>
        <v>0.41717592592592595</v>
      </c>
      <c r="N3" s="6">
        <f t="shared" si="1"/>
        <v>-0.41966435185185186</v>
      </c>
    </row>
    <row r="4" spans="1:21" ht="15">
      <c r="A4" t="s">
        <v>48</v>
      </c>
      <c r="B4">
        <v>3</v>
      </c>
      <c r="C4">
        <v>1000</v>
      </c>
      <c r="D4" s="21">
        <v>42474</v>
      </c>
      <c r="F4" s="22">
        <v>0.11475694444444444</v>
      </c>
      <c r="G4" s="22">
        <v>0.11497685185185186</v>
      </c>
      <c r="H4" s="28">
        <f>G4-F4</f>
        <v>2.1990740740741865E-4</v>
      </c>
      <c r="M4" s="6">
        <f t="shared" si="0"/>
        <v>0.11475694444444444</v>
      </c>
      <c r="N4" s="6">
        <f t="shared" si="1"/>
        <v>-0.11497685185185186</v>
      </c>
    </row>
    <row r="5" spans="1:21" ht="15">
      <c r="A5" t="s">
        <v>48</v>
      </c>
      <c r="B5">
        <v>4</v>
      </c>
      <c r="C5">
        <v>1000</v>
      </c>
      <c r="D5" s="21">
        <v>42474</v>
      </c>
      <c r="F5" s="22">
        <v>0.27679398148148149</v>
      </c>
      <c r="G5" s="22">
        <v>0.27709490740740739</v>
      </c>
      <c r="H5" s="28">
        <f>G5-F5</f>
        <v>3.0092592592589895E-4</v>
      </c>
      <c r="M5" s="6">
        <f t="shared" si="0"/>
        <v>0.27679398148148149</v>
      </c>
      <c r="N5" s="6">
        <f t="shared" si="1"/>
        <v>-0.27709490740740739</v>
      </c>
    </row>
    <row r="6" spans="1:21" ht="15">
      <c r="A6" s="23" t="s">
        <v>49</v>
      </c>
      <c r="B6" s="23">
        <v>1</v>
      </c>
      <c r="C6" s="23">
        <v>1000</v>
      </c>
      <c r="D6" s="24">
        <v>42415</v>
      </c>
      <c r="E6" s="23"/>
      <c r="F6" s="25">
        <v>0.28837962962962965</v>
      </c>
      <c r="G6" s="23"/>
      <c r="H6" s="28"/>
      <c r="I6" s="23"/>
      <c r="J6" s="23"/>
      <c r="M6" s="26">
        <f t="shared" si="0"/>
        <v>0.28837962962962965</v>
      </c>
      <c r="N6" s="6">
        <f t="shared" si="1"/>
        <v>0</v>
      </c>
      <c r="O6" s="23"/>
      <c r="P6" s="23"/>
    </row>
    <row r="7" spans="1:21" ht="15">
      <c r="A7" s="23" t="s">
        <v>49</v>
      </c>
      <c r="B7" s="23">
        <v>2</v>
      </c>
      <c r="C7" s="23">
        <v>1000</v>
      </c>
      <c r="D7" s="24">
        <v>42415</v>
      </c>
      <c r="E7" s="23"/>
      <c r="F7" s="25">
        <v>0.56689814814814821</v>
      </c>
      <c r="G7" s="23"/>
      <c r="H7" s="28"/>
      <c r="I7" s="23"/>
      <c r="J7" s="23"/>
      <c r="M7" s="26">
        <f t="shared" si="0"/>
        <v>0.56689814814814821</v>
      </c>
      <c r="N7" s="6">
        <f t="shared" si="1"/>
        <v>0</v>
      </c>
      <c r="O7" s="23"/>
      <c r="P7" s="23"/>
    </row>
    <row r="8" spans="1:21" ht="15">
      <c r="A8" s="23" t="s">
        <v>49</v>
      </c>
      <c r="B8" s="23">
        <v>3</v>
      </c>
      <c r="C8" s="23">
        <v>1000</v>
      </c>
      <c r="D8" s="24">
        <v>42416</v>
      </c>
      <c r="E8" s="23"/>
      <c r="F8" s="25">
        <v>0.48633101851851851</v>
      </c>
      <c r="G8" s="23"/>
      <c r="H8" s="28"/>
      <c r="I8" s="23"/>
      <c r="J8" s="23"/>
      <c r="M8" s="26">
        <f t="shared" si="0"/>
        <v>0.48633101851851851</v>
      </c>
      <c r="N8" s="6">
        <f t="shared" si="1"/>
        <v>0</v>
      </c>
      <c r="O8" s="23"/>
      <c r="P8" s="23"/>
    </row>
    <row r="9" spans="1:21" ht="15">
      <c r="A9" s="23" t="s">
        <v>49</v>
      </c>
      <c r="B9" s="23">
        <v>4</v>
      </c>
      <c r="C9" s="23">
        <v>1000</v>
      </c>
      <c r="D9" s="24">
        <v>42416</v>
      </c>
      <c r="E9" s="23"/>
      <c r="F9" s="25">
        <v>0.9051851851851852</v>
      </c>
      <c r="G9" s="23"/>
      <c r="H9" s="28"/>
      <c r="I9" s="23"/>
      <c r="J9" s="23"/>
      <c r="M9" s="26">
        <f t="shared" si="0"/>
        <v>0.9051851851851852</v>
      </c>
      <c r="N9" s="6">
        <f t="shared" si="1"/>
        <v>0</v>
      </c>
      <c r="O9" s="23"/>
      <c r="P9" s="23"/>
    </row>
    <row r="10" spans="1:21" ht="15">
      <c r="A10" s="23" t="s">
        <v>49</v>
      </c>
      <c r="B10" s="23">
        <v>5</v>
      </c>
      <c r="C10" s="23">
        <v>1000</v>
      </c>
      <c r="D10" s="24">
        <v>42417</v>
      </c>
      <c r="E10" s="23"/>
      <c r="F10" s="25">
        <v>0.37618055555555557</v>
      </c>
      <c r="G10" s="23"/>
      <c r="H10" s="28"/>
      <c r="I10" s="23"/>
      <c r="J10" s="23"/>
      <c r="M10" s="26">
        <f t="shared" si="0"/>
        <v>0.37618055555555557</v>
      </c>
      <c r="N10" s="6">
        <f t="shared" si="1"/>
        <v>0</v>
      </c>
      <c r="O10" s="23"/>
      <c r="P10" s="23"/>
    </row>
    <row r="11" spans="1:21" ht="15">
      <c r="A11" s="23" t="s">
        <v>49</v>
      </c>
      <c r="B11" s="23">
        <v>6</v>
      </c>
      <c r="C11" s="23">
        <v>1000</v>
      </c>
      <c r="D11" s="24">
        <v>42417</v>
      </c>
      <c r="E11" s="23"/>
      <c r="F11" s="25">
        <v>0.83583333333333332</v>
      </c>
      <c r="G11" s="23"/>
      <c r="H11" s="28"/>
      <c r="I11" s="23"/>
      <c r="J11" s="23"/>
      <c r="M11" s="26">
        <f t="shared" si="0"/>
        <v>0.83583333333333332</v>
      </c>
      <c r="N11" s="6">
        <f t="shared" si="1"/>
        <v>0</v>
      </c>
      <c r="O11" s="23"/>
      <c r="P11" s="23"/>
    </row>
    <row r="12" spans="1:21" ht="15">
      <c r="A12" s="23" t="s">
        <v>50</v>
      </c>
      <c r="B12" s="23">
        <v>1</v>
      </c>
      <c r="C12" s="23">
        <v>1000</v>
      </c>
      <c r="D12" s="24">
        <v>42409</v>
      </c>
      <c r="E12" s="23"/>
      <c r="F12" s="25">
        <v>0.1034375</v>
      </c>
      <c r="G12" s="23"/>
      <c r="H12" s="28"/>
      <c r="I12" s="23"/>
      <c r="J12" s="23"/>
      <c r="M12" s="26">
        <f t="shared" si="0"/>
        <v>0.1034375</v>
      </c>
      <c r="N12" s="6">
        <f t="shared" si="1"/>
        <v>0</v>
      </c>
      <c r="O12" s="23"/>
      <c r="P12" s="23"/>
    </row>
    <row r="13" spans="1:21" ht="15">
      <c r="A13" s="23" t="s">
        <v>50</v>
      </c>
      <c r="B13" s="23">
        <v>2</v>
      </c>
      <c r="C13" s="23">
        <v>1000</v>
      </c>
      <c r="D13" s="24">
        <v>42409</v>
      </c>
      <c r="E13" s="23"/>
      <c r="F13" s="25">
        <v>0.34001157407407406</v>
      </c>
      <c r="G13" s="23"/>
      <c r="H13" s="28"/>
      <c r="I13" s="23"/>
      <c r="J13" s="23"/>
      <c r="M13" s="26">
        <f t="shared" si="0"/>
        <v>0.34001157407407406</v>
      </c>
      <c r="N13" s="6">
        <f t="shared" si="1"/>
        <v>0</v>
      </c>
      <c r="O13" s="23"/>
      <c r="P13" s="23"/>
    </row>
    <row r="14" spans="1:21" ht="15">
      <c r="A14" s="23" t="s">
        <v>50</v>
      </c>
      <c r="B14" s="23">
        <v>3</v>
      </c>
      <c r="C14" s="23">
        <v>1000</v>
      </c>
      <c r="D14" s="24">
        <v>42409</v>
      </c>
      <c r="E14" s="23"/>
      <c r="F14" s="25">
        <v>0.4261226851851852</v>
      </c>
      <c r="G14" s="23"/>
      <c r="H14" s="28"/>
      <c r="I14" s="23"/>
      <c r="J14" s="23"/>
      <c r="M14" s="26">
        <f t="shared" si="0"/>
        <v>0.4261226851851852</v>
      </c>
      <c r="N14" s="6">
        <f t="shared" si="1"/>
        <v>0</v>
      </c>
      <c r="O14" s="23"/>
      <c r="P14" s="23"/>
    </row>
    <row r="15" spans="1:21" s="32" customFormat="1" ht="15">
      <c r="A15" s="32" t="s">
        <v>51</v>
      </c>
      <c r="B15" s="32">
        <v>1</v>
      </c>
      <c r="C15" s="32">
        <v>1000</v>
      </c>
      <c r="D15" s="33">
        <v>42400</v>
      </c>
      <c r="E15" s="34">
        <v>0.69289351851851855</v>
      </c>
      <c r="F15" s="35">
        <v>0.69357638888888884</v>
      </c>
      <c r="G15" s="34">
        <v>0.69487268518518519</v>
      </c>
      <c r="H15" s="36">
        <f t="shared" ref="H15:H37" si="2">G15-F15</f>
        <v>1.2962962962963509E-3</v>
      </c>
      <c r="M15" s="37">
        <f t="shared" si="0"/>
        <v>6.8287037037029208E-4</v>
      </c>
      <c r="N15" s="37">
        <f t="shared" si="1"/>
        <v>7.0601851851859188E-4</v>
      </c>
      <c r="P15" s="32">
        <f>3*60+52</f>
        <v>232</v>
      </c>
      <c r="U15" s="32" t="s">
        <v>63</v>
      </c>
    </row>
    <row r="16" spans="1:21" s="32" customFormat="1" ht="15">
      <c r="A16" s="32" t="s">
        <v>51</v>
      </c>
      <c r="B16" s="32">
        <v>2</v>
      </c>
      <c r="C16" s="32">
        <v>1000</v>
      </c>
      <c r="D16" s="33">
        <v>42401</v>
      </c>
      <c r="E16" s="34">
        <v>0.49060185185185184</v>
      </c>
      <c r="F16" s="34">
        <v>0.49128472222222225</v>
      </c>
      <c r="G16" s="34">
        <v>0.49238425925925927</v>
      </c>
      <c r="H16" s="36">
        <f t="shared" si="2"/>
        <v>1.0995370370370239E-3</v>
      </c>
      <c r="M16" s="37">
        <f t="shared" si="0"/>
        <v>6.828703703704031E-4</v>
      </c>
      <c r="N16" s="37">
        <f t="shared" si="1"/>
        <v>7.0601851851848085E-4</v>
      </c>
      <c r="P16" s="32">
        <f>3*60+35</f>
        <v>215</v>
      </c>
      <c r="U16" s="32" t="s">
        <v>63</v>
      </c>
    </row>
    <row r="17" spans="1:21" s="32" customFormat="1" ht="15">
      <c r="A17" s="32" t="s">
        <v>51</v>
      </c>
      <c r="B17" s="32">
        <v>3</v>
      </c>
      <c r="C17" s="32">
        <v>1000</v>
      </c>
      <c r="D17" s="33">
        <v>42402</v>
      </c>
      <c r="E17" s="34">
        <v>0.38292824074074078</v>
      </c>
      <c r="F17" s="34">
        <v>0.38361111111111112</v>
      </c>
      <c r="G17" s="34">
        <v>0.38494212962962965</v>
      </c>
      <c r="H17" s="36">
        <f t="shared" si="2"/>
        <v>1.331018518518523E-3</v>
      </c>
      <c r="M17" s="37">
        <f t="shared" si="0"/>
        <v>6.8287037037034759E-4</v>
      </c>
      <c r="N17" s="37">
        <f t="shared" si="1"/>
        <v>7.7546296296299166E-4</v>
      </c>
      <c r="P17" s="32">
        <f>4*60+1</f>
        <v>241</v>
      </c>
      <c r="U17" s="32" t="s">
        <v>63</v>
      </c>
    </row>
    <row r="18" spans="1:21" s="32" customFormat="1" ht="15">
      <c r="A18" s="32" t="s">
        <v>52</v>
      </c>
      <c r="B18" s="32">
        <v>1</v>
      </c>
      <c r="C18" s="32">
        <v>1000</v>
      </c>
      <c r="D18" s="33">
        <v>42279</v>
      </c>
      <c r="E18" s="34">
        <v>0.67275462962962962</v>
      </c>
      <c r="F18" s="34">
        <v>0.67355324074074074</v>
      </c>
      <c r="G18" s="34">
        <v>0.67405092592592597</v>
      </c>
      <c r="H18" s="36">
        <f t="shared" si="2"/>
        <v>4.9768518518522598E-4</v>
      </c>
      <c r="I18" s="34"/>
      <c r="M18" s="37">
        <f t="shared" si="0"/>
        <v>7.9861111111112493E-4</v>
      </c>
      <c r="N18" s="37">
        <f t="shared" si="1"/>
        <v>7.986111111110139E-4</v>
      </c>
      <c r="P18" s="32">
        <f>3*60+1</f>
        <v>181</v>
      </c>
      <c r="U18" s="32" t="s">
        <v>63</v>
      </c>
    </row>
    <row r="19" spans="1:21" s="32" customFormat="1" ht="15">
      <c r="A19" s="32" t="s">
        <v>52</v>
      </c>
      <c r="B19" s="32">
        <v>2</v>
      </c>
      <c r="C19" s="32">
        <v>1000</v>
      </c>
      <c r="D19" s="33">
        <v>42283</v>
      </c>
      <c r="E19" s="34">
        <v>2.5162037037037038E-2</v>
      </c>
      <c r="F19" s="34">
        <v>2.5694444444444447E-2</v>
      </c>
      <c r="G19" s="34">
        <v>2.6458333333333334E-2</v>
      </c>
      <c r="H19" s="36">
        <f t="shared" si="2"/>
        <v>7.6388888888888687E-4</v>
      </c>
      <c r="M19" s="37">
        <f t="shared" si="0"/>
        <v>5.3240740740740852E-4</v>
      </c>
      <c r="N19" s="37">
        <f t="shared" si="1"/>
        <v>7.9861111111111105E-4</v>
      </c>
      <c r="P19" s="32">
        <v>181</v>
      </c>
    </row>
    <row r="20" spans="1:21" s="32" customFormat="1" ht="15">
      <c r="A20" s="32" t="s">
        <v>52</v>
      </c>
      <c r="B20" s="32">
        <v>3</v>
      </c>
      <c r="C20" s="32">
        <v>1000</v>
      </c>
      <c r="D20" s="33">
        <v>42283</v>
      </c>
      <c r="E20" s="34">
        <v>0.21440972222222221</v>
      </c>
      <c r="F20" s="34">
        <v>0.21509259259259259</v>
      </c>
      <c r="G20" s="34">
        <v>0.21574074074074076</v>
      </c>
      <c r="H20" s="36">
        <f t="shared" si="2"/>
        <v>6.4814814814817545E-4</v>
      </c>
      <c r="M20" s="37">
        <f t="shared" si="0"/>
        <v>6.8287037037037535E-4</v>
      </c>
      <c r="N20" s="37">
        <f t="shared" si="1"/>
        <v>7.6388888888886952E-4</v>
      </c>
      <c r="P20" s="32">
        <v>181</v>
      </c>
    </row>
    <row r="21" spans="1:21" s="32" customFormat="1" ht="15">
      <c r="A21" s="32" t="s">
        <v>52</v>
      </c>
      <c r="B21" s="32">
        <v>4</v>
      </c>
      <c r="C21" s="32">
        <v>1000</v>
      </c>
      <c r="D21" s="33">
        <v>42283</v>
      </c>
      <c r="E21" s="34">
        <v>0.24069444444444443</v>
      </c>
      <c r="F21" s="34">
        <v>0.24137731481481484</v>
      </c>
      <c r="G21" s="34">
        <v>0.24195601851851853</v>
      </c>
      <c r="H21" s="36">
        <f t="shared" si="2"/>
        <v>5.787037037036924E-4</v>
      </c>
      <c r="M21" s="37">
        <f t="shared" si="0"/>
        <v>6.828703703704031E-4</v>
      </c>
      <c r="N21" s="37">
        <f t="shared" si="1"/>
        <v>7.2916666666664187E-4</v>
      </c>
      <c r="P21" s="32">
        <f>2*60+52</f>
        <v>172</v>
      </c>
    </row>
    <row r="22" spans="1:21" s="32" customFormat="1" ht="15">
      <c r="A22" s="32" t="s">
        <v>52</v>
      </c>
      <c r="B22" s="32">
        <v>5</v>
      </c>
      <c r="C22" s="32">
        <v>1000</v>
      </c>
      <c r="D22" s="33">
        <v>42285</v>
      </c>
      <c r="E22" s="34">
        <v>4.7453703703703703E-3</v>
      </c>
      <c r="F22" s="34">
        <v>5.4282407407407404E-3</v>
      </c>
      <c r="G22" s="34">
        <v>6.1921296296296299E-3</v>
      </c>
      <c r="H22" s="36">
        <f t="shared" si="2"/>
        <v>7.6388888888888947E-4</v>
      </c>
      <c r="M22" s="37">
        <f t="shared" si="0"/>
        <v>6.8287037037037014E-4</v>
      </c>
      <c r="N22" s="37">
        <f t="shared" si="1"/>
        <v>7.1759259259259172E-4</v>
      </c>
      <c r="P22" s="32">
        <v>187</v>
      </c>
    </row>
    <row r="23" spans="1:21" s="32" customFormat="1" ht="15">
      <c r="A23" s="32" t="s">
        <v>53</v>
      </c>
      <c r="B23" s="32">
        <v>1</v>
      </c>
      <c r="C23" s="32">
        <v>1000</v>
      </c>
      <c r="D23" s="33">
        <v>42231</v>
      </c>
      <c r="E23" s="34">
        <v>0.68473379629629638</v>
      </c>
      <c r="F23" s="34">
        <v>0.68545138888888879</v>
      </c>
      <c r="G23" s="34">
        <v>0.68583333333333341</v>
      </c>
      <c r="H23" s="36">
        <f t="shared" si="2"/>
        <v>3.8194444444461517E-4</v>
      </c>
      <c r="M23" s="37">
        <f t="shared" si="0"/>
        <v>7.1759259259240871E-4</v>
      </c>
      <c r="N23" s="37">
        <f t="shared" si="1"/>
        <v>7.7546296296293615E-4</v>
      </c>
      <c r="P23" s="32">
        <f>2*60+42</f>
        <v>162</v>
      </c>
    </row>
    <row r="24" spans="1:21" s="32" customFormat="1" ht="15">
      <c r="A24" s="32" t="s">
        <v>53</v>
      </c>
      <c r="B24" s="32">
        <v>2</v>
      </c>
      <c r="C24" s="32">
        <v>1000</v>
      </c>
      <c r="D24" s="33">
        <v>42231</v>
      </c>
      <c r="E24" s="34">
        <v>0.87585648148148154</v>
      </c>
      <c r="F24" s="34">
        <v>0.87653935185185183</v>
      </c>
      <c r="G24" s="34">
        <v>0.87741898148148145</v>
      </c>
      <c r="H24" s="36">
        <f t="shared" si="2"/>
        <v>8.796296296296191E-4</v>
      </c>
      <c r="M24" s="37">
        <f t="shared" si="0"/>
        <v>6.8287037037029208E-4</v>
      </c>
      <c r="N24" s="37">
        <f t="shared" si="1"/>
        <v>7.2916666666678065E-4</v>
      </c>
      <c r="P24" s="32">
        <f>3*60+18</f>
        <v>198</v>
      </c>
    </row>
    <row r="25" spans="1:21" s="32" customFormat="1" ht="15">
      <c r="A25" s="32" t="s">
        <v>53</v>
      </c>
      <c r="B25" s="32">
        <v>3</v>
      </c>
      <c r="C25" s="32">
        <v>1000</v>
      </c>
      <c r="D25" s="33">
        <v>42232</v>
      </c>
      <c r="E25" s="34">
        <v>0.53564814814814821</v>
      </c>
      <c r="F25" s="34">
        <v>0.5363310185185185</v>
      </c>
      <c r="G25" s="34">
        <v>0.53675925925925927</v>
      </c>
      <c r="H25" s="36">
        <f t="shared" si="2"/>
        <v>4.2824074074077068E-4</v>
      </c>
      <c r="M25" s="37">
        <f t="shared" si="0"/>
        <v>6.8287037037029208E-4</v>
      </c>
      <c r="N25" s="37">
        <f t="shared" si="1"/>
        <v>7.7546296296304718E-4</v>
      </c>
      <c r="P25" s="32">
        <f>2*60+43</f>
        <v>163</v>
      </c>
    </row>
    <row r="26" spans="1:21" s="32" customFormat="1" ht="15">
      <c r="A26" s="32" t="s">
        <v>53</v>
      </c>
      <c r="B26" s="32">
        <v>4</v>
      </c>
      <c r="C26" s="32">
        <v>1000</v>
      </c>
      <c r="D26" s="33">
        <v>42232</v>
      </c>
      <c r="E26" s="34">
        <v>0.54164351851851855</v>
      </c>
      <c r="F26" s="34">
        <v>0.54234953703703703</v>
      </c>
      <c r="G26" s="34">
        <v>0.54259259259259263</v>
      </c>
      <c r="H26" s="36">
        <f t="shared" si="2"/>
        <v>2.4305555555559355E-4</v>
      </c>
      <c r="M26" s="37">
        <f t="shared" si="0"/>
        <v>7.0601851851848085E-4</v>
      </c>
      <c r="N26" s="37">
        <f t="shared" si="1"/>
        <v>7.523148148148584E-4</v>
      </c>
      <c r="P26" s="32">
        <f>2*60+27</f>
        <v>147</v>
      </c>
    </row>
    <row r="27" spans="1:21" s="32" customFormat="1" ht="15">
      <c r="A27" s="32" t="s">
        <v>53</v>
      </c>
      <c r="B27" s="32">
        <v>5</v>
      </c>
      <c r="C27" s="32">
        <v>1000</v>
      </c>
      <c r="D27" s="33">
        <v>42232</v>
      </c>
      <c r="E27" s="34">
        <v>0.73238425925925921</v>
      </c>
      <c r="F27" s="34">
        <v>0.73306712962962972</v>
      </c>
      <c r="G27" s="34">
        <v>0.73344907407407411</v>
      </c>
      <c r="H27" s="36">
        <f t="shared" si="2"/>
        <v>3.8194444444439313E-4</v>
      </c>
      <c r="M27" s="37">
        <f t="shared" si="0"/>
        <v>6.8287037037051412E-4</v>
      </c>
      <c r="N27" s="37">
        <f t="shared" si="1"/>
        <v>7.291666666665586E-4</v>
      </c>
      <c r="P27" s="32">
        <f>2*60+35</f>
        <v>155</v>
      </c>
    </row>
    <row r="28" spans="1:21" s="32" customFormat="1" ht="15">
      <c r="A28" s="32" t="s">
        <v>53</v>
      </c>
      <c r="B28" s="32">
        <v>6</v>
      </c>
      <c r="C28" s="32">
        <v>1000</v>
      </c>
      <c r="D28" s="33">
        <v>42232</v>
      </c>
      <c r="E28" s="34">
        <v>0.7790393518518518</v>
      </c>
      <c r="F28" s="34">
        <v>0.77972222222222232</v>
      </c>
      <c r="G28" s="34">
        <v>0.77995370370370365</v>
      </c>
      <c r="H28" s="36">
        <f t="shared" si="2"/>
        <v>2.3148148148133263E-4</v>
      </c>
      <c r="M28" s="37">
        <f t="shared" si="0"/>
        <v>6.8287037037051412E-4</v>
      </c>
      <c r="N28" s="37">
        <f t="shared" si="1"/>
        <v>7.407407407407085E-4</v>
      </c>
      <c r="P28" s="32">
        <f>2*60+23</f>
        <v>143</v>
      </c>
    </row>
    <row r="29" spans="1:21" s="32" customFormat="1" ht="15">
      <c r="A29" s="32" t="s">
        <v>54</v>
      </c>
      <c r="B29" s="32">
        <v>1</v>
      </c>
      <c r="C29" s="32">
        <v>1000</v>
      </c>
      <c r="D29" s="33">
        <v>42577</v>
      </c>
      <c r="E29" s="34">
        <v>0.72659722222222223</v>
      </c>
      <c r="F29" s="34">
        <v>0.72728009259259263</v>
      </c>
      <c r="G29" s="34">
        <v>0.73106481481481478</v>
      </c>
      <c r="H29" s="36">
        <f t="shared" si="2"/>
        <v>3.7847222222221477E-3</v>
      </c>
      <c r="M29" s="37">
        <f t="shared" si="0"/>
        <v>6.828703703704031E-4</v>
      </c>
      <c r="N29" s="37">
        <f t="shared" si="1"/>
        <v>7.1759259259263075E-4</v>
      </c>
      <c r="P29" s="32">
        <f>7*60+28</f>
        <v>448</v>
      </c>
    </row>
    <row r="30" spans="1:21" s="32" customFormat="1" ht="15">
      <c r="A30" s="32" t="s">
        <v>54</v>
      </c>
      <c r="B30" s="32">
        <v>2</v>
      </c>
      <c r="C30" s="32">
        <v>1000</v>
      </c>
      <c r="D30" s="33">
        <v>42578</v>
      </c>
      <c r="E30" s="34">
        <v>0.15103009259259259</v>
      </c>
      <c r="F30" s="34">
        <v>0.15202546296296296</v>
      </c>
      <c r="G30" s="34">
        <v>0.15432870370370369</v>
      </c>
      <c r="H30" s="36">
        <f t="shared" si="2"/>
        <v>2.3032407407407307E-3</v>
      </c>
      <c r="M30" s="37">
        <f t="shared" si="0"/>
        <v>9.9537037037036868E-4</v>
      </c>
      <c r="N30" s="37">
        <f t="shared" si="1"/>
        <v>7.2916666666666963E-4</v>
      </c>
      <c r="P30" s="32">
        <f>5*60+48</f>
        <v>348</v>
      </c>
    </row>
    <row r="31" spans="1:21" s="32" customFormat="1" ht="15">
      <c r="A31" s="32" t="s">
        <v>54</v>
      </c>
      <c r="B31" s="32">
        <v>3</v>
      </c>
      <c r="C31" s="32">
        <v>1000</v>
      </c>
      <c r="D31" s="33">
        <v>42578</v>
      </c>
      <c r="E31" s="34">
        <v>0.45631944444444444</v>
      </c>
      <c r="F31" s="34">
        <v>0.45701388888888889</v>
      </c>
      <c r="G31" s="34">
        <v>0.45943287037037034</v>
      </c>
      <c r="H31" s="36">
        <f t="shared" si="2"/>
        <v>2.4189814814814525E-3</v>
      </c>
      <c r="M31" s="37">
        <f t="shared" si="0"/>
        <v>6.9444444444444198E-4</v>
      </c>
      <c r="N31" s="37">
        <f t="shared" si="1"/>
        <v>7.7546296296299166E-4</v>
      </c>
      <c r="P31" s="32">
        <f>5*60+36</f>
        <v>336</v>
      </c>
    </row>
    <row r="32" spans="1:21" s="32" customFormat="1" ht="15">
      <c r="A32" s="32" t="s">
        <v>54</v>
      </c>
      <c r="B32" s="32">
        <v>4</v>
      </c>
      <c r="C32" s="32">
        <v>1000</v>
      </c>
      <c r="D32" s="33">
        <v>42578</v>
      </c>
      <c r="E32" s="34">
        <v>0.58387731481481475</v>
      </c>
      <c r="F32" s="34">
        <v>0.58456018518518515</v>
      </c>
      <c r="G32" s="34">
        <v>0.58754629629629629</v>
      </c>
      <c r="H32" s="36">
        <f t="shared" si="2"/>
        <v>2.9861111111111338E-3</v>
      </c>
      <c r="M32" s="37">
        <f t="shared" si="0"/>
        <v>6.828703703704031E-4</v>
      </c>
      <c r="N32" s="37">
        <f t="shared" si="1"/>
        <v>8.2175925925920268E-4</v>
      </c>
      <c r="P32" s="32">
        <f>6*60+28</f>
        <v>388</v>
      </c>
    </row>
    <row r="33" spans="1:16" s="32" customFormat="1" ht="15">
      <c r="A33" s="32" t="s">
        <v>54</v>
      </c>
      <c r="B33" s="32">
        <v>5</v>
      </c>
      <c r="C33" s="32">
        <v>1000</v>
      </c>
      <c r="D33" s="33">
        <v>42579</v>
      </c>
      <c r="E33" s="34">
        <v>0.17188657407407407</v>
      </c>
      <c r="F33" s="34">
        <v>0.17258101851851851</v>
      </c>
      <c r="G33" s="34">
        <v>0.17533564814814814</v>
      </c>
      <c r="H33" s="36">
        <f t="shared" si="2"/>
        <v>2.7546296296296346E-3</v>
      </c>
      <c r="M33" s="37">
        <f t="shared" si="0"/>
        <v>6.9444444444444198E-4</v>
      </c>
      <c r="N33" s="37">
        <f t="shared" si="1"/>
        <v>7.4074074074073626E-4</v>
      </c>
      <c r="P33" s="32">
        <f>6*60+2</f>
        <v>362</v>
      </c>
    </row>
    <row r="34" spans="1:16" s="32" customFormat="1" ht="15">
      <c r="A34" s="32" t="s">
        <v>54</v>
      </c>
      <c r="B34" s="32">
        <v>6</v>
      </c>
      <c r="C34" s="32">
        <v>1000</v>
      </c>
      <c r="D34" s="33">
        <v>42579</v>
      </c>
      <c r="E34" s="34">
        <v>0.58917824074074077</v>
      </c>
      <c r="F34" s="34">
        <v>0.58987268518518521</v>
      </c>
      <c r="G34" s="34">
        <v>0.59459490740740739</v>
      </c>
      <c r="H34" s="36">
        <f t="shared" si="2"/>
        <v>4.7222222222221832E-3</v>
      </c>
      <c r="M34" s="37">
        <f t="shared" si="0"/>
        <v>6.9444444444444198E-4</v>
      </c>
      <c r="N34" s="37">
        <f t="shared" si="1"/>
        <v>3.0092592592600997E-4</v>
      </c>
      <c r="P34" s="32">
        <f>8*60+14</f>
        <v>494</v>
      </c>
    </row>
    <row r="35" spans="1:16" s="32" customFormat="1" ht="15">
      <c r="A35" s="32" t="s">
        <v>54</v>
      </c>
      <c r="B35" s="32">
        <v>7</v>
      </c>
      <c r="C35" s="32">
        <v>1000</v>
      </c>
      <c r="D35" s="33">
        <v>42579</v>
      </c>
      <c r="E35" s="34">
        <v>0.99646990740740737</v>
      </c>
      <c r="F35" s="34">
        <v>0.99716435185185182</v>
      </c>
      <c r="G35" s="34">
        <v>1.0003935185185184</v>
      </c>
      <c r="H35" s="36">
        <f t="shared" si="2"/>
        <v>3.2291666666666163E-3</v>
      </c>
      <c r="M35" s="37">
        <f t="shared" si="0"/>
        <v>6.9444444444444198E-4</v>
      </c>
      <c r="N35" s="37">
        <f t="shared" si="1"/>
        <v>7.1759259259263075E-4</v>
      </c>
      <c r="P35" s="32">
        <f>6*60+41</f>
        <v>401</v>
      </c>
    </row>
    <row r="36" spans="1:16" s="32" customFormat="1" ht="15">
      <c r="A36" s="32" t="s">
        <v>54</v>
      </c>
      <c r="B36" s="32">
        <v>8</v>
      </c>
      <c r="C36" s="32">
        <v>1000</v>
      </c>
      <c r="D36" s="33">
        <v>42580</v>
      </c>
      <c r="E36" s="34">
        <v>0.67980324074074072</v>
      </c>
      <c r="F36" s="34">
        <v>0.68072916666666661</v>
      </c>
      <c r="G36" s="34">
        <v>0.68371527777777785</v>
      </c>
      <c r="H36" s="36">
        <f t="shared" si="2"/>
        <v>2.9861111111112448E-3</v>
      </c>
      <c r="M36" s="37">
        <f t="shared" si="0"/>
        <v>9.2592592592588563E-4</v>
      </c>
      <c r="N36" s="37">
        <f t="shared" si="1"/>
        <v>7.291666666665586E-4</v>
      </c>
      <c r="P36" s="32">
        <f>6*60+41</f>
        <v>401</v>
      </c>
    </row>
    <row r="37" spans="1:16" s="32" customFormat="1" ht="15">
      <c r="A37" s="32" t="s">
        <v>54</v>
      </c>
      <c r="B37" s="32">
        <v>9</v>
      </c>
      <c r="C37" s="32">
        <v>1000</v>
      </c>
      <c r="D37" s="33">
        <v>42581</v>
      </c>
      <c r="E37" s="34">
        <v>0.37493055555555554</v>
      </c>
      <c r="F37" s="34">
        <v>0.37562500000000004</v>
      </c>
      <c r="G37" s="34">
        <v>0.37979166666666669</v>
      </c>
      <c r="H37" s="36">
        <f t="shared" si="2"/>
        <v>4.1666666666666519E-3</v>
      </c>
      <c r="M37" s="37">
        <f t="shared" si="0"/>
        <v>6.9444444444449749E-4</v>
      </c>
      <c r="N37" s="37">
        <f t="shared" si="1"/>
        <v>7.2916666666661412E-4</v>
      </c>
      <c r="P37" s="32">
        <f>8*60+3</f>
        <v>483</v>
      </c>
    </row>
    <row r="38" spans="1:16">
      <c r="H38" s="29"/>
    </row>
  </sheetData>
  <conditionalFormatting sqref="M1:M1048576">
    <cfRule type="cellIs" dxfId="19" priority="2" operator="lessThan">
      <formula>0.000694444444444444</formula>
    </cfRule>
  </conditionalFormatting>
  <conditionalFormatting sqref="N1:N1048576">
    <cfRule type="cellIs" dxfId="18" priority="1" operator="lessThan">
      <formula>0.000694444444444444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19" workbookViewId="0">
      <selection activeCell="O29" sqref="O29"/>
    </sheetView>
  </sheetViews>
  <sheetFormatPr baseColWidth="10" defaultRowHeight="14" x14ac:dyDescent="0"/>
  <cols>
    <col min="5" max="5" width="13" bestFit="1" customWidth="1"/>
    <col min="12" max="12" width="14.1640625" bestFit="1" customWidth="1"/>
    <col min="18" max="18" width="5.83203125" bestFit="1" customWidth="1"/>
    <col min="19" max="19" width="13.33203125" bestFit="1" customWidth="1"/>
    <col min="20" max="20" width="14.33203125" bestFit="1" customWidth="1"/>
  </cols>
  <sheetData>
    <row r="1" spans="1:20" ht="28">
      <c r="A1" s="1" t="s">
        <v>0</v>
      </c>
      <c r="B1" s="1" t="s">
        <v>1</v>
      </c>
      <c r="C1" s="1" t="s">
        <v>43</v>
      </c>
      <c r="D1" s="2" t="s">
        <v>2</v>
      </c>
      <c r="E1" s="2" t="s">
        <v>41</v>
      </c>
      <c r="F1" s="3" t="s">
        <v>3</v>
      </c>
      <c r="G1" s="1" t="s">
        <v>4</v>
      </c>
      <c r="H1" s="1" t="s">
        <v>39</v>
      </c>
      <c r="I1" s="1" t="s">
        <v>5</v>
      </c>
      <c r="J1" s="1" t="s">
        <v>6</v>
      </c>
      <c r="K1" s="1" t="s">
        <v>40</v>
      </c>
      <c r="L1" s="1" t="s">
        <v>61</v>
      </c>
      <c r="M1" s="1" t="s">
        <v>44</v>
      </c>
      <c r="N1" s="1" t="s">
        <v>47</v>
      </c>
      <c r="O1" s="19" t="s">
        <v>70</v>
      </c>
      <c r="P1" s="19" t="s">
        <v>46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55</v>
      </c>
      <c r="B2">
        <v>1</v>
      </c>
      <c r="F2" s="31">
        <v>7.3611111111111113E-2</v>
      </c>
      <c r="G2" s="31"/>
      <c r="H2" s="31"/>
      <c r="I2" s="31">
        <v>9.0972222222222218E-2</v>
      </c>
      <c r="J2" s="31">
        <v>0.1423611111111111</v>
      </c>
      <c r="K2" s="31">
        <f>J2-I2</f>
        <v>5.1388888888888887E-2</v>
      </c>
      <c r="L2" s="11">
        <f>K2*86400</f>
        <v>4440</v>
      </c>
    </row>
    <row r="3" spans="1:20">
      <c r="A3" t="s">
        <v>56</v>
      </c>
      <c r="B3">
        <v>3</v>
      </c>
      <c r="F3" s="31">
        <v>6.25E-2</v>
      </c>
      <c r="G3" s="31"/>
      <c r="H3" s="31"/>
      <c r="I3" s="31">
        <v>8.1944444444444445E-2</v>
      </c>
      <c r="J3" s="31">
        <v>0.16250000000000001</v>
      </c>
      <c r="K3" s="31">
        <f t="shared" ref="K3:K7" si="0">J3-I3</f>
        <v>8.0555555555555561E-2</v>
      </c>
      <c r="L3" s="11">
        <f t="shared" ref="L3:L7" si="1">K3*86400</f>
        <v>6960</v>
      </c>
    </row>
    <row r="4" spans="1:20">
      <c r="A4" t="s">
        <v>57</v>
      </c>
      <c r="B4">
        <v>4</v>
      </c>
      <c r="F4" s="31">
        <v>9.375E-2</v>
      </c>
      <c r="G4" s="31"/>
      <c r="H4" s="31"/>
      <c r="I4" s="31">
        <v>0.13055555555555556</v>
      </c>
      <c r="J4" s="31">
        <v>0.51180555555555551</v>
      </c>
      <c r="K4" s="31">
        <f t="shared" si="0"/>
        <v>0.38124999999999998</v>
      </c>
      <c r="L4" s="11">
        <f t="shared" si="1"/>
        <v>32940</v>
      </c>
    </row>
    <row r="5" spans="1:20">
      <c r="A5" t="s">
        <v>58</v>
      </c>
      <c r="B5">
        <v>2</v>
      </c>
      <c r="F5" s="31">
        <v>6.25E-2</v>
      </c>
      <c r="G5" s="31"/>
      <c r="H5" s="31"/>
      <c r="I5" s="31">
        <v>9.0972222222222218E-2</v>
      </c>
      <c r="J5" s="31">
        <v>0.14444444444444446</v>
      </c>
      <c r="K5" s="31">
        <f t="shared" si="0"/>
        <v>5.347222222222224E-2</v>
      </c>
      <c r="L5" s="11">
        <f t="shared" si="1"/>
        <v>4620.0000000000018</v>
      </c>
    </row>
    <row r="6" spans="1:20">
      <c r="A6" t="s">
        <v>59</v>
      </c>
      <c r="B6">
        <v>3</v>
      </c>
      <c r="F6" s="31">
        <v>7.2916666666666671E-2</v>
      </c>
      <c r="G6" s="31"/>
      <c r="H6" s="31"/>
      <c r="I6" s="31">
        <v>8.9583333333333334E-2</v>
      </c>
      <c r="J6" s="31">
        <v>9.6527777777777768E-2</v>
      </c>
      <c r="K6" s="31">
        <f t="shared" si="0"/>
        <v>6.9444444444444337E-3</v>
      </c>
      <c r="L6" s="11">
        <f t="shared" si="1"/>
        <v>599.99999999999909</v>
      </c>
    </row>
    <row r="7" spans="1:20">
      <c r="A7" t="s">
        <v>60</v>
      </c>
      <c r="B7">
        <v>4</v>
      </c>
      <c r="F7" s="31">
        <v>6.3194444444444442E-2</v>
      </c>
      <c r="G7" s="31"/>
      <c r="H7" s="31"/>
      <c r="I7" s="31">
        <v>7.5694444444444439E-2</v>
      </c>
      <c r="J7" s="31">
        <v>0.15694444444444444</v>
      </c>
      <c r="K7" s="31">
        <f t="shared" si="0"/>
        <v>8.1250000000000003E-2</v>
      </c>
      <c r="L7" s="11">
        <f t="shared" si="1"/>
        <v>7020</v>
      </c>
    </row>
    <row r="9" spans="1:20">
      <c r="A9" t="s">
        <v>64</v>
      </c>
      <c r="B9">
        <v>1</v>
      </c>
      <c r="C9">
        <v>1000</v>
      </c>
      <c r="D9" s="21">
        <v>41135</v>
      </c>
      <c r="E9" s="22">
        <v>0.53640046296296295</v>
      </c>
      <c r="F9" s="22">
        <f>E9+TIME(0,0,44.722)</f>
        <v>0.53690972222222222</v>
      </c>
      <c r="G9" s="22">
        <f>E9+TIME(0,2,18.335)</f>
        <v>0.5379976851851852</v>
      </c>
      <c r="H9" s="22">
        <f>G9-F9</f>
        <v>1.087962962962985E-3</v>
      </c>
      <c r="M9" s="37">
        <f>IF(I9="",F9-E9,I9-E9)</f>
        <v>5.0925925925926485E-4</v>
      </c>
      <c r="N9" s="37">
        <f>E9+TIME(0, ROUNDDOWN(P9/60, 2), MOD(P9, 60)) - IF(J9="",G9,J9)</f>
        <v>5.439814814814925E-4</v>
      </c>
      <c r="P9">
        <f>3*60+5</f>
        <v>185</v>
      </c>
    </row>
    <row r="10" spans="1:20">
      <c r="A10" t="s">
        <v>65</v>
      </c>
      <c r="B10">
        <v>2</v>
      </c>
      <c r="C10">
        <v>1000</v>
      </c>
      <c r="D10" s="21">
        <v>41135</v>
      </c>
      <c r="E10" s="22">
        <v>0.69604166666666656</v>
      </c>
      <c r="F10" s="22">
        <f>E10+TIME(0,0,44.722)</f>
        <v>0.69655092592592582</v>
      </c>
      <c r="G10" s="22">
        <f>E10+TIME(0,2,9.997)</f>
        <v>0.69753472222222213</v>
      </c>
      <c r="H10" s="22">
        <f>G10-F10</f>
        <v>9.8379629629630205E-4</v>
      </c>
      <c r="M10" s="37">
        <f>IF(I10="",F10-E10,I10-E10)</f>
        <v>5.0925925925926485E-4</v>
      </c>
      <c r="N10" s="37">
        <f>E10+TIME(0, ROUNDDOWN(P10/60, 2), MOD(P10, 60)) - IF(J10="",G10,J10)</f>
        <v>6.3657407407402555E-4</v>
      </c>
      <c r="P10">
        <f>3*60+4</f>
        <v>184</v>
      </c>
    </row>
    <row r="11" spans="1:20">
      <c r="A11" t="s">
        <v>66</v>
      </c>
      <c r="B11">
        <v>3</v>
      </c>
      <c r="C11">
        <v>1000</v>
      </c>
      <c r="D11" s="21">
        <v>41135</v>
      </c>
      <c r="E11" s="22">
        <v>0.75091435185185185</v>
      </c>
      <c r="F11" s="22">
        <f>E11+TIME(0,0,44.722)</f>
        <v>0.75142361111111111</v>
      </c>
      <c r="G11" s="22">
        <f>E11+TIME(0,2,13.787)</f>
        <v>0.75245370370370368</v>
      </c>
      <c r="H11" s="22">
        <f>G11-F11</f>
        <v>1.0300925925925686E-3</v>
      </c>
      <c r="M11" s="37">
        <f>IF(I11="",F11-E11,I11-E11)</f>
        <v>5.0925925925926485E-4</v>
      </c>
      <c r="N11" s="37">
        <f>E11+TIME(0, ROUNDDOWN(P11/60, 2), MOD(P11, 60)) - IF(J11="",G11,J11)</f>
        <v>4.9768518518522598E-4</v>
      </c>
      <c r="P11">
        <f>2*60+56</f>
        <v>176</v>
      </c>
    </row>
    <row r="12" spans="1:20">
      <c r="H12" s="22"/>
    </row>
    <row r="13" spans="1:20">
      <c r="A13" t="s">
        <v>67</v>
      </c>
      <c r="B13">
        <v>1</v>
      </c>
      <c r="C13">
        <v>1000</v>
      </c>
      <c r="D13" s="21">
        <v>41083</v>
      </c>
      <c r="E13" s="22">
        <v>7.3530092592592591E-2</v>
      </c>
      <c r="F13" s="22">
        <f>E13+TIME(0, 0, 44.33)</f>
        <v>7.4039351851851856E-2</v>
      </c>
      <c r="G13" s="22">
        <f>E13+TIME(0,3,13)</f>
        <v>7.5763888888888895E-2</v>
      </c>
      <c r="H13" s="22">
        <f t="shared" ref="H13:H25" si="2">G13-F13</f>
        <v>1.7245370370370383E-3</v>
      </c>
      <c r="M13" s="37">
        <f t="shared" ref="M13" si="3">IF(I13="",F13-E13,I13-E13)</f>
        <v>5.0925925925926485E-4</v>
      </c>
      <c r="N13" s="9">
        <f t="shared" ref="N13" si="4">E13+TIME(0, ROUNDDOWN(P13/60, 2), MOD(P13, 60)) - IF(J13="",G13,J13)</f>
        <v>3.0208333333333198E-3</v>
      </c>
      <c r="O13">
        <v>89</v>
      </c>
      <c r="P13">
        <f>60*7+34</f>
        <v>454</v>
      </c>
    </row>
    <row r="14" spans="1:20">
      <c r="A14" t="s">
        <v>68</v>
      </c>
      <c r="B14">
        <v>2</v>
      </c>
      <c r="C14">
        <v>1000</v>
      </c>
      <c r="D14" s="21">
        <v>41083</v>
      </c>
      <c r="E14" s="22">
        <v>0.22006944444444443</v>
      </c>
      <c r="F14" s="22">
        <f>E14+TIME(0,0,56.265)</f>
        <v>0.22071759259259258</v>
      </c>
      <c r="G14" s="22">
        <f>E14+TIME(0,3,27.328)</f>
        <v>0.22246527777777778</v>
      </c>
      <c r="H14" s="22">
        <f t="shared" si="2"/>
        <v>1.7476851851851993E-3</v>
      </c>
      <c r="M14" s="37">
        <f t="shared" ref="M14" si="5">IF(I14="",F14-E14,I14-E14)</f>
        <v>6.481481481481477E-4</v>
      </c>
      <c r="N14" s="9">
        <f t="shared" ref="N14" si="6">E14+TIME(0, ROUNDDOWN(P14/60, 2), MOD(P14, 60)) - IF(J14="",G14,J14)</f>
        <v>4.1203703703703576E-3</v>
      </c>
      <c r="P14">
        <f>9*60+23</f>
        <v>563</v>
      </c>
    </row>
    <row r="15" spans="1:20">
      <c r="A15" t="s">
        <v>69</v>
      </c>
      <c r="B15">
        <v>3</v>
      </c>
      <c r="C15">
        <v>1000</v>
      </c>
      <c r="D15" s="21">
        <v>41083</v>
      </c>
      <c r="E15" s="22">
        <v>0.46568287037037037</v>
      </c>
      <c r="F15" s="22">
        <f>E15+TIME(0, 1, 36.503)</f>
        <v>0.46679398148148149</v>
      </c>
      <c r="G15" s="22">
        <f>E15+TIME(0,3,20.167)</f>
        <v>0.4679976851851852</v>
      </c>
      <c r="H15" s="22">
        <f t="shared" si="2"/>
        <v>1.2037037037037068E-3</v>
      </c>
      <c r="M15" s="9">
        <f t="shared" ref="M15" si="7">IF(I15="",F15-E15,I15-E15)</f>
        <v>1.1111111111111183E-3</v>
      </c>
      <c r="N15" s="9">
        <f t="shared" ref="N15" si="8">E15+TIME(0, ROUNDDOWN(P15/60, 2), MOD(P15, 60)) - IF(J15="",G15,J15)</f>
        <v>2.3148148148148251E-3</v>
      </c>
      <c r="P15">
        <f>6*60+40</f>
        <v>400</v>
      </c>
    </row>
    <row r="17" spans="1:17">
      <c r="A17" t="s">
        <v>71</v>
      </c>
      <c r="B17">
        <v>1</v>
      </c>
      <c r="C17">
        <v>1000</v>
      </c>
      <c r="D17" s="21">
        <v>41161</v>
      </c>
      <c r="E17" s="22">
        <v>0.17400462962962962</v>
      </c>
      <c r="F17" s="22">
        <f>E17+TIME(0,1,0.26)</f>
        <v>0.17469907407407406</v>
      </c>
      <c r="G17" s="22">
        <f>E17+TIME(0,1,56.38)</f>
        <v>0.17534722222222221</v>
      </c>
      <c r="H17" s="22">
        <f t="shared" si="2"/>
        <v>6.481481481481477E-4</v>
      </c>
      <c r="M17" s="9">
        <f t="shared" ref="M17" si="9">IF(I17="",F17-E17,I17-E17)</f>
        <v>6.9444444444444198E-4</v>
      </c>
      <c r="N17" s="9">
        <f t="shared" ref="N17" si="10">E17+TIME(0, ROUNDDOWN(P17/60, 2), MOD(P17, 60)) - IF(J17="",G17,J17)</f>
        <v>7.5231481481483065E-4</v>
      </c>
      <c r="O17">
        <v>132</v>
      </c>
      <c r="P17">
        <f>3*60+1</f>
        <v>181</v>
      </c>
    </row>
    <row r="18" spans="1:17">
      <c r="A18" t="s">
        <v>72</v>
      </c>
      <c r="B18">
        <v>2</v>
      </c>
      <c r="C18">
        <v>1000</v>
      </c>
      <c r="D18" s="21">
        <v>41162</v>
      </c>
      <c r="E18" s="22">
        <v>0.16650462962962961</v>
      </c>
      <c r="F18" s="22">
        <f>E18+TIME(0,1,15.67)</f>
        <v>0.16737268518518517</v>
      </c>
      <c r="G18" s="22">
        <f>E18+TIME(0,3,3.54)</f>
        <v>0.16862268518518517</v>
      </c>
      <c r="H18" s="22">
        <f t="shared" si="2"/>
        <v>1.2500000000000011E-3</v>
      </c>
      <c r="M18" s="9">
        <f t="shared" ref="M18" si="11">IF(I18="",F18-E18,I18-E18)</f>
        <v>8.6805555555555247E-4</v>
      </c>
      <c r="N18" s="9">
        <f t="shared" ref="N18" si="12">E18+TIME(0, ROUNDDOWN(P18/60, 2), MOD(P18, 60)) - IF(J18="",G18,J18)</f>
        <v>7.6388888888889728E-4</v>
      </c>
      <c r="P18">
        <f>4*60+9</f>
        <v>249</v>
      </c>
    </row>
    <row r="19" spans="1:17">
      <c r="A19" t="s">
        <v>73</v>
      </c>
      <c r="B19">
        <v>3</v>
      </c>
      <c r="C19">
        <v>1000</v>
      </c>
      <c r="D19" s="21">
        <v>41167</v>
      </c>
      <c r="E19" s="22">
        <v>0.21393518518518517</v>
      </c>
      <c r="F19" s="22">
        <f>E19+TIME(0,1,7.62)</f>
        <v>0.21471064814814814</v>
      </c>
      <c r="G19" s="22">
        <f>E19+TIME(0,2,47.67)</f>
        <v>0.21586805555555555</v>
      </c>
      <c r="H19" s="22">
        <f t="shared" si="2"/>
        <v>1.1574074074074125E-3</v>
      </c>
      <c r="M19" s="9">
        <f t="shared" ref="M19" si="13">IF(I19="",F19-E19,I19-E19)</f>
        <v>7.7546296296296391E-4</v>
      </c>
      <c r="N19" s="9">
        <f t="shared" ref="N19" si="14">E19+TIME(0, ROUNDDOWN(P19/60, 2), MOD(P19, 60)) - IF(J19="",G19,J19)</f>
        <v>7.1759259259257524E-4</v>
      </c>
      <c r="P19">
        <f>3*60+49</f>
        <v>229</v>
      </c>
    </row>
    <row r="20" spans="1:17">
      <c r="A20" t="s">
        <v>74</v>
      </c>
      <c r="B20">
        <v>4</v>
      </c>
      <c r="C20">
        <v>1000</v>
      </c>
      <c r="D20" s="21">
        <v>41169</v>
      </c>
      <c r="E20" s="22">
        <v>0.10104166666666665</v>
      </c>
      <c r="F20" s="22">
        <f>E20+TIME(0,1,7.62)</f>
        <v>0.10181712962962962</v>
      </c>
      <c r="G20" s="22">
        <f>E20+TIME(0,2,46.52)</f>
        <v>0.10296296296296295</v>
      </c>
      <c r="H20" s="22">
        <f t="shared" si="2"/>
        <v>1.145833333333332E-3</v>
      </c>
      <c r="M20" s="9">
        <f t="shared" ref="M20" si="15">IF(I20="",F20-E20,I20-E20)</f>
        <v>7.7546296296296391E-4</v>
      </c>
      <c r="N20" s="9">
        <f t="shared" ref="N20" si="16">E20+TIME(0, ROUNDDOWN(P20/60, 2), MOD(P20, 60)) - IF(J20="",G20,J20)</f>
        <v>8.4490740740740533E-4</v>
      </c>
      <c r="P20">
        <f>3*60+59</f>
        <v>239</v>
      </c>
    </row>
    <row r="22" spans="1:17">
      <c r="A22" t="s">
        <v>75</v>
      </c>
      <c r="B22">
        <v>1</v>
      </c>
      <c r="C22">
        <v>1000</v>
      </c>
      <c r="D22" s="21">
        <v>41291</v>
      </c>
      <c r="E22" s="22">
        <v>0.69204861111111116</v>
      </c>
      <c r="F22" s="22">
        <f>E22+TIME(0, 1, 13.005)</f>
        <v>0.69289351851851855</v>
      </c>
      <c r="G22" s="22">
        <f>E22+TIME(0,5,13.41)</f>
        <v>0.69567129629629632</v>
      </c>
      <c r="H22" s="22">
        <f t="shared" si="2"/>
        <v>2.7777777777777679E-3</v>
      </c>
      <c r="M22" s="9">
        <f t="shared" ref="M22" si="17">IF(I22="",F22-E22,I22-E22)</f>
        <v>8.4490740740739145E-4</v>
      </c>
      <c r="N22" s="9">
        <f t="shared" ref="N22" si="18">E22+TIME(0, ROUNDDOWN(P22/60, 2), MOD(P22, 60)) - IF(J22="",G22,J22)</f>
        <v>7.8703703703708605E-4</v>
      </c>
      <c r="O22">
        <v>65</v>
      </c>
      <c r="P22">
        <f>6*60+21</f>
        <v>381</v>
      </c>
    </row>
    <row r="23" spans="1:17">
      <c r="A23" t="s">
        <v>76</v>
      </c>
      <c r="B23">
        <v>2</v>
      </c>
      <c r="C23">
        <v>1000</v>
      </c>
      <c r="D23" s="21">
        <v>41291</v>
      </c>
      <c r="E23" s="22">
        <v>0.76876157407407408</v>
      </c>
      <c r="F23" s="22">
        <f>E23+TIME(0,1, 16.725)</f>
        <v>0.7696412037037037</v>
      </c>
      <c r="G23" s="22">
        <f>E23+TIME(0,9,40.32)</f>
        <v>0.77547453703703706</v>
      </c>
      <c r="H23" s="22">
        <f t="shared" si="2"/>
        <v>5.833333333333357E-3</v>
      </c>
      <c r="M23" s="9">
        <f t="shared" ref="M23" si="19">IF(I23="",F23-E23,I23-E23)</f>
        <v>8.796296296296191E-4</v>
      </c>
      <c r="N23" s="9">
        <f t="shared" ref="N23" si="20">E23+TIME(0, ROUNDDOWN(P23/60, 2), MOD(P23, 60)) - IF(J23="",G23,J23)</f>
        <v>8.4490740740739145E-4</v>
      </c>
      <c r="P23">
        <f>60*10+53</f>
        <v>653</v>
      </c>
    </row>
    <row r="25" spans="1:17">
      <c r="A25" t="s">
        <v>77</v>
      </c>
      <c r="B25">
        <v>1</v>
      </c>
      <c r="C25">
        <v>1000</v>
      </c>
      <c r="D25" s="21">
        <v>41588</v>
      </c>
      <c r="E25" s="22">
        <v>0.23768518518518519</v>
      </c>
      <c r="F25" s="22">
        <f>E25+TIME(0,1,8.08)</f>
        <v>0.23847222222222222</v>
      </c>
      <c r="G25" s="22">
        <f>E25+TIME(0,1,17.28)</f>
        <v>0.23857638888888891</v>
      </c>
      <c r="H25" s="22">
        <f t="shared" si="2"/>
        <v>1.0416666666668295E-4</v>
      </c>
      <c r="M25" s="9">
        <f t="shared" ref="M25" si="21">IF(I25="",F25-E25,I25-E25)</f>
        <v>7.8703703703703054E-4</v>
      </c>
      <c r="N25" s="9">
        <f t="shared" ref="N25" si="22">E25+TIME(0, ROUNDDOWN(P25/60, 2), MOD(P25, 60)) - IF(J25="",G25,J25)</f>
        <v>7.6388888888886952E-4</v>
      </c>
      <c r="O25">
        <v>132</v>
      </c>
      <c r="P25">
        <f>2*60+23</f>
        <v>143</v>
      </c>
    </row>
    <row r="26" spans="1:17">
      <c r="A26" t="s">
        <v>78</v>
      </c>
      <c r="B26">
        <v>2</v>
      </c>
      <c r="C26">
        <v>1000</v>
      </c>
      <c r="D26" s="21">
        <v>41588</v>
      </c>
      <c r="E26" s="22">
        <v>0.26122685185185185</v>
      </c>
      <c r="F26" s="22">
        <f>E26+TIME(0,1,11.07)</f>
        <v>0.26204861111111111</v>
      </c>
      <c r="G26" s="22">
        <f>E26+TIME(0,1,20.5)</f>
        <v>0.26215277777777779</v>
      </c>
      <c r="H26" s="22">
        <f t="shared" ref="H26" si="23">G26-F26</f>
        <v>1.0416666666668295E-4</v>
      </c>
      <c r="M26" s="9">
        <f t="shared" ref="M26" si="24">IF(I26="",F26-E26,I26-E26)</f>
        <v>8.2175925925925819E-4</v>
      </c>
      <c r="N26" s="9">
        <f t="shared" ref="N26" si="25">E26+TIME(0, ROUNDDOWN(P26/60, 2), MOD(P26, 60)) - IF(J26="",G26,J26)</f>
        <v>7.8703703703703054E-4</v>
      </c>
      <c r="P26">
        <f>60*2+28</f>
        <v>148</v>
      </c>
      <c r="Q26" t="s">
        <v>82</v>
      </c>
    </row>
    <row r="27" spans="1:17">
      <c r="A27" t="s">
        <v>79</v>
      </c>
      <c r="B27">
        <v>3</v>
      </c>
      <c r="C27">
        <v>1000</v>
      </c>
      <c r="D27" s="21">
        <v>41587</v>
      </c>
      <c r="E27" s="22">
        <v>0.65298611111111116</v>
      </c>
      <c r="F27" s="22">
        <f>E27+TIME(0,1,17.74)</f>
        <v>0.65387731481481481</v>
      </c>
      <c r="G27" s="22">
        <f>E27+TIME(0,1,26.25)</f>
        <v>0.6539814814814815</v>
      </c>
      <c r="H27" s="22">
        <f t="shared" ref="H27" si="26">G27-F27</f>
        <v>1.0416666666668295E-4</v>
      </c>
      <c r="M27" s="9">
        <f t="shared" ref="M27" si="27">IF(I27="",F27-E27,I27-E27)</f>
        <v>8.9120370370365798E-4</v>
      </c>
      <c r="N27" s="9">
        <f t="shared" ref="N27" si="28">E27+TIME(0, ROUNDDOWN(P27/60, 2), MOD(P27, 60)) - IF(J27="",G27,J27)</f>
        <v>7.523148148148584E-4</v>
      </c>
      <c r="P27">
        <f>60*2+31</f>
        <v>151</v>
      </c>
    </row>
    <row r="28" spans="1:17">
      <c r="A28" t="s">
        <v>80</v>
      </c>
      <c r="B28">
        <v>4</v>
      </c>
      <c r="C28">
        <v>1000</v>
      </c>
      <c r="D28" s="21">
        <v>41584</v>
      </c>
      <c r="E28" s="22">
        <v>0.88716435185185183</v>
      </c>
      <c r="F28" s="22">
        <f>E28+TIME(0,1,12.774)</f>
        <v>0.88799768518518518</v>
      </c>
      <c r="G28" s="22">
        <f>E28+TIME(0,1,22.602)</f>
        <v>0.8881134259259259</v>
      </c>
      <c r="H28" s="22">
        <f t="shared" ref="H28" si="29">G28-F28</f>
        <v>1.1574074074072183E-4</v>
      </c>
      <c r="M28" s="9">
        <f t="shared" ref="M28" si="30">IF(I28="",F28-E28,I28-E28)</f>
        <v>8.3333333333335258E-4</v>
      </c>
      <c r="N28" s="9">
        <f t="shared" ref="N28" si="31">E28+TIME(0, ROUNDDOWN(P28/60, 2), MOD(P28, 60)) - IF(J28="",G28,J28)</f>
        <v>8.5648148148143033E-4</v>
      </c>
      <c r="O28">
        <v>130</v>
      </c>
      <c r="P28">
        <f>60*2+36</f>
        <v>156</v>
      </c>
    </row>
    <row r="29" spans="1:17">
      <c r="A29" t="s">
        <v>81</v>
      </c>
      <c r="B29">
        <v>5</v>
      </c>
      <c r="C29">
        <v>1000</v>
      </c>
      <c r="D29" s="21">
        <v>41585</v>
      </c>
      <c r="E29" s="22">
        <v>0.94222222222222218</v>
      </c>
      <c r="F29" s="22">
        <f>E29+TIME(0,1,7.39)</f>
        <v>0.94299768518518512</v>
      </c>
      <c r="G29" s="22">
        <f>E29+TIME(0,1,17.05)</f>
        <v>0.94311342592592584</v>
      </c>
      <c r="H29" s="22">
        <f t="shared" ref="H29" si="32">G29-F29</f>
        <v>1.1574074074072183E-4</v>
      </c>
      <c r="M29" s="9">
        <f t="shared" ref="M29" si="33">IF(I29="",F29-E29,I29-E29)</f>
        <v>7.7546296296293615E-4</v>
      </c>
      <c r="N29" s="9">
        <f t="shared" ref="N29" si="34">E29+TIME(0, ROUNDDOWN(P29/60, 2), MOD(P29, 60)) - IF(J29="",G29,J29)</f>
        <v>8.4490740740750248E-4</v>
      </c>
      <c r="P29">
        <f>2*60+30</f>
        <v>150</v>
      </c>
    </row>
  </sheetData>
  <conditionalFormatting sqref="M9:M15">
    <cfRule type="cellIs" dxfId="17" priority="18" operator="lessThan">
      <formula>0.000694444444444444</formula>
    </cfRule>
  </conditionalFormatting>
  <conditionalFormatting sqref="N9:N15">
    <cfRule type="cellIs" dxfId="16" priority="17" operator="lessThan">
      <formula>0.000694444444444444</formula>
    </cfRule>
  </conditionalFormatting>
  <conditionalFormatting sqref="M17:M20">
    <cfRule type="cellIs" dxfId="15" priority="16" operator="lessThan">
      <formula>0.000694444444444444</formula>
    </cfRule>
  </conditionalFormatting>
  <conditionalFormatting sqref="N17:N20">
    <cfRule type="cellIs" dxfId="14" priority="15" operator="lessThan">
      <formula>0.000694444444444444</formula>
    </cfRule>
  </conditionalFormatting>
  <conditionalFormatting sqref="M22">
    <cfRule type="cellIs" dxfId="13" priority="14" operator="lessThan">
      <formula>0.000694444444444444</formula>
    </cfRule>
  </conditionalFormatting>
  <conditionalFormatting sqref="N22">
    <cfRule type="cellIs" dxfId="12" priority="13" operator="lessThan">
      <formula>0.000694444444444444</formula>
    </cfRule>
  </conditionalFormatting>
  <conditionalFormatting sqref="M23">
    <cfRule type="cellIs" dxfId="11" priority="12" operator="lessThan">
      <formula>0.000694444444444444</formula>
    </cfRule>
  </conditionalFormatting>
  <conditionalFormatting sqref="N23">
    <cfRule type="cellIs" dxfId="10" priority="11" operator="lessThan">
      <formula>0.000694444444444444</formula>
    </cfRule>
  </conditionalFormatting>
  <conditionalFormatting sqref="M25">
    <cfRule type="cellIs" dxfId="9" priority="10" operator="lessThan">
      <formula>0.000694444444444444</formula>
    </cfRule>
  </conditionalFormatting>
  <conditionalFormatting sqref="N25">
    <cfRule type="cellIs" dxfId="8" priority="9" operator="lessThan">
      <formula>0.000694444444444444</formula>
    </cfRule>
  </conditionalFormatting>
  <conditionalFormatting sqref="M26">
    <cfRule type="cellIs" dxfId="7" priority="8" operator="lessThan">
      <formula>0.000694444444444444</formula>
    </cfRule>
  </conditionalFormatting>
  <conditionalFormatting sqref="N26">
    <cfRule type="cellIs" dxfId="6" priority="7" operator="lessThan">
      <formula>0.000694444444444444</formula>
    </cfRule>
  </conditionalFormatting>
  <conditionalFormatting sqref="M27">
    <cfRule type="cellIs" dxfId="5" priority="6" operator="lessThan">
      <formula>0.000694444444444444</formula>
    </cfRule>
  </conditionalFormatting>
  <conditionalFormatting sqref="N27">
    <cfRule type="cellIs" dxfId="4" priority="5" operator="lessThan">
      <formula>0.000694444444444444</formula>
    </cfRule>
  </conditionalFormatting>
  <conditionalFormatting sqref="M28">
    <cfRule type="cellIs" dxfId="3" priority="4" operator="lessThan">
      <formula>0.000694444444444444</formula>
    </cfRule>
  </conditionalFormatting>
  <conditionalFormatting sqref="N28">
    <cfRule type="cellIs" dxfId="2" priority="3" operator="lessThan">
      <formula>0.000694444444444444</formula>
    </cfRule>
  </conditionalFormatting>
  <conditionalFormatting sqref="M29">
    <cfRule type="cellIs" dxfId="1" priority="2" operator="lessThan">
      <formula>0.000694444444444444</formula>
    </cfRule>
  </conditionalFormatting>
  <conditionalFormatting sqref="N29">
    <cfRule type="cellIs" dxfId="0" priority="1" operator="lessThan">
      <formula>0.000694444444444444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UMMC</vt:lpstr>
      <vt:lpstr>JHU</vt:lpstr>
      <vt:lpstr>NIH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Chalita Atallah</dc:creator>
  <cp:lastModifiedBy>Adam Li</cp:lastModifiedBy>
  <dcterms:created xsi:type="dcterms:W3CDTF">2016-04-20T15:32:34Z</dcterms:created>
  <dcterms:modified xsi:type="dcterms:W3CDTF">2016-09-09T23:04:29Z</dcterms:modified>
</cp:coreProperties>
</file>