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C:\Users\Public\Documents\Altium\Projects\SW8E-AcousticsPowerBoard\"/>
    </mc:Choice>
  </mc:AlternateContent>
  <xr:revisionPtr revIDLastSave="0" documentId="13_ncr:1_{D56ECF29-ECE5-41A6-B418-5EA4810757DC}" xr6:coauthVersionLast="47" xr6:coauthVersionMax="47" xr10:uidLastSave="{00000000-0000-0000-0000-000000000000}"/>
  <workbookProtection workbookPassword="E1A4" lockStructure="1"/>
  <bookViews>
    <workbookView xWindow="-108" yWindow="-108" windowWidth="30936" windowHeight="167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148" i="2"/>
  <c r="B37" i="3"/>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30" i="5" l="1"/>
  <c r="B29" i="3"/>
  <c r="B170" i="2" l="1"/>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B261" i="2" l="1"/>
  <c r="AP28" i="4"/>
  <c r="AP62" i="4"/>
  <c r="AP95" i="4"/>
  <c r="AP141" i="4"/>
  <c r="AP32" i="4"/>
  <c r="AP53" i="4"/>
  <c r="AP86" i="4"/>
  <c r="AP116" i="4"/>
  <c r="AP146" i="4"/>
  <c r="AP24" i="4"/>
  <c r="AP56" i="4"/>
  <c r="AP89" i="4"/>
  <c r="AP117" i="4"/>
  <c r="AP154" i="4"/>
  <c r="AP36" i="4"/>
  <c r="AP72" i="4"/>
  <c r="AP100" i="4"/>
  <c r="AP130" i="4"/>
  <c r="AP120" i="4"/>
  <c r="AP68" i="4"/>
  <c r="AP39" i="4"/>
  <c r="AP19" i="4"/>
  <c r="AP148" i="4"/>
  <c r="AP110" i="4"/>
  <c r="AP125" i="4"/>
  <c r="AP22" i="4"/>
  <c r="AP113" i="4"/>
  <c r="AP111" i="4"/>
  <c r="AP9" i="4"/>
  <c r="AP31" i="4"/>
  <c r="AP67" i="4"/>
  <c r="AP96" i="4"/>
  <c r="AP142" i="4"/>
  <c r="AP33" i="4"/>
  <c r="AP57" i="4"/>
  <c r="AP91" i="4"/>
  <c r="AP118" i="4"/>
  <c r="AP147" i="4"/>
  <c r="AP25" i="4"/>
  <c r="AP60" i="4"/>
  <c r="AP92" i="4"/>
  <c r="AP119" i="4"/>
  <c r="AP156" i="4"/>
  <c r="AP46" i="4"/>
  <c r="AP77" i="4"/>
  <c r="AP105" i="4"/>
  <c r="AP131" i="4"/>
  <c r="AP17" i="4"/>
  <c r="AP103" i="4"/>
  <c r="AP102" i="4"/>
  <c r="AP115" i="4"/>
  <c r="AP139" i="4"/>
  <c r="AP152" i="4"/>
  <c r="AP58" i="4"/>
  <c r="AP83" i="4"/>
  <c r="AP84" i="4"/>
  <c r="AP69" i="4"/>
  <c r="AP12" i="4"/>
  <c r="AP37" i="4"/>
  <c r="AP70" i="4"/>
  <c r="AP109" i="4"/>
  <c r="AP143" i="4"/>
  <c r="AP34" i="4"/>
  <c r="AP59" i="4"/>
  <c r="AP94" i="4"/>
  <c r="AP121" i="4"/>
  <c r="AP151" i="4"/>
  <c r="AP26" i="4"/>
  <c r="AP63" i="4"/>
  <c r="AP97" i="4"/>
  <c r="AP124" i="4"/>
  <c r="AP157" i="4"/>
  <c r="AP48" i="4"/>
  <c r="AP78" i="4"/>
  <c r="AP108" i="4"/>
  <c r="AP137" i="4"/>
  <c r="AP80" i="4"/>
  <c r="AP153" i="4"/>
  <c r="AP133" i="4"/>
  <c r="AP136" i="4"/>
  <c r="AP82" i="4"/>
  <c r="AP51" i="4"/>
  <c r="AP29" i="4"/>
  <c r="AP54" i="4"/>
  <c r="AP98" i="4"/>
  <c r="AP14" i="4"/>
  <c r="AP42" i="4"/>
  <c r="AP75" i="4"/>
  <c r="AP112" i="4"/>
  <c r="AP149" i="4"/>
  <c r="AP38" i="4"/>
  <c r="AP65" i="4"/>
  <c r="AP101" i="4"/>
  <c r="AP126" i="4"/>
  <c r="AP8" i="4"/>
  <c r="AP35" i="4"/>
  <c r="AP66" i="4"/>
  <c r="AP99" i="4"/>
  <c r="AP127" i="4"/>
  <c r="AP11" i="4"/>
  <c r="AP49" i="4"/>
  <c r="AP79" i="4"/>
  <c r="AP114" i="4"/>
  <c r="AP140" i="4"/>
  <c r="AP44" i="4"/>
  <c r="AP40" i="4"/>
  <c r="AP10" i="4"/>
  <c r="AP71" i="4"/>
  <c r="AP55" i="4"/>
  <c r="AP90" i="4"/>
  <c r="AP93" i="4"/>
  <c r="AP23" i="4"/>
  <c r="AP144" i="4"/>
  <c r="AP145" i="4"/>
  <c r="AP20" i="4"/>
  <c r="AP47" i="4"/>
  <c r="AP85" i="4"/>
  <c r="AP123" i="4"/>
  <c r="AP155" i="4"/>
  <c r="AP43" i="4"/>
  <c r="AP73" i="4"/>
  <c r="AP106" i="4"/>
  <c r="AP134" i="4"/>
  <c r="AP13" i="4"/>
  <c r="AP41" i="4"/>
  <c r="AP74" i="4"/>
  <c r="AP104" i="4"/>
  <c r="AP138" i="4"/>
  <c r="AP27" i="4"/>
  <c r="AP61" i="4"/>
  <c r="AP87" i="4"/>
  <c r="AP122" i="4"/>
  <c r="AP150" i="4"/>
  <c r="AP21" i="4"/>
  <c r="AP52" i="4"/>
  <c r="AP88" i="4"/>
  <c r="AP129" i="4"/>
  <c r="AP15" i="4"/>
  <c r="AP45" i="4"/>
  <c r="AP76" i="4"/>
  <c r="AP107" i="4"/>
  <c r="AP135" i="4"/>
  <c r="AP16" i="4"/>
  <c r="AP81" i="4"/>
  <c r="AP64" i="4"/>
  <c r="AP132" i="4"/>
  <c r="AP50" i="4"/>
  <c r="AP18" i="4"/>
  <c r="AP30" i="4"/>
  <c r="AP128" i="4"/>
  <c r="B18" i="5"/>
  <c r="B35" i="5"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63"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K8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B262" i="2"/>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B38" i="5"/>
  <c r="B39" i="5" s="1"/>
  <c r="B34" i="5"/>
  <c r="AK191" i="5"/>
  <c r="AL130" i="5"/>
  <c r="AK7" i="5"/>
  <c r="AL114" i="5"/>
  <c r="AK92" i="5"/>
  <c r="AL59" i="5"/>
  <c r="AL49" i="5"/>
  <c r="AK128" i="5"/>
  <c r="AL171" i="5"/>
  <c r="AL37" i="5"/>
  <c r="AL161" i="5"/>
  <c r="AK195" i="5"/>
  <c r="AK140" i="5"/>
  <c r="AL33" i="5"/>
  <c r="AL163" i="5"/>
  <c r="B96" i="2"/>
  <c r="B100" i="2" s="1"/>
  <c r="B91" i="2"/>
  <c r="B92" i="2" s="1"/>
  <c r="B53" i="2"/>
  <c r="B70" i="2"/>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AG253" i="5"/>
  <c r="AG488" i="5"/>
  <c r="AG254" i="5"/>
  <c r="AG469" i="5"/>
  <c r="AG515" i="5"/>
  <c r="AG500" i="5"/>
  <c r="B216" i="2"/>
  <c r="B79" i="2"/>
  <c r="B83" i="2" s="1"/>
  <c r="B222"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S63" i="4"/>
  <c r="S64" i="4"/>
  <c r="AS64" i="4" s="1"/>
  <c r="S16" i="4"/>
  <c r="AS16" i="4" s="1"/>
  <c r="S17" i="4"/>
  <c r="AS17" i="4" s="1"/>
  <c r="S18" i="4"/>
  <c r="AS18" i="4" s="1"/>
  <c r="S19" i="4"/>
  <c r="S20" i="4"/>
  <c r="S21" i="4"/>
  <c r="S22" i="4"/>
  <c r="S23" i="4"/>
  <c r="AS23" i="4" s="1"/>
  <c r="S24" i="4"/>
  <c r="AS24" i="4" s="1"/>
  <c r="S25" i="4"/>
  <c r="S26" i="4"/>
  <c r="AS26" i="4" s="1"/>
  <c r="S27" i="4"/>
  <c r="AS27" i="4" s="1"/>
  <c r="S28" i="4"/>
  <c r="S29" i="4"/>
  <c r="S30" i="4"/>
  <c r="S31" i="4"/>
  <c r="AS31" i="4" s="1"/>
  <c r="S32" i="4"/>
  <c r="S33" i="4"/>
  <c r="AS33" i="4" s="1"/>
  <c r="S34" i="4"/>
  <c r="AS34" i="4" s="1"/>
  <c r="S35" i="4"/>
  <c r="S36" i="4"/>
  <c r="S37" i="4"/>
  <c r="S38" i="4"/>
  <c r="S39" i="4"/>
  <c r="AS39" i="4" s="1"/>
  <c r="S40" i="4"/>
  <c r="S41" i="4"/>
  <c r="S42" i="4"/>
  <c r="AS42" i="4" s="1"/>
  <c r="S43" i="4"/>
  <c r="AS43" i="4" s="1"/>
  <c r="S44" i="4"/>
  <c r="S45" i="4"/>
  <c r="S46" i="4"/>
  <c r="S47" i="4"/>
  <c r="S48" i="4"/>
  <c r="AS48" i="4" s="1"/>
  <c r="S49" i="4"/>
  <c r="S50" i="4"/>
  <c r="AS50" i="4" s="1"/>
  <c r="S51" i="4"/>
  <c r="S52" i="4"/>
  <c r="S53" i="4"/>
  <c r="AS53" i="4" s="1"/>
  <c r="S54" i="4"/>
  <c r="S55" i="4"/>
  <c r="AS55" i="4" s="1"/>
  <c r="S56" i="4"/>
  <c r="AS56" i="4" s="1"/>
  <c r="S57" i="4"/>
  <c r="S58" i="4"/>
  <c r="S60" i="4"/>
  <c r="AS60" i="4" s="1"/>
  <c r="S67" i="4"/>
  <c r="S62" i="4"/>
  <c r="AS62" i="4" s="1"/>
  <c r="S69" i="4"/>
  <c r="S87" i="4"/>
  <c r="AS87" i="4" s="1"/>
  <c r="S99" i="4"/>
  <c r="AS99" i="4" s="1"/>
  <c r="S120" i="4"/>
  <c r="S130" i="4"/>
  <c r="S134" i="4"/>
  <c r="AS134" i="4" s="1"/>
  <c r="S68" i="4"/>
  <c r="S74" i="4"/>
  <c r="S78" i="4"/>
  <c r="S82" i="4"/>
  <c r="AS82" i="4" s="1"/>
  <c r="S86" i="4"/>
  <c r="AS86" i="4" s="1"/>
  <c r="S90" i="4"/>
  <c r="AS90" i="4" s="1"/>
  <c r="S94" i="4"/>
  <c r="AS94" i="4" s="1"/>
  <c r="S98" i="4"/>
  <c r="S102" i="4"/>
  <c r="AS102" i="4" s="1"/>
  <c r="S109" i="4"/>
  <c r="S110" i="4"/>
  <c r="S119" i="4"/>
  <c r="AS119" i="4" s="1"/>
  <c r="S128" i="4"/>
  <c r="AS128" i="4" s="1"/>
  <c r="S137" i="4"/>
  <c r="AS137" i="4" s="1"/>
  <c r="S59" i="4"/>
  <c r="S65" i="4"/>
  <c r="S66" i="4"/>
  <c r="S71" i="4"/>
  <c r="AS71" i="4" s="1"/>
  <c r="S72" i="4"/>
  <c r="S76" i="4"/>
  <c r="AS76" i="4" s="1"/>
  <c r="S80" i="4"/>
  <c r="S84" i="4"/>
  <c r="AS84" i="4" s="1"/>
  <c r="S88" i="4"/>
  <c r="S92" i="4"/>
  <c r="AS92" i="4" s="1"/>
  <c r="S96" i="4"/>
  <c r="S100" i="4"/>
  <c r="S105" i="4"/>
  <c r="S106" i="4"/>
  <c r="AS106" i="4" s="1"/>
  <c r="S112" i="4"/>
  <c r="S121" i="4"/>
  <c r="S122" i="4"/>
  <c r="AS122" i="4" s="1"/>
  <c r="S123" i="4"/>
  <c r="S124" i="4"/>
  <c r="S125" i="4"/>
  <c r="AS125" i="4" s="1"/>
  <c r="S126" i="4"/>
  <c r="S135" i="4"/>
  <c r="AS135" i="4" s="1"/>
  <c r="S139" i="4"/>
  <c r="AS139" i="4" s="1"/>
  <c r="S140" i="4"/>
  <c r="S144" i="4"/>
  <c r="AS144" i="4" s="1"/>
  <c r="S149" i="4"/>
  <c r="S153" i="4"/>
  <c r="AS153" i="4" s="1"/>
  <c r="S8" i="4"/>
  <c r="S61" i="4"/>
  <c r="S70" i="4"/>
  <c r="AS70" i="4" s="1"/>
  <c r="S75" i="4"/>
  <c r="AS75" i="4" s="1"/>
  <c r="S79" i="4"/>
  <c r="AS79" i="4" s="1"/>
  <c r="S83" i="4"/>
  <c r="AS83" i="4" s="1"/>
  <c r="S91" i="4"/>
  <c r="S95" i="4"/>
  <c r="S103" i="4"/>
  <c r="S104" i="4"/>
  <c r="S111" i="4"/>
  <c r="AS111" i="4" s="1"/>
  <c r="S129" i="4"/>
  <c r="AS129" i="4" s="1"/>
  <c r="S131" i="4"/>
  <c r="S132" i="4"/>
  <c r="AS132" i="4" s="1"/>
  <c r="S133" i="4"/>
  <c r="S77" i="4"/>
  <c r="S93" i="4"/>
  <c r="S107" i="4"/>
  <c r="S115" i="4"/>
  <c r="AS115" i="4" s="1"/>
  <c r="S127" i="4"/>
  <c r="AS127" i="4" s="1"/>
  <c r="S136" i="4"/>
  <c r="AS136" i="4" s="1"/>
  <c r="S142" i="4"/>
  <c r="S145" i="4"/>
  <c r="AS145" i="4" s="1"/>
  <c r="S156" i="4"/>
  <c r="S9" i="4"/>
  <c r="S10" i="4"/>
  <c r="S81" i="4"/>
  <c r="AS81" i="4" s="1"/>
  <c r="S97" i="4"/>
  <c r="AS97" i="4" s="1"/>
  <c r="S114" i="4"/>
  <c r="AS114" i="4" s="1"/>
  <c r="S118" i="4"/>
  <c r="S138" i="4"/>
  <c r="S141" i="4"/>
  <c r="S152" i="4"/>
  <c r="S155" i="4"/>
  <c r="S13" i="4"/>
  <c r="S14" i="4"/>
  <c r="AS14" i="4" s="1"/>
  <c r="S85" i="4"/>
  <c r="AS85" i="4" s="1"/>
  <c r="S101" i="4"/>
  <c r="S113" i="4"/>
  <c r="AS113" i="4" s="1"/>
  <c r="S117" i="4"/>
  <c r="S147" i="4"/>
  <c r="S148" i="4"/>
  <c r="S151" i="4"/>
  <c r="S154" i="4"/>
  <c r="AS154" i="4" s="1"/>
  <c r="S12" i="4"/>
  <c r="AS12" i="4" s="1"/>
  <c r="S73" i="4"/>
  <c r="AS73" i="4" s="1"/>
  <c r="S89" i="4"/>
  <c r="S108" i="4"/>
  <c r="S116" i="4"/>
  <c r="S143" i="4"/>
  <c r="S146" i="4"/>
  <c r="AS146" i="4" s="1"/>
  <c r="S150" i="4"/>
  <c r="AS150" i="4" s="1"/>
  <c r="S157" i="4"/>
  <c r="AS157" i="4" s="1"/>
  <c r="S11" i="4"/>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J143" i="4" l="1"/>
  <c r="AL143" i="4"/>
  <c r="AL148" i="4"/>
  <c r="AJ148" i="4"/>
  <c r="AJ155" i="4"/>
  <c r="AL155" i="4"/>
  <c r="AL10" i="4"/>
  <c r="AJ10" i="4"/>
  <c r="AJ107" i="4"/>
  <c r="AL107" i="4"/>
  <c r="AJ104" i="4"/>
  <c r="AL104" i="4"/>
  <c r="AJ61" i="4"/>
  <c r="AL61" i="4"/>
  <c r="AJ126" i="4"/>
  <c r="AL126" i="4"/>
  <c r="AJ105" i="4"/>
  <c r="AL105" i="4"/>
  <c r="AJ72" i="4"/>
  <c r="AL72" i="4"/>
  <c r="AL110" i="4"/>
  <c r="AJ110" i="4"/>
  <c r="AL78" i="4"/>
  <c r="AJ78" i="4"/>
  <c r="AJ69" i="4"/>
  <c r="AL69" i="4"/>
  <c r="AJ54" i="4"/>
  <c r="AL54" i="4"/>
  <c r="AJ46" i="4"/>
  <c r="AL46" i="4"/>
  <c r="AJ38" i="4"/>
  <c r="AL38" i="4"/>
  <c r="AJ30" i="4"/>
  <c r="AL30" i="4"/>
  <c r="AJ22" i="4"/>
  <c r="AL22" i="4"/>
  <c r="AJ63" i="4"/>
  <c r="AL63" i="4"/>
  <c r="AS155" i="4"/>
  <c r="AS72" i="4"/>
  <c r="AL116" i="4"/>
  <c r="AJ116" i="4"/>
  <c r="AJ147" i="4"/>
  <c r="AL147" i="4"/>
  <c r="AJ152" i="4"/>
  <c r="AL152" i="4"/>
  <c r="AJ9" i="4"/>
  <c r="AL9" i="4"/>
  <c r="AJ93" i="4"/>
  <c r="AL93" i="4"/>
  <c r="AJ103" i="4"/>
  <c r="AL103" i="4"/>
  <c r="AJ8" i="4"/>
  <c r="AL8" i="4"/>
  <c r="AJ125" i="4"/>
  <c r="AL125" i="4"/>
  <c r="AL100" i="4"/>
  <c r="AJ100" i="4"/>
  <c r="AJ71" i="4"/>
  <c r="AL71" i="4"/>
  <c r="AJ109" i="4"/>
  <c r="AL109" i="4"/>
  <c r="AL74" i="4"/>
  <c r="AJ74" i="4"/>
  <c r="AJ62" i="4"/>
  <c r="AL62" i="4"/>
  <c r="AJ53" i="4"/>
  <c r="AL53" i="4"/>
  <c r="AJ45" i="4"/>
  <c r="AL45" i="4"/>
  <c r="AJ37" i="4"/>
  <c r="AL37" i="4"/>
  <c r="AJ29" i="4"/>
  <c r="AL29" i="4"/>
  <c r="AJ21" i="4"/>
  <c r="AL21" i="4"/>
  <c r="AJ15" i="4"/>
  <c r="AL15" i="4"/>
  <c r="AS103" i="4"/>
  <c r="AS104" i="4"/>
  <c r="AL108" i="4"/>
  <c r="AJ108" i="4"/>
  <c r="AJ117" i="4"/>
  <c r="AL117" i="4"/>
  <c r="AJ141" i="4"/>
  <c r="AL141" i="4"/>
  <c r="AL156" i="4"/>
  <c r="AJ156" i="4"/>
  <c r="AJ77" i="4"/>
  <c r="AL77" i="4"/>
  <c r="AJ95" i="4"/>
  <c r="AL95" i="4"/>
  <c r="AJ153" i="4"/>
  <c r="AL153" i="4"/>
  <c r="AL124" i="4"/>
  <c r="AJ124" i="4"/>
  <c r="AJ96" i="4"/>
  <c r="AL96" i="4"/>
  <c r="AL66" i="4"/>
  <c r="AJ66" i="4"/>
  <c r="AL102" i="4"/>
  <c r="AJ102" i="4"/>
  <c r="AL68" i="4"/>
  <c r="AJ68" i="4"/>
  <c r="AJ67" i="4"/>
  <c r="AL67" i="4"/>
  <c r="AL52" i="4"/>
  <c r="AJ52" i="4"/>
  <c r="AL44" i="4"/>
  <c r="AJ44" i="4"/>
  <c r="AL36" i="4"/>
  <c r="AJ36" i="4"/>
  <c r="AL28" i="4"/>
  <c r="AJ28" i="4"/>
  <c r="AL20" i="4"/>
  <c r="AJ20" i="4"/>
  <c r="AS20" i="4"/>
  <c r="AS143" i="4"/>
  <c r="AS124" i="4"/>
  <c r="AS117" i="4"/>
  <c r="AS147" i="4"/>
  <c r="AS63" i="4"/>
  <c r="AS54" i="4"/>
  <c r="AS105" i="4"/>
  <c r="AS96" i="4"/>
  <c r="AS126" i="4"/>
  <c r="AJ89" i="4"/>
  <c r="AL89" i="4"/>
  <c r="AJ113" i="4"/>
  <c r="AL113" i="4"/>
  <c r="AL138" i="4"/>
  <c r="AJ138" i="4"/>
  <c r="AJ145" i="4"/>
  <c r="AL145" i="4"/>
  <c r="AJ133" i="4"/>
  <c r="AL133" i="4"/>
  <c r="AJ91" i="4"/>
  <c r="AL91" i="4"/>
  <c r="AJ149" i="4"/>
  <c r="AL149" i="4"/>
  <c r="AJ123" i="4"/>
  <c r="AL123" i="4"/>
  <c r="AL92" i="4"/>
  <c r="AJ92" i="4"/>
  <c r="AJ65" i="4"/>
  <c r="AL65" i="4"/>
  <c r="AL98" i="4"/>
  <c r="AJ98" i="4"/>
  <c r="AL134" i="4"/>
  <c r="AJ134" i="4"/>
  <c r="AL60" i="4"/>
  <c r="AJ60" i="4"/>
  <c r="AJ51" i="4"/>
  <c r="AL51" i="4"/>
  <c r="AJ43" i="4"/>
  <c r="AL43" i="4"/>
  <c r="AJ35" i="4"/>
  <c r="AL35" i="4"/>
  <c r="AJ27" i="4"/>
  <c r="AL27" i="4"/>
  <c r="AJ19" i="4"/>
  <c r="AL19" i="4"/>
  <c r="AS52" i="4"/>
  <c r="AS45" i="4"/>
  <c r="AS29" i="4"/>
  <c r="AS107" i="4"/>
  <c r="AS156" i="4"/>
  <c r="AS149" i="4"/>
  <c r="AS65" i="4"/>
  <c r="AS19" i="4"/>
  <c r="AS95" i="4"/>
  <c r="AS44" i="4"/>
  <c r="AS8" i="4"/>
  <c r="AJ11" i="4"/>
  <c r="AL11" i="4"/>
  <c r="AJ73" i="4"/>
  <c r="AL73" i="4"/>
  <c r="AJ101" i="4"/>
  <c r="AL101" i="4"/>
  <c r="AL118" i="4"/>
  <c r="AJ118" i="4"/>
  <c r="AJ142" i="4"/>
  <c r="AL142" i="4"/>
  <c r="AL132" i="4"/>
  <c r="AJ132" i="4"/>
  <c r="AJ83" i="4"/>
  <c r="AL83" i="4"/>
  <c r="AJ144" i="4"/>
  <c r="AL144" i="4"/>
  <c r="AL122" i="4"/>
  <c r="AJ122" i="4"/>
  <c r="AJ88" i="4"/>
  <c r="AL88" i="4"/>
  <c r="AJ59" i="4"/>
  <c r="AL59" i="4"/>
  <c r="AL94" i="4"/>
  <c r="AJ94" i="4"/>
  <c r="AL130" i="4"/>
  <c r="AJ130" i="4"/>
  <c r="AL58" i="4"/>
  <c r="AJ58" i="4"/>
  <c r="AL50" i="4"/>
  <c r="AJ50" i="4"/>
  <c r="AL42" i="4"/>
  <c r="AJ42" i="4"/>
  <c r="AL34" i="4"/>
  <c r="AJ34" i="4"/>
  <c r="AL26" i="4"/>
  <c r="AJ26" i="4"/>
  <c r="AL18" i="4"/>
  <c r="AJ18" i="4"/>
  <c r="AS77" i="4"/>
  <c r="AS28" i="4"/>
  <c r="AS46" i="4"/>
  <c r="AS88" i="4"/>
  <c r="AS35" i="4"/>
  <c r="AS118" i="4"/>
  <c r="AS10" i="4"/>
  <c r="AS69" i="4"/>
  <c r="AS74" i="4"/>
  <c r="AS67" i="4"/>
  <c r="AJ157" i="4"/>
  <c r="AL157" i="4"/>
  <c r="AL12" i="4"/>
  <c r="AJ12" i="4"/>
  <c r="AJ85" i="4"/>
  <c r="AL85" i="4"/>
  <c r="AL114" i="4"/>
  <c r="AJ114" i="4"/>
  <c r="AJ136" i="4"/>
  <c r="AL136" i="4"/>
  <c r="AJ131" i="4"/>
  <c r="AL131" i="4"/>
  <c r="AJ79" i="4"/>
  <c r="AL79" i="4"/>
  <c r="AL140" i="4"/>
  <c r="AJ140" i="4"/>
  <c r="AJ121" i="4"/>
  <c r="AL121" i="4"/>
  <c r="AL84" i="4"/>
  <c r="AJ84" i="4"/>
  <c r="AJ137" i="4"/>
  <c r="AL137" i="4"/>
  <c r="AL90" i="4"/>
  <c r="AJ90" i="4"/>
  <c r="AJ120" i="4"/>
  <c r="AL120" i="4"/>
  <c r="AJ57" i="4"/>
  <c r="AL57" i="4"/>
  <c r="AJ49" i="4"/>
  <c r="AL49" i="4"/>
  <c r="AJ41" i="4"/>
  <c r="AL41" i="4"/>
  <c r="AJ33" i="4"/>
  <c r="AL33" i="4"/>
  <c r="AJ25" i="4"/>
  <c r="AL25" i="4"/>
  <c r="AJ17" i="4"/>
  <c r="AL17" i="4"/>
  <c r="AS116" i="4"/>
  <c r="AS109" i="4"/>
  <c r="AS57" i="4"/>
  <c r="AS15" i="4"/>
  <c r="AS78" i="4"/>
  <c r="AS120" i="4"/>
  <c r="AS30" i="4"/>
  <c r="AS9" i="4"/>
  <c r="AS66" i="4"/>
  <c r="AS59" i="4"/>
  <c r="AS108" i="4"/>
  <c r="AS101" i="4"/>
  <c r="AS25" i="4"/>
  <c r="AL150" i="4"/>
  <c r="AJ150" i="4"/>
  <c r="AL154" i="4"/>
  <c r="AJ154" i="4"/>
  <c r="AJ14" i="4"/>
  <c r="AL14" i="4"/>
  <c r="AJ97" i="4"/>
  <c r="AL97" i="4"/>
  <c r="AJ127" i="4"/>
  <c r="AL127" i="4"/>
  <c r="AJ129" i="4"/>
  <c r="AL129" i="4"/>
  <c r="AJ75" i="4"/>
  <c r="AL75" i="4"/>
  <c r="AJ139" i="4"/>
  <c r="AL139" i="4"/>
  <c r="AJ112" i="4"/>
  <c r="AL112" i="4"/>
  <c r="AJ80" i="4"/>
  <c r="AL80" i="4"/>
  <c r="AJ128" i="4"/>
  <c r="AL128" i="4"/>
  <c r="AJ86" i="4"/>
  <c r="AL86" i="4"/>
  <c r="AJ99" i="4"/>
  <c r="AL99" i="4"/>
  <c r="AJ56" i="4"/>
  <c r="AL56" i="4"/>
  <c r="AJ48" i="4"/>
  <c r="AL48" i="4"/>
  <c r="AJ40" i="4"/>
  <c r="AL40" i="4"/>
  <c r="AJ32" i="4"/>
  <c r="AL32" i="4"/>
  <c r="AJ24" i="4"/>
  <c r="AL24" i="4"/>
  <c r="AJ16" i="4"/>
  <c r="AL16" i="4"/>
  <c r="AS148" i="4"/>
  <c r="AS141" i="4"/>
  <c r="AS89" i="4"/>
  <c r="AS80" i="4"/>
  <c r="AS110" i="4"/>
  <c r="AS11" i="4"/>
  <c r="AS152" i="4"/>
  <c r="AS68" i="4"/>
  <c r="AS61" i="4"/>
  <c r="AS21" i="4"/>
  <c r="AS98" i="4"/>
  <c r="AS91" i="4"/>
  <c r="AS140" i="4"/>
  <c r="AS133" i="4"/>
  <c r="AS41" i="4"/>
  <c r="AS138" i="4"/>
  <c r="AS131" i="4"/>
  <c r="AL146" i="4"/>
  <c r="AJ146" i="4"/>
  <c r="AJ151" i="4"/>
  <c r="AL151" i="4"/>
  <c r="AJ13" i="4"/>
  <c r="AL13" i="4"/>
  <c r="AJ81" i="4"/>
  <c r="AL81" i="4"/>
  <c r="AJ115" i="4"/>
  <c r="AL115" i="4"/>
  <c r="AJ111" i="4"/>
  <c r="AL111" i="4"/>
  <c r="AL70" i="4"/>
  <c r="AJ70" i="4"/>
  <c r="AJ135" i="4"/>
  <c r="AL135" i="4"/>
  <c r="AL106" i="4"/>
  <c r="AJ106" i="4"/>
  <c r="AL76" i="4"/>
  <c r="AJ76" i="4"/>
  <c r="AJ119" i="4"/>
  <c r="AL119" i="4"/>
  <c r="AL82" i="4"/>
  <c r="AJ82" i="4"/>
  <c r="AJ87" i="4"/>
  <c r="AL87" i="4"/>
  <c r="AJ55" i="4"/>
  <c r="AL55" i="4"/>
  <c r="AJ47" i="4"/>
  <c r="AL47" i="4"/>
  <c r="AJ39" i="4"/>
  <c r="AL39" i="4"/>
  <c r="AJ31" i="4"/>
  <c r="AL31" i="4"/>
  <c r="AJ23" i="4"/>
  <c r="AL23" i="4"/>
  <c r="AJ64" i="4"/>
  <c r="AL64" i="4"/>
  <c r="AS47" i="4"/>
  <c r="AS40" i="4"/>
  <c r="AS121" i="4"/>
  <c r="AS112" i="4"/>
  <c r="AS36" i="4"/>
  <c r="AS151" i="4"/>
  <c r="AS142" i="4"/>
  <c r="AS58" i="4"/>
  <c r="AS51" i="4"/>
  <c r="AS100" i="4"/>
  <c r="AS93" i="4"/>
  <c r="AS37" i="4"/>
  <c r="AS130" i="4"/>
  <c r="AS123" i="4"/>
  <c r="AS38" i="4"/>
  <c r="AS22" i="4"/>
  <c r="AS49" i="4"/>
  <c r="AS32" i="4"/>
  <c r="AS13" i="4"/>
  <c r="B206" i="2"/>
  <c r="B208" i="2" s="1"/>
  <c r="B139" i="2"/>
  <c r="AM136" i="4"/>
  <c r="AQ136" i="4"/>
  <c r="V136" i="4"/>
  <c r="AM104" i="4"/>
  <c r="AN104" i="4" s="1"/>
  <c r="AQ104" i="4"/>
  <c r="V104" i="4"/>
  <c r="AM72" i="4"/>
  <c r="AN72" i="4" s="1"/>
  <c r="AQ72" i="4"/>
  <c r="V72" i="4"/>
  <c r="AM36" i="4"/>
  <c r="AQ36" i="4"/>
  <c r="V36" i="4"/>
  <c r="AM15" i="4"/>
  <c r="AN15" i="4" s="1"/>
  <c r="AQ15" i="4"/>
  <c r="V15" i="4"/>
  <c r="AM138" i="4"/>
  <c r="AN138" i="4" s="1"/>
  <c r="V138" i="4"/>
  <c r="AQ138" i="4"/>
  <c r="AM106" i="4"/>
  <c r="AQ106" i="4"/>
  <c r="V106" i="4"/>
  <c r="AM74" i="4"/>
  <c r="AQ74" i="4"/>
  <c r="V74" i="4"/>
  <c r="AM42" i="4"/>
  <c r="AN42" i="4" s="1"/>
  <c r="AQ42" i="4"/>
  <c r="V42" i="4"/>
  <c r="AM24" i="4"/>
  <c r="AN24" i="4" s="1"/>
  <c r="AQ24" i="4"/>
  <c r="V24" i="4"/>
  <c r="AM148" i="4"/>
  <c r="AN148" i="4" s="1"/>
  <c r="AQ148" i="4"/>
  <c r="V148" i="4"/>
  <c r="AM116" i="4"/>
  <c r="AN116" i="4" s="1"/>
  <c r="AQ116" i="4"/>
  <c r="V116" i="4"/>
  <c r="AM84" i="4"/>
  <c r="AQ84" i="4"/>
  <c r="V84" i="4"/>
  <c r="AM52" i="4"/>
  <c r="AN52" i="4" s="1"/>
  <c r="AQ52" i="4"/>
  <c r="V52" i="4"/>
  <c r="AM27" i="4"/>
  <c r="AQ27" i="4"/>
  <c r="V27" i="4"/>
  <c r="AM150" i="4"/>
  <c r="AN150" i="4" s="1"/>
  <c r="AQ150" i="4"/>
  <c r="V150" i="4"/>
  <c r="AM118" i="4"/>
  <c r="AN118" i="4" s="1"/>
  <c r="V118" i="4"/>
  <c r="AQ118" i="4"/>
  <c r="AM86" i="4"/>
  <c r="AQ86" i="4"/>
  <c r="V86" i="4"/>
  <c r="AQ54" i="4"/>
  <c r="AM54" i="4"/>
  <c r="AN54" i="4" s="1"/>
  <c r="V54" i="4"/>
  <c r="AM26" i="4"/>
  <c r="AQ26" i="4"/>
  <c r="V26" i="4"/>
  <c r="AM11" i="4"/>
  <c r="AN11" i="4" s="1"/>
  <c r="AQ11" i="4"/>
  <c r="V11" i="4"/>
  <c r="AM153" i="4"/>
  <c r="AN153" i="4" s="1"/>
  <c r="AQ153" i="4"/>
  <c r="V153" i="4"/>
  <c r="AM145" i="4"/>
  <c r="AN145" i="4" s="1"/>
  <c r="AQ145" i="4"/>
  <c r="V145" i="4"/>
  <c r="AM137" i="4"/>
  <c r="AN137" i="4" s="1"/>
  <c r="AQ137" i="4"/>
  <c r="V137" i="4"/>
  <c r="AM129" i="4"/>
  <c r="AN129" i="4" s="1"/>
  <c r="AQ129" i="4"/>
  <c r="V129" i="4"/>
  <c r="AM121" i="4"/>
  <c r="AQ121" i="4"/>
  <c r="V121" i="4"/>
  <c r="AM113" i="4"/>
  <c r="AN113" i="4" s="1"/>
  <c r="AQ113" i="4"/>
  <c r="V113" i="4"/>
  <c r="AM105" i="4"/>
  <c r="AN105" i="4" s="1"/>
  <c r="AQ105" i="4"/>
  <c r="V105" i="4"/>
  <c r="AM97" i="4"/>
  <c r="AQ97" i="4"/>
  <c r="V97" i="4"/>
  <c r="AM89" i="4"/>
  <c r="AQ89" i="4"/>
  <c r="V89" i="4"/>
  <c r="AM81" i="4"/>
  <c r="AQ81" i="4"/>
  <c r="V81" i="4"/>
  <c r="AM73" i="4"/>
  <c r="AN73" i="4" s="1"/>
  <c r="AQ73" i="4"/>
  <c r="V73" i="4"/>
  <c r="AM65" i="4"/>
  <c r="AN65" i="4" s="1"/>
  <c r="AQ65" i="4"/>
  <c r="V65" i="4"/>
  <c r="AM57" i="4"/>
  <c r="AN57" i="4" s="1"/>
  <c r="AQ57" i="4"/>
  <c r="V57" i="4"/>
  <c r="AM49" i="4"/>
  <c r="AN49" i="4" s="1"/>
  <c r="AQ49" i="4"/>
  <c r="V49" i="4"/>
  <c r="AM41" i="4"/>
  <c r="AN41" i="4" s="1"/>
  <c r="AQ41" i="4"/>
  <c r="V41" i="4"/>
  <c r="AM25" i="4"/>
  <c r="AN25" i="4" s="1"/>
  <c r="AQ25" i="4"/>
  <c r="V25" i="4"/>
  <c r="AM7" i="4"/>
  <c r="V7" i="4"/>
  <c r="AM10" i="4"/>
  <c r="AQ10" i="4"/>
  <c r="V10" i="4"/>
  <c r="AM128" i="4"/>
  <c r="AN128" i="4" s="1"/>
  <c r="AQ128" i="4"/>
  <c r="V128" i="4"/>
  <c r="AM96" i="4"/>
  <c r="AN96" i="4" s="1"/>
  <c r="AQ96" i="4"/>
  <c r="V96" i="4"/>
  <c r="AM64" i="4"/>
  <c r="AN64" i="4" s="1"/>
  <c r="AQ64" i="4"/>
  <c r="V64" i="4"/>
  <c r="AM32" i="4"/>
  <c r="AN32" i="4" s="1"/>
  <c r="AQ32" i="4"/>
  <c r="V32" i="4"/>
  <c r="AM12" i="4"/>
  <c r="AQ12" i="4"/>
  <c r="V12" i="4"/>
  <c r="AM130" i="4"/>
  <c r="AN130" i="4" s="1"/>
  <c r="AQ130" i="4"/>
  <c r="V130" i="4"/>
  <c r="AM98" i="4"/>
  <c r="AN98" i="4" s="1"/>
  <c r="AQ98" i="4"/>
  <c r="V98" i="4"/>
  <c r="AM66" i="4"/>
  <c r="AN66" i="4" s="1"/>
  <c r="AQ66" i="4"/>
  <c r="V66" i="4"/>
  <c r="AM39" i="4"/>
  <c r="AN39" i="4" s="1"/>
  <c r="AQ39" i="4"/>
  <c r="V39" i="4"/>
  <c r="AM21" i="4"/>
  <c r="AN21" i="4" s="1"/>
  <c r="AQ21" i="4"/>
  <c r="V21" i="4"/>
  <c r="AM140" i="4"/>
  <c r="AN140" i="4" s="1"/>
  <c r="V140" i="4"/>
  <c r="AQ140" i="4"/>
  <c r="AM108" i="4"/>
  <c r="AN108" i="4" s="1"/>
  <c r="AQ108" i="4"/>
  <c r="V108" i="4"/>
  <c r="AM76" i="4"/>
  <c r="AN76" i="4" s="1"/>
  <c r="AQ76" i="4"/>
  <c r="V76" i="4"/>
  <c r="AM44" i="4"/>
  <c r="AN44" i="4" s="1"/>
  <c r="AQ44" i="4"/>
  <c r="V44" i="4"/>
  <c r="AM20" i="4"/>
  <c r="AN20" i="4" s="1"/>
  <c r="AQ20" i="4"/>
  <c r="V20" i="4"/>
  <c r="AM142" i="4"/>
  <c r="AQ142" i="4"/>
  <c r="V142" i="4"/>
  <c r="AM110" i="4"/>
  <c r="AN110" i="4" s="1"/>
  <c r="AQ110" i="4"/>
  <c r="V110" i="4"/>
  <c r="AM78" i="4"/>
  <c r="AQ78" i="4"/>
  <c r="V78" i="4"/>
  <c r="AM46" i="4"/>
  <c r="AN46" i="4" s="1"/>
  <c r="AQ46" i="4"/>
  <c r="V46" i="4"/>
  <c r="AM23" i="4"/>
  <c r="AN23" i="4" s="1"/>
  <c r="AQ23" i="4"/>
  <c r="V23" i="4"/>
  <c r="AM9" i="4"/>
  <c r="AQ9" i="4"/>
  <c r="V9" i="4"/>
  <c r="AM151" i="4"/>
  <c r="AN151" i="4" s="1"/>
  <c r="V151" i="4"/>
  <c r="AQ151" i="4"/>
  <c r="AM143" i="4"/>
  <c r="AN143" i="4" s="1"/>
  <c r="AQ143" i="4"/>
  <c r="V143" i="4"/>
  <c r="AM135" i="4"/>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N79" i="4" s="1"/>
  <c r="AQ79" i="4"/>
  <c r="V79" i="4"/>
  <c r="AM71" i="4"/>
  <c r="AN71" i="4" s="1"/>
  <c r="AQ71" i="4"/>
  <c r="V71" i="4"/>
  <c r="AM63" i="4"/>
  <c r="AN63" i="4" s="1"/>
  <c r="AQ63" i="4"/>
  <c r="V63" i="4"/>
  <c r="AM55" i="4"/>
  <c r="AN55" i="4" s="1"/>
  <c r="AQ55" i="4"/>
  <c r="V55" i="4"/>
  <c r="AM47" i="4"/>
  <c r="AN47" i="4" s="1"/>
  <c r="AQ47" i="4"/>
  <c r="V47" i="4"/>
  <c r="AM38" i="4"/>
  <c r="AN38" i="4" s="1"/>
  <c r="AQ38" i="4"/>
  <c r="V38" i="4"/>
  <c r="AM22" i="4"/>
  <c r="AN22" i="4" s="1"/>
  <c r="AQ22" i="4"/>
  <c r="V22" i="4"/>
  <c r="AM152" i="4"/>
  <c r="AN152" i="4" s="1"/>
  <c r="AQ152" i="4"/>
  <c r="V152" i="4"/>
  <c r="AM120" i="4"/>
  <c r="V120" i="4"/>
  <c r="AQ120" i="4"/>
  <c r="AM88" i="4"/>
  <c r="AN88" i="4" s="1"/>
  <c r="AQ88" i="4"/>
  <c r="V88" i="4"/>
  <c r="AM56" i="4"/>
  <c r="AN56" i="4" s="1"/>
  <c r="AQ56" i="4"/>
  <c r="V56" i="4"/>
  <c r="AM29" i="4"/>
  <c r="AN29" i="4" s="1"/>
  <c r="AQ29" i="4"/>
  <c r="V29" i="4"/>
  <c r="AM154" i="4"/>
  <c r="AN154" i="4" s="1"/>
  <c r="AQ154" i="4"/>
  <c r="V154" i="4"/>
  <c r="AM122" i="4"/>
  <c r="AN122" i="4" s="1"/>
  <c r="V122" i="4"/>
  <c r="AQ122" i="4"/>
  <c r="AM90" i="4"/>
  <c r="AN90" i="4" s="1"/>
  <c r="AQ90" i="4"/>
  <c r="V90" i="4"/>
  <c r="AM58" i="4"/>
  <c r="AQ58" i="4"/>
  <c r="V58" i="4"/>
  <c r="AM35" i="4"/>
  <c r="AN35" i="4" s="1"/>
  <c r="AQ35" i="4"/>
  <c r="V35" i="4"/>
  <c r="AM14" i="4"/>
  <c r="AN14" i="4" s="1"/>
  <c r="AQ14" i="4"/>
  <c r="V14" i="4"/>
  <c r="AM132" i="4"/>
  <c r="AQ132" i="4"/>
  <c r="V132" i="4"/>
  <c r="AM100" i="4"/>
  <c r="AN100" i="4" s="1"/>
  <c r="AQ100" i="4"/>
  <c r="V100" i="4"/>
  <c r="AM68" i="4"/>
  <c r="AQ68" i="4"/>
  <c r="V68" i="4"/>
  <c r="AM34" i="4"/>
  <c r="AN34" i="4" s="1"/>
  <c r="AQ34" i="4"/>
  <c r="V34" i="4"/>
  <c r="AM16" i="4"/>
  <c r="AN16" i="4" s="1"/>
  <c r="AQ16" i="4"/>
  <c r="V16" i="4"/>
  <c r="AM134" i="4"/>
  <c r="AN134" i="4" s="1"/>
  <c r="AQ134" i="4"/>
  <c r="V134" i="4"/>
  <c r="AM102" i="4"/>
  <c r="AN102" i="4" s="1"/>
  <c r="AQ102" i="4"/>
  <c r="V102" i="4"/>
  <c r="AM70" i="4"/>
  <c r="AN70" i="4" s="1"/>
  <c r="AQ70" i="4"/>
  <c r="V70" i="4"/>
  <c r="AM40" i="4"/>
  <c r="AQ40" i="4"/>
  <c r="V40" i="4"/>
  <c r="AM19" i="4"/>
  <c r="AN19" i="4" s="1"/>
  <c r="AQ19" i="4"/>
  <c r="V19" i="4"/>
  <c r="AM157" i="4"/>
  <c r="AQ157" i="4"/>
  <c r="V157" i="4"/>
  <c r="AM149" i="4"/>
  <c r="AN149" i="4" s="1"/>
  <c r="AQ149" i="4"/>
  <c r="V149" i="4"/>
  <c r="AM141" i="4"/>
  <c r="AN141" i="4" s="1"/>
  <c r="AQ141" i="4"/>
  <c r="V141" i="4"/>
  <c r="AM133" i="4"/>
  <c r="AQ133" i="4"/>
  <c r="V133" i="4"/>
  <c r="AM125" i="4"/>
  <c r="V125" i="4"/>
  <c r="AQ125" i="4"/>
  <c r="AM117" i="4"/>
  <c r="AN117" i="4" s="1"/>
  <c r="AQ117" i="4"/>
  <c r="V117" i="4"/>
  <c r="AM109" i="4"/>
  <c r="AN109" i="4" s="1"/>
  <c r="AQ109" i="4"/>
  <c r="V109" i="4"/>
  <c r="AM101" i="4"/>
  <c r="AN101" i="4" s="1"/>
  <c r="AQ101" i="4"/>
  <c r="V101" i="4"/>
  <c r="AM93" i="4"/>
  <c r="AN93" i="4" s="1"/>
  <c r="AQ93" i="4"/>
  <c r="V93" i="4"/>
  <c r="AM85" i="4"/>
  <c r="AN85" i="4" s="1"/>
  <c r="AQ85" i="4"/>
  <c r="V85" i="4"/>
  <c r="AM77" i="4"/>
  <c r="AN77" i="4" s="1"/>
  <c r="AQ77" i="4"/>
  <c r="V77" i="4"/>
  <c r="AM69" i="4"/>
  <c r="AN69" i="4" s="1"/>
  <c r="AQ69" i="4"/>
  <c r="V69" i="4"/>
  <c r="AM61" i="4"/>
  <c r="AN61" i="4" s="1"/>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N18" i="4" s="1"/>
  <c r="AQ18" i="4"/>
  <c r="V18" i="4"/>
  <c r="AM146" i="4"/>
  <c r="AQ146" i="4"/>
  <c r="V146" i="4"/>
  <c r="AM114" i="4"/>
  <c r="AN114" i="4" s="1"/>
  <c r="AQ114" i="4"/>
  <c r="V114" i="4"/>
  <c r="AM82" i="4"/>
  <c r="AN82" i="4" s="1"/>
  <c r="AQ82" i="4"/>
  <c r="V82" i="4"/>
  <c r="AM50" i="4"/>
  <c r="AN50" i="4" s="1"/>
  <c r="AQ50" i="4"/>
  <c r="V50" i="4"/>
  <c r="AM28" i="4"/>
  <c r="AN28" i="4" s="1"/>
  <c r="AQ28" i="4"/>
  <c r="V28" i="4"/>
  <c r="AM156" i="4"/>
  <c r="AQ156" i="4"/>
  <c r="V156" i="4"/>
  <c r="AM124" i="4"/>
  <c r="AQ124" i="4"/>
  <c r="V124" i="4"/>
  <c r="AM92" i="4"/>
  <c r="AQ92" i="4"/>
  <c r="V92" i="4"/>
  <c r="AM60" i="4"/>
  <c r="AN60" i="4" s="1"/>
  <c r="AQ60" i="4"/>
  <c r="V60" i="4"/>
  <c r="AM31" i="4"/>
  <c r="AN31" i="4" s="1"/>
  <c r="AQ31" i="4"/>
  <c r="V31" i="4"/>
  <c r="AM8" i="4"/>
  <c r="AN8" i="4" s="1"/>
  <c r="AQ8" i="4"/>
  <c r="V8" i="4"/>
  <c r="AM126" i="4"/>
  <c r="AN126" i="4" s="1"/>
  <c r="AQ126" i="4"/>
  <c r="V126" i="4"/>
  <c r="AM94" i="4"/>
  <c r="AN94" i="4" s="1"/>
  <c r="AQ94" i="4"/>
  <c r="V94" i="4"/>
  <c r="AM62" i="4"/>
  <c r="AN62" i="4" s="1"/>
  <c r="AQ62" i="4"/>
  <c r="V62" i="4"/>
  <c r="AM37" i="4"/>
  <c r="AQ37" i="4"/>
  <c r="V37" i="4"/>
  <c r="AM13" i="4"/>
  <c r="AN13" i="4" s="1"/>
  <c r="AQ13" i="4"/>
  <c r="V13" i="4"/>
  <c r="AM155" i="4"/>
  <c r="AN155" i="4" s="1"/>
  <c r="AQ155" i="4"/>
  <c r="V155" i="4"/>
  <c r="AM147" i="4"/>
  <c r="AN147" i="4" s="1"/>
  <c r="AQ147" i="4"/>
  <c r="V147" i="4"/>
  <c r="AM139" i="4"/>
  <c r="AQ139" i="4"/>
  <c r="V139" i="4"/>
  <c r="AM131" i="4"/>
  <c r="AN131" i="4" s="1"/>
  <c r="AQ131" i="4"/>
  <c r="V131" i="4"/>
  <c r="AM123" i="4"/>
  <c r="AN123" i="4" s="1"/>
  <c r="AQ123" i="4"/>
  <c r="V123" i="4"/>
  <c r="AM115" i="4"/>
  <c r="AN115" i="4" s="1"/>
  <c r="AQ115" i="4"/>
  <c r="V115" i="4"/>
  <c r="AM107" i="4"/>
  <c r="AN107" i="4" s="1"/>
  <c r="AQ107" i="4"/>
  <c r="V107" i="4"/>
  <c r="AM99" i="4"/>
  <c r="AN99" i="4" s="1"/>
  <c r="AQ99" i="4"/>
  <c r="V99" i="4"/>
  <c r="AM91" i="4"/>
  <c r="AN91" i="4" s="1"/>
  <c r="AQ91" i="4"/>
  <c r="V91" i="4"/>
  <c r="AM83" i="4"/>
  <c r="AN83" i="4" s="1"/>
  <c r="AQ83" i="4"/>
  <c r="V83" i="4"/>
  <c r="AM75" i="4"/>
  <c r="AN75" i="4" s="1"/>
  <c r="AQ75" i="4"/>
  <c r="V75" i="4"/>
  <c r="AM67" i="4"/>
  <c r="AN67" i="4" s="1"/>
  <c r="AQ67" i="4"/>
  <c r="V67" i="4"/>
  <c r="AM59" i="4"/>
  <c r="AN59" i="4" s="1"/>
  <c r="AQ59" i="4"/>
  <c r="V59" i="4"/>
  <c r="AM51" i="4"/>
  <c r="AN51" i="4" s="1"/>
  <c r="AQ51" i="4"/>
  <c r="V51" i="4"/>
  <c r="AM43" i="4"/>
  <c r="AN43" i="4" s="1"/>
  <c r="AQ43" i="4"/>
  <c r="V43" i="4"/>
  <c r="AQ30" i="4"/>
  <c r="AM30" i="4"/>
  <c r="AN30" i="4" s="1"/>
  <c r="V30" i="4"/>
  <c r="B195" i="2"/>
  <c r="Z7" i="5" s="1"/>
  <c r="B180" i="2"/>
  <c r="B186" i="2"/>
  <c r="B178" i="2"/>
  <c r="P7" i="5" s="1"/>
  <c r="AG541" i="5"/>
  <c r="AG496" i="5"/>
  <c r="AI496" i="5" s="1"/>
  <c r="AG434" i="5"/>
  <c r="AG438" i="5"/>
  <c r="AG373" i="5"/>
  <c r="AG149" i="5"/>
  <c r="AH149" i="5" s="1"/>
  <c r="AG551" i="5"/>
  <c r="AG499" i="5"/>
  <c r="AG558" i="5"/>
  <c r="AG386" i="5"/>
  <c r="AI386" i="5" s="1"/>
  <c r="AG364" i="5"/>
  <c r="AG241" i="5"/>
  <c r="AG156" i="5"/>
  <c r="AG524" i="5"/>
  <c r="AH524" i="5" s="1"/>
  <c r="AG466" i="5"/>
  <c r="AG521" i="5"/>
  <c r="AH521" i="5" s="1"/>
  <c r="AG309" i="5"/>
  <c r="AG293" i="5"/>
  <c r="AI293" i="5" s="1"/>
  <c r="AG363" i="5"/>
  <c r="B70" i="5"/>
  <c r="O11" i="5" s="1"/>
  <c r="Z11" i="5" s="1"/>
  <c r="AG8" i="5"/>
  <c r="AG35" i="5"/>
  <c r="AH35" i="5" s="1"/>
  <c r="AG26" i="5"/>
  <c r="AG34" i="5"/>
  <c r="AG42" i="5"/>
  <c r="AG32" i="5"/>
  <c r="AI32" i="5" s="1"/>
  <c r="AG48" i="5"/>
  <c r="AG46" i="5"/>
  <c r="AI46" i="5" s="1"/>
  <c r="AG63" i="5"/>
  <c r="AG71" i="5"/>
  <c r="AH71" i="5" s="1"/>
  <c r="AG83" i="5"/>
  <c r="AG105" i="5"/>
  <c r="AG121" i="5"/>
  <c r="AG137" i="5"/>
  <c r="AI137" i="5" s="1"/>
  <c r="AG152" i="5"/>
  <c r="AG168" i="5"/>
  <c r="AG193" i="5"/>
  <c r="AG57" i="5"/>
  <c r="AH57" i="5" s="1"/>
  <c r="AG91" i="5"/>
  <c r="AG102" i="5"/>
  <c r="AG118" i="5"/>
  <c r="AG144" i="5"/>
  <c r="AI144" i="5" s="1"/>
  <c r="AG154" i="5"/>
  <c r="AG162" i="5"/>
  <c r="AH162" i="5" s="1"/>
  <c r="AG182" i="5"/>
  <c r="AG61" i="5"/>
  <c r="AH61" i="5" s="1"/>
  <c r="AG78" i="5"/>
  <c r="AG87" i="5"/>
  <c r="AG97" i="5"/>
  <c r="AG113" i="5"/>
  <c r="AH113" i="5" s="1"/>
  <c r="AG136" i="5"/>
  <c r="AG163" i="5"/>
  <c r="AG180" i="5"/>
  <c r="AG49" i="5"/>
  <c r="AH49" i="5" s="1"/>
  <c r="AG12" i="5"/>
  <c r="AI12" i="5" s="1"/>
  <c r="AG23" i="5"/>
  <c r="AG21" i="5"/>
  <c r="AG29" i="5"/>
  <c r="AH29" i="5" s="1"/>
  <c r="AG37" i="5"/>
  <c r="AG20" i="5"/>
  <c r="AH20" i="5" s="1"/>
  <c r="AG36" i="5"/>
  <c r="AG51" i="5"/>
  <c r="AI51" i="5" s="1"/>
  <c r="AG58" i="5"/>
  <c r="AG66" i="5"/>
  <c r="AG74" i="5"/>
  <c r="AG88" i="5"/>
  <c r="AI88" i="5" s="1"/>
  <c r="AG106" i="5"/>
  <c r="AG122" i="5"/>
  <c r="AG148" i="5"/>
  <c r="AG158" i="5"/>
  <c r="AH158" i="5" s="1"/>
  <c r="AG186" i="5"/>
  <c r="AG45" i="5"/>
  <c r="AG77" i="5"/>
  <c r="AG96" i="5"/>
  <c r="AH96" i="5" s="1"/>
  <c r="AG112" i="5"/>
  <c r="AG127" i="5"/>
  <c r="AI127" i="5" s="1"/>
  <c r="AG145" i="5"/>
  <c r="AG157" i="5"/>
  <c r="AI157" i="5" s="1"/>
  <c r="AG174" i="5"/>
  <c r="AG43" i="5"/>
  <c r="AG65" i="5"/>
  <c r="AG79" i="5"/>
  <c r="AI79" i="5" s="1"/>
  <c r="AG89" i="5"/>
  <c r="AG98" i="5"/>
  <c r="AG114" i="5"/>
  <c r="AG146" i="5"/>
  <c r="AH146" i="5" s="1"/>
  <c r="AG164" i="5"/>
  <c r="AG183" i="5"/>
  <c r="AG55" i="5"/>
  <c r="AG72" i="5"/>
  <c r="AI72" i="5" s="1"/>
  <c r="AG93" i="5"/>
  <c r="AG109" i="5"/>
  <c r="AH109" i="5" s="1"/>
  <c r="AG125" i="5"/>
  <c r="AG133" i="5"/>
  <c r="AI133" i="5" s="1"/>
  <c r="AG141" i="5"/>
  <c r="AG161" i="5"/>
  <c r="AG172" i="5"/>
  <c r="AG181" i="5"/>
  <c r="AH181" i="5" s="1"/>
  <c r="AG192" i="5"/>
  <c r="AG201" i="5"/>
  <c r="AG217" i="5"/>
  <c r="AG232" i="5"/>
  <c r="AI232" i="5" s="1"/>
  <c r="AG243" i="5"/>
  <c r="AG255" i="5"/>
  <c r="AG266" i="5"/>
  <c r="AG274" i="5"/>
  <c r="AH274" i="5" s="1"/>
  <c r="AG282" i="5"/>
  <c r="AG290" i="5"/>
  <c r="AH290" i="5" s="1"/>
  <c r="AG306" i="5"/>
  <c r="AG338" i="5"/>
  <c r="AI338" i="5" s="1"/>
  <c r="AG354" i="5"/>
  <c r="AG366" i="5"/>
  <c r="AG382" i="5"/>
  <c r="AG411" i="5"/>
  <c r="AI411" i="5" s="1"/>
  <c r="AG427" i="5"/>
  <c r="AG443" i="5"/>
  <c r="AG195" i="5"/>
  <c r="AG213" i="5"/>
  <c r="AI213" i="5" s="1"/>
  <c r="AG227" i="5"/>
  <c r="AG248" i="5"/>
  <c r="AG300" i="5"/>
  <c r="AG312" i="5"/>
  <c r="AI312" i="5" s="1"/>
  <c r="AG321" i="5"/>
  <c r="AG327" i="5"/>
  <c r="AH327" i="5" s="1"/>
  <c r="AG334" i="5"/>
  <c r="AG350" i="5"/>
  <c r="AI350" i="5" s="1"/>
  <c r="AG361" i="5"/>
  <c r="AG377" i="5"/>
  <c r="AG384" i="5"/>
  <c r="AG393" i="5"/>
  <c r="AH393" i="5" s="1"/>
  <c r="AG410" i="5"/>
  <c r="AG426" i="5"/>
  <c r="AG442" i="5"/>
  <c r="AG463" i="5"/>
  <c r="AH463" i="5" s="1"/>
  <c r="AG473" i="5"/>
  <c r="AG489" i="5"/>
  <c r="AG207" i="5"/>
  <c r="AG221" i="5"/>
  <c r="AI221" i="5" s="1"/>
  <c r="AG239" i="5"/>
  <c r="AG7" i="5"/>
  <c r="AG27" i="5"/>
  <c r="AG22" i="5"/>
  <c r="AH22" i="5" s="1"/>
  <c r="AG30" i="5"/>
  <c r="AG38" i="5"/>
  <c r="AG24" i="5"/>
  <c r="AG40" i="5"/>
  <c r="AH40" i="5" s="1"/>
  <c r="AG53" i="5"/>
  <c r="AG59" i="5"/>
  <c r="AG67" i="5"/>
  <c r="AG75" i="5"/>
  <c r="AH75" i="5" s="1"/>
  <c r="AG100" i="5"/>
  <c r="AG116" i="5"/>
  <c r="AG129" i="5"/>
  <c r="AG150" i="5"/>
  <c r="AI150" i="5" s="1"/>
  <c r="AG165" i="5"/>
  <c r="AG188" i="5"/>
  <c r="AG47" i="5"/>
  <c r="AG80" i="5"/>
  <c r="AI80" i="5" s="1"/>
  <c r="AG99" i="5"/>
  <c r="AG115" i="5"/>
  <c r="AG135" i="5"/>
  <c r="AG147" i="5"/>
  <c r="AI147" i="5" s="1"/>
  <c r="AG159" i="5"/>
  <c r="AG176" i="5"/>
  <c r="AG50" i="5"/>
  <c r="AG69" i="5"/>
  <c r="AI69" i="5" s="1"/>
  <c r="AG84" i="5"/>
  <c r="AG92" i="5"/>
  <c r="AG108" i="5"/>
  <c r="AG124" i="5"/>
  <c r="AH124" i="5" s="1"/>
  <c r="AG155" i="5"/>
  <c r="AG170" i="5"/>
  <c r="AG185" i="5"/>
  <c r="AG60" i="5"/>
  <c r="AI60" i="5" s="1"/>
  <c r="AG76" i="5"/>
  <c r="AG94" i="5"/>
  <c r="AG110" i="5"/>
  <c r="AG126" i="5"/>
  <c r="AH126" i="5" s="1"/>
  <c r="AG134" i="5"/>
  <c r="AG142" i="5"/>
  <c r="AG166" i="5"/>
  <c r="AG175" i="5"/>
  <c r="AH175" i="5" s="1"/>
  <c r="AG184" i="5"/>
  <c r="AG197" i="5"/>
  <c r="AG210" i="5"/>
  <c r="AG222" i="5"/>
  <c r="AI222" i="5" s="1"/>
  <c r="AG233" i="5"/>
  <c r="AG247" i="5"/>
  <c r="AG256" i="5"/>
  <c r="AG267" i="5"/>
  <c r="AH267" i="5" s="1"/>
  <c r="AG275" i="5"/>
  <c r="AG283" i="5"/>
  <c r="AG291" i="5"/>
  <c r="AG307" i="5"/>
  <c r="AH307" i="5" s="1"/>
  <c r="AG340" i="5"/>
  <c r="AG356" i="5"/>
  <c r="AG368" i="5"/>
  <c r="AG391" i="5"/>
  <c r="AH391" i="5" s="1"/>
  <c r="AG413" i="5"/>
  <c r="AG429" i="5"/>
  <c r="AG445" i="5"/>
  <c r="AG206" i="5"/>
  <c r="AI206" i="5" s="1"/>
  <c r="AG220" i="5"/>
  <c r="AG236" i="5"/>
  <c r="AG251" i="5"/>
  <c r="AG302" i="5"/>
  <c r="AH302" i="5" s="1"/>
  <c r="AG313" i="5"/>
  <c r="AG322" i="5"/>
  <c r="AG330" i="5"/>
  <c r="AG336" i="5"/>
  <c r="AI336" i="5" s="1"/>
  <c r="AG352" i="5"/>
  <c r="AG370" i="5"/>
  <c r="AG378" i="5"/>
  <c r="AG385" i="5"/>
  <c r="AH385" i="5" s="1"/>
  <c r="AG404" i="5"/>
  <c r="AG420" i="5"/>
  <c r="AG436" i="5"/>
  <c r="AG451" i="5"/>
  <c r="AI451" i="5" s="1"/>
  <c r="AG467" i="5"/>
  <c r="AG483" i="5"/>
  <c r="AG187" i="5"/>
  <c r="AG209" i="5"/>
  <c r="AI209" i="5" s="1"/>
  <c r="AG228" i="5"/>
  <c r="AG244" i="5"/>
  <c r="AG13" i="5"/>
  <c r="AG41" i="5"/>
  <c r="AH41" i="5" s="1"/>
  <c r="AG62" i="5"/>
  <c r="AG119" i="5"/>
  <c r="AG191" i="5"/>
  <c r="AG117" i="5"/>
  <c r="AH117" i="5" s="1"/>
  <c r="AG177" i="5"/>
  <c r="AG95" i="5"/>
  <c r="AH95" i="5" s="1"/>
  <c r="AG173" i="5"/>
  <c r="AG81" i="5"/>
  <c r="AH81" i="5" s="1"/>
  <c r="AG120" i="5"/>
  <c r="AG138" i="5"/>
  <c r="AG169" i="5"/>
  <c r="AG189" i="5"/>
  <c r="AH189" i="5" s="1"/>
  <c r="AG212" i="5"/>
  <c r="AG235" i="5"/>
  <c r="AG262" i="5"/>
  <c r="AG278" i="5"/>
  <c r="AH278" i="5" s="1"/>
  <c r="AG301" i="5"/>
  <c r="AG345" i="5"/>
  <c r="AG369" i="5"/>
  <c r="AG414" i="5"/>
  <c r="AH414" i="5" s="1"/>
  <c r="AG446" i="5"/>
  <c r="AG224" i="5"/>
  <c r="AG252" i="5"/>
  <c r="AG318" i="5"/>
  <c r="AH318" i="5" s="1"/>
  <c r="AG331" i="5"/>
  <c r="AG358" i="5"/>
  <c r="AG379" i="5"/>
  <c r="AG407" i="5"/>
  <c r="AH407" i="5" s="1"/>
  <c r="AG439" i="5"/>
  <c r="AG470" i="5"/>
  <c r="AG202" i="5"/>
  <c r="AG229" i="5"/>
  <c r="AI229" i="5" s="1"/>
  <c r="AG265" i="5"/>
  <c r="AG281" i="5"/>
  <c r="AG296" i="5"/>
  <c r="AI296" i="5" s="1"/>
  <c r="AG319" i="5"/>
  <c r="AH319" i="5" s="1"/>
  <c r="AG337" i="5"/>
  <c r="AG353" i="5"/>
  <c r="AG367" i="5"/>
  <c r="AH367" i="5" s="1"/>
  <c r="AG400" i="5"/>
  <c r="AH400" i="5" s="1"/>
  <c r="AG416" i="5"/>
  <c r="AG432" i="5"/>
  <c r="AH432" i="5" s="1"/>
  <c r="AG448" i="5"/>
  <c r="AH448" i="5" s="1"/>
  <c r="AG203" i="5"/>
  <c r="AH203" i="5" s="1"/>
  <c r="AG226" i="5"/>
  <c r="AG245" i="5"/>
  <c r="AG257" i="5"/>
  <c r="AI257" i="5" s="1"/>
  <c r="AG268" i="5"/>
  <c r="AH268" i="5" s="1"/>
  <c r="AG284" i="5"/>
  <c r="AG295" i="5"/>
  <c r="AG314" i="5"/>
  <c r="AH314" i="5" s="1"/>
  <c r="AG335" i="5"/>
  <c r="AH335" i="5" s="1"/>
  <c r="AG351" i="5"/>
  <c r="AG376" i="5"/>
  <c r="AG387" i="5"/>
  <c r="AI387" i="5" s="1"/>
  <c r="AG397" i="5"/>
  <c r="AH397" i="5" s="1"/>
  <c r="AG412" i="5"/>
  <c r="AG428" i="5"/>
  <c r="AH428" i="5" s="1"/>
  <c r="AG444" i="5"/>
  <c r="AI444" i="5" s="1"/>
  <c r="AG453" i="5"/>
  <c r="AI453" i="5" s="1"/>
  <c r="AG461" i="5"/>
  <c r="AG478" i="5"/>
  <c r="AG474" i="5"/>
  <c r="AI474" i="5" s="1"/>
  <c r="AG498" i="5"/>
  <c r="AI498" i="5" s="1"/>
  <c r="AG513" i="5"/>
  <c r="AG530" i="5"/>
  <c r="AG547" i="5"/>
  <c r="AI547" i="5" s="1"/>
  <c r="AG554" i="5"/>
  <c r="AI554" i="5" s="1"/>
  <c r="AG491" i="5"/>
  <c r="AG502" i="5"/>
  <c r="AG508" i="5"/>
  <c r="AH508" i="5" s="1"/>
  <c r="AG536" i="5"/>
  <c r="AH536" i="5" s="1"/>
  <c r="AG458" i="5"/>
  <c r="AG477" i="5"/>
  <c r="AH477" i="5" s="1"/>
  <c r="AG492" i="5"/>
  <c r="AH492" i="5" s="1"/>
  <c r="AG519" i="5"/>
  <c r="AI519" i="5" s="1"/>
  <c r="AG535" i="5"/>
  <c r="AG550" i="5"/>
  <c r="AG552" i="5"/>
  <c r="AH552" i="5" s="1"/>
  <c r="AG506" i="5"/>
  <c r="AI506" i="5" s="1"/>
  <c r="AG522" i="5"/>
  <c r="AG528" i="5"/>
  <c r="AG544" i="5"/>
  <c r="AH544" i="5" s="1"/>
  <c r="AG31" i="5"/>
  <c r="AI31" i="5" s="1"/>
  <c r="AG28" i="5"/>
  <c r="AG70" i="5"/>
  <c r="AI70" i="5" s="1"/>
  <c r="AG130" i="5"/>
  <c r="AH130" i="5" s="1"/>
  <c r="AG56" i="5"/>
  <c r="AI56" i="5" s="1"/>
  <c r="AG139" i="5"/>
  <c r="AG52" i="5"/>
  <c r="AH52" i="5" s="1"/>
  <c r="AG111" i="5"/>
  <c r="AI111" i="5" s="1"/>
  <c r="AG39" i="5"/>
  <c r="AH39" i="5" s="1"/>
  <c r="AG90" i="5"/>
  <c r="AG123" i="5"/>
  <c r="AG140" i="5"/>
  <c r="AI140" i="5" s="1"/>
  <c r="AG171" i="5"/>
  <c r="AH171" i="5" s="1"/>
  <c r="AG190" i="5"/>
  <c r="AG215" i="5"/>
  <c r="AG242" i="5"/>
  <c r="AI242" i="5" s="1"/>
  <c r="AG263" i="5"/>
  <c r="AI263" i="5" s="1"/>
  <c r="AG279" i="5"/>
  <c r="AG304" i="5"/>
  <c r="AG347" i="5"/>
  <c r="AI347" i="5" s="1"/>
  <c r="AG375" i="5"/>
  <c r="AH375" i="5" s="1"/>
  <c r="AG424" i="5"/>
  <c r="AG194" i="5"/>
  <c r="AG225" i="5"/>
  <c r="AH225" i="5" s="1"/>
  <c r="AG297" i="5"/>
  <c r="AI297" i="5" s="1"/>
  <c r="AG320" i="5"/>
  <c r="AG333" i="5"/>
  <c r="AG360" i="5"/>
  <c r="AH360" i="5" s="1"/>
  <c r="AG381" i="5"/>
  <c r="AH381" i="5" s="1"/>
  <c r="AG409" i="5"/>
  <c r="AG441" i="5"/>
  <c r="AG472" i="5"/>
  <c r="AH472" i="5" s="1"/>
  <c r="AG204" i="5"/>
  <c r="AI204" i="5" s="1"/>
  <c r="AG234" i="5"/>
  <c r="AG269" i="5"/>
  <c r="AI269" i="5" s="1"/>
  <c r="AG285" i="5"/>
  <c r="AG298" i="5"/>
  <c r="AH298" i="5" s="1"/>
  <c r="AG324" i="5"/>
  <c r="AG339" i="5"/>
  <c r="AH339" i="5" s="1"/>
  <c r="AG355" i="5"/>
  <c r="AI355" i="5" s="1"/>
  <c r="AG374" i="5"/>
  <c r="AH374" i="5" s="1"/>
  <c r="AG403" i="5"/>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G514" i="5"/>
  <c r="AH514" i="5" s="1"/>
  <c r="AG531" i="5"/>
  <c r="AI531" i="5" s="1"/>
  <c r="AG549" i="5"/>
  <c r="AH549" i="5" s="1"/>
  <c r="AG559" i="5"/>
  <c r="AG494" i="5"/>
  <c r="AI494" i="5" s="1"/>
  <c r="AG504" i="5"/>
  <c r="AI504" i="5" s="1"/>
  <c r="AG510" i="5"/>
  <c r="AI510" i="5" s="1"/>
  <c r="AG538" i="5"/>
  <c r="AG462" i="5"/>
  <c r="AG482" i="5"/>
  <c r="AH482" i="5" s="1"/>
  <c r="AG493" i="5"/>
  <c r="AH493" i="5" s="1"/>
  <c r="AG525" i="5"/>
  <c r="AG539" i="5"/>
  <c r="AH539" i="5" s="1"/>
  <c r="AG555" i="5"/>
  <c r="AH555" i="5" s="1"/>
  <c r="AG479" i="5"/>
  <c r="AH479" i="5" s="1"/>
  <c r="AG509" i="5"/>
  <c r="AG523" i="5"/>
  <c r="AI523" i="5" s="1"/>
  <c r="AG529" i="5"/>
  <c r="AH529" i="5" s="1"/>
  <c r="AG546" i="5"/>
  <c r="AH546" i="5" s="1"/>
  <c r="AG25" i="5"/>
  <c r="AG44" i="5"/>
  <c r="AI44" i="5" s="1"/>
  <c r="AG82" i="5"/>
  <c r="AH82" i="5" s="1"/>
  <c r="AG151" i="5"/>
  <c r="AH151" i="5" s="1"/>
  <c r="AG85" i="5"/>
  <c r="AG153" i="5"/>
  <c r="AG73" i="5"/>
  <c r="AI73" i="5" s="1"/>
  <c r="AG132" i="5"/>
  <c r="AH132" i="5" s="1"/>
  <c r="AG64" i="5"/>
  <c r="AG104" i="5"/>
  <c r="AI104" i="5" s="1"/>
  <c r="AG128" i="5"/>
  <c r="AH128" i="5" s="1"/>
  <c r="AG143" i="5"/>
  <c r="AI143" i="5" s="1"/>
  <c r="AG178" i="5"/>
  <c r="AG198" i="5"/>
  <c r="AH198" i="5" s="1"/>
  <c r="AG223" i="5"/>
  <c r="AH223" i="5" s="1"/>
  <c r="AG250" i="5"/>
  <c r="AI250" i="5" s="1"/>
  <c r="AG270" i="5"/>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P538" i="5" s="1"/>
  <c r="AF482" i="5"/>
  <c r="AF294" i="5"/>
  <c r="AF29" i="5"/>
  <c r="AF522" i="5"/>
  <c r="AP522" i="5" s="1"/>
  <c r="AF466" i="5"/>
  <c r="AP466" i="5" s="1"/>
  <c r="AF214" i="5"/>
  <c r="AP214" i="5" s="1"/>
  <c r="AF558" i="5"/>
  <c r="AP558" i="5" s="1"/>
  <c r="AF506" i="5"/>
  <c r="AP506" i="5" s="1"/>
  <c r="AF414" i="5"/>
  <c r="AF21" i="5"/>
  <c r="AF542" i="5"/>
  <c r="AF518" i="5"/>
  <c r="AF486" i="5"/>
  <c r="AF454" i="5"/>
  <c r="AF406" i="5"/>
  <c r="AF342" i="5"/>
  <c r="AP342" i="5" s="1"/>
  <c r="AF286" i="5"/>
  <c r="AF90" i="5"/>
  <c r="AP90" i="5" s="1"/>
  <c r="AF446" i="5"/>
  <c r="AP446" i="5" s="1"/>
  <c r="AF382" i="5"/>
  <c r="AF326" i="5"/>
  <c r="AP326" i="5" s="1"/>
  <c r="AF278" i="5"/>
  <c r="AF437" i="5"/>
  <c r="AF33" i="5"/>
  <c r="AF554" i="5"/>
  <c r="AF530" i="5"/>
  <c r="AP530" i="5" s="1"/>
  <c r="AF502" i="5"/>
  <c r="AF474" i="5"/>
  <c r="AF422" i="5"/>
  <c r="AF374" i="5"/>
  <c r="AF318" i="5"/>
  <c r="AF246" i="5"/>
  <c r="AF41" i="5"/>
  <c r="AF25" i="5"/>
  <c r="AP25" i="5" s="1"/>
  <c r="AF550" i="5"/>
  <c r="AF534" i="5"/>
  <c r="AF514" i="5"/>
  <c r="AF490" i="5"/>
  <c r="AF470" i="5"/>
  <c r="AF438" i="5"/>
  <c r="AF390" i="5"/>
  <c r="AF350" i="5"/>
  <c r="AF310" i="5"/>
  <c r="AF262" i="5"/>
  <c r="AF198" i="5"/>
  <c r="AF373" i="5"/>
  <c r="AF254" i="5"/>
  <c r="AP254" i="5" s="1"/>
  <c r="AF150" i="5"/>
  <c r="AP150" i="5" s="1"/>
  <c r="AF526" i="5"/>
  <c r="AP526" i="5" s="1"/>
  <c r="AF510" i="5"/>
  <c r="AF494" i="5"/>
  <c r="AF478" i="5"/>
  <c r="AF462" i="5"/>
  <c r="AF430" i="5"/>
  <c r="AF398" i="5"/>
  <c r="AF366" i="5"/>
  <c r="AF334" i="5"/>
  <c r="AF302" i="5"/>
  <c r="AF270" i="5"/>
  <c r="AP270" i="5" s="1"/>
  <c r="AF238" i="5"/>
  <c r="AF182" i="5"/>
  <c r="AF24" i="5"/>
  <c r="AF193" i="5"/>
  <c r="AP193" i="5" s="1"/>
  <c r="AF230" i="5"/>
  <c r="AF166" i="5"/>
  <c r="AF501" i="5"/>
  <c r="AP501" i="5" s="1"/>
  <c r="AF458" i="5"/>
  <c r="AP458" i="5" s="1"/>
  <c r="AF442" i="5"/>
  <c r="AF426" i="5"/>
  <c r="AF410" i="5"/>
  <c r="AP410" i="5" s="1"/>
  <c r="AF394" i="5"/>
  <c r="AF378" i="5"/>
  <c r="AF362" i="5"/>
  <c r="AF346" i="5"/>
  <c r="AF330" i="5"/>
  <c r="AP330" i="5" s="1"/>
  <c r="AF314" i="5"/>
  <c r="AF298" i="5"/>
  <c r="AF282" i="5"/>
  <c r="AF266" i="5"/>
  <c r="AP266" i="5" s="1"/>
  <c r="AF250" i="5"/>
  <c r="AP250" i="5" s="1"/>
  <c r="AF234" i="5"/>
  <c r="AF206" i="5"/>
  <c r="AF174" i="5"/>
  <c r="AP174" i="5" s="1"/>
  <c r="AF138" i="5"/>
  <c r="AF74" i="5"/>
  <c r="AP74" i="5" s="1"/>
  <c r="AF549" i="5"/>
  <c r="AF485" i="5"/>
  <c r="AF421" i="5"/>
  <c r="AF353" i="5"/>
  <c r="AF129" i="5"/>
  <c r="AF122" i="5"/>
  <c r="AF58" i="5"/>
  <c r="AP58" i="5" s="1"/>
  <c r="AF533" i="5"/>
  <c r="AF469" i="5"/>
  <c r="AF405" i="5"/>
  <c r="AF321" i="5"/>
  <c r="AP321" i="5" s="1"/>
  <c r="AF524" i="5"/>
  <c r="AF450" i="5"/>
  <c r="AF434" i="5"/>
  <c r="AP434" i="5" s="1"/>
  <c r="AF418" i="5"/>
  <c r="AF402" i="5"/>
  <c r="AP402" i="5" s="1"/>
  <c r="AF386" i="5"/>
  <c r="AF370" i="5"/>
  <c r="AF354" i="5"/>
  <c r="AP354" i="5" s="1"/>
  <c r="AF338" i="5"/>
  <c r="AF322" i="5"/>
  <c r="AP322" i="5" s="1"/>
  <c r="AF306" i="5"/>
  <c r="AF290" i="5"/>
  <c r="AF274" i="5"/>
  <c r="AF258" i="5"/>
  <c r="AP258" i="5" s="1"/>
  <c r="AF242" i="5"/>
  <c r="AP242" i="5" s="1"/>
  <c r="AF222" i="5"/>
  <c r="AP222" i="5" s="1"/>
  <c r="AF190" i="5"/>
  <c r="AP190" i="5" s="1"/>
  <c r="AF158" i="5"/>
  <c r="AF106" i="5"/>
  <c r="AP106" i="5" s="1"/>
  <c r="AF40" i="5"/>
  <c r="AP40" i="5" s="1"/>
  <c r="AF517" i="5"/>
  <c r="AF453" i="5"/>
  <c r="AF389" i="5"/>
  <c r="AF257" i="5"/>
  <c r="AF226" i="5"/>
  <c r="AP226" i="5" s="1"/>
  <c r="AF210" i="5"/>
  <c r="AF194" i="5"/>
  <c r="AF178" i="5"/>
  <c r="AP178" i="5" s="1"/>
  <c r="AF162" i="5"/>
  <c r="AF146" i="5"/>
  <c r="AF114" i="5"/>
  <c r="AP114" i="5" s="1"/>
  <c r="AF82" i="5"/>
  <c r="AF50" i="5"/>
  <c r="AF557" i="5"/>
  <c r="AF525" i="5"/>
  <c r="AP525" i="5" s="1"/>
  <c r="AF493" i="5"/>
  <c r="AP493" i="5" s="1"/>
  <c r="AF461" i="5"/>
  <c r="AP461" i="5" s="1"/>
  <c r="AF429" i="5"/>
  <c r="AP429" i="5" s="1"/>
  <c r="AF397" i="5"/>
  <c r="AF365" i="5"/>
  <c r="AF305" i="5"/>
  <c r="AF241" i="5"/>
  <c r="AP241" i="5" s="1"/>
  <c r="AF177" i="5"/>
  <c r="AP177" i="5" s="1"/>
  <c r="AF113" i="5"/>
  <c r="AP113" i="5" s="1"/>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P445" i="5" s="1"/>
  <c r="AF413" i="5"/>
  <c r="AP413" i="5" s="1"/>
  <c r="AF381" i="5"/>
  <c r="AF337" i="5"/>
  <c r="AP337" i="5" s="1"/>
  <c r="AF273" i="5"/>
  <c r="AF209" i="5"/>
  <c r="AF145" i="5"/>
  <c r="AF49" i="5"/>
  <c r="AF134" i="5"/>
  <c r="AP134" i="5" s="1"/>
  <c r="AF118" i="5"/>
  <c r="AP118" i="5" s="1"/>
  <c r="AF102" i="5"/>
  <c r="AF86" i="5"/>
  <c r="AF70" i="5"/>
  <c r="AF54" i="5"/>
  <c r="AF36" i="5"/>
  <c r="AF20" i="5"/>
  <c r="AP20" i="5" s="1"/>
  <c r="AF545" i="5"/>
  <c r="AF529" i="5"/>
  <c r="AF513" i="5"/>
  <c r="AP513" i="5" s="1"/>
  <c r="AF497" i="5"/>
  <c r="AF481" i="5"/>
  <c r="AF465" i="5"/>
  <c r="AF449" i="5"/>
  <c r="AP449" i="5" s="1"/>
  <c r="AF433" i="5"/>
  <c r="AF417" i="5"/>
  <c r="AF401" i="5"/>
  <c r="AF385" i="5"/>
  <c r="AF369" i="5"/>
  <c r="AF345" i="5"/>
  <c r="AF313" i="5"/>
  <c r="AP313" i="5" s="1"/>
  <c r="AF281" i="5"/>
  <c r="AF249" i="5"/>
  <c r="AF217" i="5"/>
  <c r="AP217" i="5" s="1"/>
  <c r="AF185" i="5"/>
  <c r="AF153" i="5"/>
  <c r="AF121" i="5"/>
  <c r="AP121" i="5" s="1"/>
  <c r="AF89" i="5"/>
  <c r="AP89" i="5" s="1"/>
  <c r="AF31" i="5"/>
  <c r="AF508" i="5"/>
  <c r="AF404" i="5"/>
  <c r="AP404" i="5" s="1"/>
  <c r="AF256" i="5"/>
  <c r="AP256" i="5" s="1"/>
  <c r="AF81" i="5"/>
  <c r="AP81" i="5" s="1"/>
  <c r="AF556" i="5"/>
  <c r="AP556" i="5" s="1"/>
  <c r="AF492" i="5"/>
  <c r="AF372" i="5"/>
  <c r="AF64" i="5"/>
  <c r="AP64" i="5" s="1"/>
  <c r="AF142" i="5"/>
  <c r="AF126" i="5"/>
  <c r="AF110" i="5"/>
  <c r="AP110" i="5" s="1"/>
  <c r="AF94" i="5"/>
  <c r="AF78" i="5"/>
  <c r="AP78" i="5" s="1"/>
  <c r="AF62" i="5"/>
  <c r="AP62" i="5" s="1"/>
  <c r="AF46" i="5"/>
  <c r="AF28" i="5"/>
  <c r="AP28" i="5" s="1"/>
  <c r="AF553" i="5"/>
  <c r="AF537" i="5"/>
  <c r="AF521" i="5"/>
  <c r="AF505" i="5"/>
  <c r="AP505" i="5" s="1"/>
  <c r="AF489" i="5"/>
  <c r="AF473" i="5"/>
  <c r="AP473" i="5" s="1"/>
  <c r="AF457" i="5"/>
  <c r="AF441" i="5"/>
  <c r="AF425" i="5"/>
  <c r="AF409" i="5"/>
  <c r="AP409" i="5" s="1"/>
  <c r="AF393" i="5"/>
  <c r="AF377" i="5"/>
  <c r="AF361" i="5"/>
  <c r="AF329" i="5"/>
  <c r="AF297" i="5"/>
  <c r="AF265" i="5"/>
  <c r="AP265" i="5" s="1"/>
  <c r="AF233" i="5"/>
  <c r="AP233" i="5" s="1"/>
  <c r="AF201" i="5"/>
  <c r="AP201" i="5" s="1"/>
  <c r="AF169" i="5"/>
  <c r="AP169" i="5" s="1"/>
  <c r="AF137" i="5"/>
  <c r="AP137" i="5" s="1"/>
  <c r="AF105" i="5"/>
  <c r="AF65" i="5"/>
  <c r="AP65" i="5" s="1"/>
  <c r="AF540" i="5"/>
  <c r="AF468" i="5"/>
  <c r="AF340" i="5"/>
  <c r="AP340" i="5" s="1"/>
  <c r="AF357" i="5"/>
  <c r="AF341" i="5"/>
  <c r="AP341" i="5" s="1"/>
  <c r="AF325" i="5"/>
  <c r="AF309" i="5"/>
  <c r="AP309" i="5" s="1"/>
  <c r="AF293" i="5"/>
  <c r="AF277" i="5"/>
  <c r="AF261" i="5"/>
  <c r="AF245" i="5"/>
  <c r="AF229" i="5"/>
  <c r="AF213" i="5"/>
  <c r="AF197" i="5"/>
  <c r="AF181" i="5"/>
  <c r="AF165" i="5"/>
  <c r="AP165" i="5" s="1"/>
  <c r="AF149" i="5"/>
  <c r="AF133" i="5"/>
  <c r="AF117" i="5"/>
  <c r="AF101" i="5"/>
  <c r="AF85" i="5"/>
  <c r="AP85" i="5" s="1"/>
  <c r="AF57" i="5"/>
  <c r="AP57" i="5" s="1"/>
  <c r="AF23" i="5"/>
  <c r="AF532" i="5"/>
  <c r="AF500" i="5"/>
  <c r="AP500" i="5" s="1"/>
  <c r="AF452" i="5"/>
  <c r="AF388" i="5"/>
  <c r="AP388" i="5" s="1"/>
  <c r="AF320" i="5"/>
  <c r="AP320" i="5" s="1"/>
  <c r="AF236" i="5"/>
  <c r="AF543" i="5"/>
  <c r="AF192" i="5"/>
  <c r="AP192" i="5" s="1"/>
  <c r="AF399" i="5"/>
  <c r="AP399" i="5" s="1"/>
  <c r="AF349" i="5"/>
  <c r="AF333" i="5"/>
  <c r="AF317" i="5"/>
  <c r="AP317" i="5" s="1"/>
  <c r="AF301" i="5"/>
  <c r="AP301" i="5" s="1"/>
  <c r="AF285" i="5"/>
  <c r="AP285" i="5" s="1"/>
  <c r="AF269" i="5"/>
  <c r="AF253" i="5"/>
  <c r="AP253" i="5" s="1"/>
  <c r="AF237" i="5"/>
  <c r="AF221" i="5"/>
  <c r="AF205" i="5"/>
  <c r="AP205" i="5" s="1"/>
  <c r="AF189" i="5"/>
  <c r="AF173" i="5"/>
  <c r="AF157" i="5"/>
  <c r="AF141" i="5"/>
  <c r="AP141" i="5" s="1"/>
  <c r="AF125" i="5"/>
  <c r="AP125" i="5" s="1"/>
  <c r="AF109" i="5"/>
  <c r="AP109" i="5" s="1"/>
  <c r="AF93" i="5"/>
  <c r="AP93" i="5" s="1"/>
  <c r="AF73" i="5"/>
  <c r="AF39" i="5"/>
  <c r="AF548" i="5"/>
  <c r="AF516" i="5"/>
  <c r="AP516" i="5" s="1"/>
  <c r="AF484" i="5"/>
  <c r="AF420" i="5"/>
  <c r="AF356" i="5"/>
  <c r="AP356" i="5" s="1"/>
  <c r="AF280" i="5"/>
  <c r="AF128" i="5"/>
  <c r="AF69" i="5"/>
  <c r="AF53" i="5"/>
  <c r="AP53" i="5" s="1"/>
  <c r="AF35" i="5"/>
  <c r="AF560" i="5"/>
  <c r="AF544" i="5"/>
  <c r="AF528" i="5"/>
  <c r="AP528" i="5" s="1"/>
  <c r="AF512" i="5"/>
  <c r="AF496" i="5"/>
  <c r="AP496" i="5" s="1"/>
  <c r="AF476" i="5"/>
  <c r="AF444" i="5"/>
  <c r="AF412" i="5"/>
  <c r="AP412" i="5" s="1"/>
  <c r="AF380" i="5"/>
  <c r="AF348" i="5"/>
  <c r="AF312" i="5"/>
  <c r="AF268" i="5"/>
  <c r="AF224" i="5"/>
  <c r="AF176" i="5"/>
  <c r="AF112" i="5"/>
  <c r="AP112" i="5" s="1"/>
  <c r="AF48" i="5"/>
  <c r="AP48" i="5" s="1"/>
  <c r="AF511" i="5"/>
  <c r="AF383" i="5"/>
  <c r="AF216" i="5"/>
  <c r="AF160" i="5"/>
  <c r="AF96" i="5"/>
  <c r="AP96" i="5" s="1"/>
  <c r="AF34" i="5"/>
  <c r="AF495" i="5"/>
  <c r="AP495" i="5" s="1"/>
  <c r="AF271" i="5"/>
  <c r="AF77" i="5"/>
  <c r="AP77" i="5" s="1"/>
  <c r="AF61" i="5"/>
  <c r="AF45" i="5"/>
  <c r="AP45" i="5" s="1"/>
  <c r="AF27" i="5"/>
  <c r="AP27" i="5" s="1"/>
  <c r="AF552" i="5"/>
  <c r="AF536" i="5"/>
  <c r="AF520" i="5"/>
  <c r="AP520" i="5" s="1"/>
  <c r="AF504" i="5"/>
  <c r="AP504" i="5" s="1"/>
  <c r="AF488" i="5"/>
  <c r="AP488" i="5" s="1"/>
  <c r="AF460" i="5"/>
  <c r="AF428" i="5"/>
  <c r="AP428" i="5" s="1"/>
  <c r="AF396" i="5"/>
  <c r="AF364" i="5"/>
  <c r="AP364" i="5" s="1"/>
  <c r="AF332" i="5"/>
  <c r="AF288" i="5"/>
  <c r="AP288" i="5" s="1"/>
  <c r="AF248" i="5"/>
  <c r="AF204" i="5"/>
  <c r="AP204" i="5" s="1"/>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P351" i="5" s="1"/>
  <c r="AF287" i="5"/>
  <c r="AF223" i="5"/>
  <c r="AP223" i="5" s="1"/>
  <c r="AF159" i="5"/>
  <c r="AP159" i="5" s="1"/>
  <c r="AF95" i="5"/>
  <c r="AF143" i="5"/>
  <c r="AF79" i="5"/>
  <c r="AF480" i="5"/>
  <c r="AF464" i="5"/>
  <c r="AF448" i="5"/>
  <c r="AF432" i="5"/>
  <c r="AF416" i="5"/>
  <c r="AP416" i="5" s="1"/>
  <c r="AF400" i="5"/>
  <c r="AF384" i="5"/>
  <c r="AP384" i="5" s="1"/>
  <c r="AF368" i="5"/>
  <c r="AP368" i="5" s="1"/>
  <c r="AF352" i="5"/>
  <c r="AP352" i="5" s="1"/>
  <c r="AF336" i="5"/>
  <c r="AF316" i="5"/>
  <c r="AF296" i="5"/>
  <c r="AF272" i="5"/>
  <c r="AP272" i="5" s="1"/>
  <c r="AF252" i="5"/>
  <c r="AF232" i="5"/>
  <c r="AF208" i="5"/>
  <c r="AP208" i="5" s="1"/>
  <c r="AF184" i="5"/>
  <c r="AP184" i="5" s="1"/>
  <c r="AF152" i="5"/>
  <c r="AP152" i="5" s="1"/>
  <c r="AF120" i="5"/>
  <c r="AP120" i="5" s="1"/>
  <c r="AF88" i="5"/>
  <c r="AF56" i="5"/>
  <c r="AP56" i="5" s="1"/>
  <c r="AF26" i="5"/>
  <c r="AP26" i="5" s="1"/>
  <c r="AF535" i="5"/>
  <c r="AP535" i="5" s="1"/>
  <c r="AF503" i="5"/>
  <c r="AP503" i="5" s="1"/>
  <c r="AF471" i="5"/>
  <c r="AF439" i="5"/>
  <c r="AP439" i="5" s="1"/>
  <c r="AF407" i="5"/>
  <c r="AF375" i="5"/>
  <c r="AF343" i="5"/>
  <c r="AF311" i="5"/>
  <c r="AP311" i="5" s="1"/>
  <c r="AF279" i="5"/>
  <c r="AP279" i="5" s="1"/>
  <c r="AF247" i="5"/>
  <c r="AF215" i="5"/>
  <c r="AF183" i="5"/>
  <c r="AF151" i="5"/>
  <c r="AF119" i="5"/>
  <c r="AF87" i="5"/>
  <c r="AF55" i="5"/>
  <c r="AP55" i="5" s="1"/>
  <c r="AF10" i="5"/>
  <c r="AF47" i="5"/>
  <c r="AP47" i="5" s="1"/>
  <c r="AF472" i="5"/>
  <c r="AF456" i="5"/>
  <c r="AP456" i="5" s="1"/>
  <c r="AF440" i="5"/>
  <c r="AP440" i="5" s="1"/>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P104" i="5" s="1"/>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P539" i="5" s="1"/>
  <c r="AF523" i="5"/>
  <c r="AF507" i="5"/>
  <c r="AF491" i="5"/>
  <c r="AP491" i="5" s="1"/>
  <c r="AF475" i="5"/>
  <c r="AF459" i="5"/>
  <c r="AF443" i="5"/>
  <c r="AF427" i="5"/>
  <c r="AP427" i="5" s="1"/>
  <c r="AF411" i="5"/>
  <c r="AF395" i="5"/>
  <c r="AP395" i="5" s="1"/>
  <c r="AF379" i="5"/>
  <c r="AF363" i="5"/>
  <c r="AP363" i="5" s="1"/>
  <c r="AF347" i="5"/>
  <c r="AF331" i="5"/>
  <c r="AP331" i="5" s="1"/>
  <c r="AF315" i="5"/>
  <c r="AF299" i="5"/>
  <c r="AP299" i="5" s="1"/>
  <c r="AF283" i="5"/>
  <c r="AP283" i="5" s="1"/>
  <c r="AF267" i="5"/>
  <c r="AF251" i="5"/>
  <c r="AF235" i="5"/>
  <c r="AF219" i="5"/>
  <c r="AP219" i="5" s="1"/>
  <c r="AF203" i="5"/>
  <c r="AF187" i="5"/>
  <c r="AF171" i="5"/>
  <c r="AF155" i="5"/>
  <c r="AP155" i="5" s="1"/>
  <c r="AF139" i="5"/>
  <c r="AP139" i="5" s="1"/>
  <c r="AF123" i="5"/>
  <c r="AF107" i="5"/>
  <c r="AP107" i="5" s="1"/>
  <c r="AF91" i="5"/>
  <c r="AP91" i="5" s="1"/>
  <c r="AF75" i="5"/>
  <c r="AF59" i="5"/>
  <c r="AF43" i="5"/>
  <c r="AF7" i="5"/>
  <c r="AP7" i="5" s="1"/>
  <c r="AF9" i="5"/>
  <c r="AF8" i="5"/>
  <c r="AP8" i="5" s="1"/>
  <c r="AF324" i="5"/>
  <c r="AP324" i="5" s="1"/>
  <c r="AF308" i="5"/>
  <c r="AF292" i="5"/>
  <c r="AP292" i="5" s="1"/>
  <c r="AF276" i="5"/>
  <c r="AF260" i="5"/>
  <c r="AP260" i="5" s="1"/>
  <c r="AF244" i="5"/>
  <c r="AP244" i="5" s="1"/>
  <c r="AF228" i="5"/>
  <c r="AP228" i="5" s="1"/>
  <c r="AF212" i="5"/>
  <c r="AP212" i="5" s="1"/>
  <c r="AF196" i="5"/>
  <c r="AP196" i="5" s="1"/>
  <c r="AF180" i="5"/>
  <c r="AP180" i="5" s="1"/>
  <c r="AF164" i="5"/>
  <c r="AP164" i="5" s="1"/>
  <c r="AF148" i="5"/>
  <c r="AP148" i="5" s="1"/>
  <c r="AF132" i="5"/>
  <c r="AF116" i="5"/>
  <c r="AP116" i="5" s="1"/>
  <c r="AF100" i="5"/>
  <c r="AP100" i="5" s="1"/>
  <c r="AF84" i="5"/>
  <c r="AP84" i="5" s="1"/>
  <c r="AF68" i="5"/>
  <c r="AF52" i="5"/>
  <c r="AP52" i="5" s="1"/>
  <c r="AF38" i="5"/>
  <c r="AF22" i="5"/>
  <c r="AP22" i="5" s="1"/>
  <c r="AF547" i="5"/>
  <c r="AF531" i="5"/>
  <c r="AF515" i="5"/>
  <c r="AP515" i="5" s="1"/>
  <c r="AF499" i="5"/>
  <c r="AF483" i="5"/>
  <c r="AF467" i="5"/>
  <c r="AP467" i="5" s="1"/>
  <c r="AF451" i="5"/>
  <c r="AF435" i="5"/>
  <c r="AF419" i="5"/>
  <c r="AF403" i="5"/>
  <c r="AP403" i="5" s="1"/>
  <c r="AF387" i="5"/>
  <c r="AP387" i="5" s="1"/>
  <c r="AF371" i="5"/>
  <c r="AF355" i="5"/>
  <c r="AF339" i="5"/>
  <c r="AP339" i="5" s="1"/>
  <c r="AF323" i="5"/>
  <c r="AF307" i="5"/>
  <c r="AP307" i="5" s="1"/>
  <c r="AF291" i="5"/>
  <c r="AF275" i="5"/>
  <c r="AP275" i="5" s="1"/>
  <c r="AF259" i="5"/>
  <c r="AF243" i="5"/>
  <c r="AP243" i="5" s="1"/>
  <c r="AF227" i="5"/>
  <c r="AP227" i="5" s="1"/>
  <c r="AF211" i="5"/>
  <c r="AF195" i="5"/>
  <c r="AP195" i="5" s="1"/>
  <c r="AF179" i="5"/>
  <c r="AF163" i="5"/>
  <c r="AF147" i="5"/>
  <c r="AF131" i="5"/>
  <c r="AF115" i="5"/>
  <c r="AF99" i="5"/>
  <c r="AP99" i="5" s="1"/>
  <c r="AF83" i="5"/>
  <c r="AP83" i="5" s="1"/>
  <c r="AF67" i="5"/>
  <c r="AP67" i="5" s="1"/>
  <c r="AF51" i="5"/>
  <c r="AP51" i="5" s="1"/>
  <c r="AF12" i="5"/>
  <c r="AP12" i="5" s="1"/>
  <c r="Q10" i="5"/>
  <c r="S10" i="5" s="1"/>
  <c r="AW10" i="5"/>
  <c r="AX10" i="5" s="1"/>
  <c r="B123" i="2"/>
  <c r="B125" i="2" s="1"/>
  <c r="O9" i="5"/>
  <c r="AM9" i="5" s="1"/>
  <c r="AG11" i="5"/>
  <c r="AH522" i="5"/>
  <c r="AI522" i="5"/>
  <c r="AI535" i="5"/>
  <c r="AH535" i="5"/>
  <c r="AH458" i="5"/>
  <c r="AI458" i="5"/>
  <c r="AI508" i="5"/>
  <c r="AI491" i="5"/>
  <c r="AH491" i="5"/>
  <c r="AH547" i="5"/>
  <c r="AH513" i="5"/>
  <c r="AI513" i="5"/>
  <c r="AH474" i="5"/>
  <c r="AI461" i="5"/>
  <c r="AH461" i="5"/>
  <c r="AH412" i="5"/>
  <c r="AI412" i="5"/>
  <c r="AH351" i="5"/>
  <c r="AI351" i="5"/>
  <c r="AH284" i="5"/>
  <c r="AI284" i="5"/>
  <c r="AI226" i="5"/>
  <c r="AH226" i="5"/>
  <c r="AH416" i="5"/>
  <c r="AI416" i="5"/>
  <c r="AI367" i="5"/>
  <c r="AH337" i="5"/>
  <c r="AI337" i="5"/>
  <c r="AI265" i="5"/>
  <c r="AH265" i="5"/>
  <c r="AI239" i="5"/>
  <c r="AH239" i="5"/>
  <c r="AH207" i="5"/>
  <c r="AI207" i="5"/>
  <c r="AI473" i="5"/>
  <c r="AH473" i="5"/>
  <c r="AH442" i="5"/>
  <c r="AI442" i="5"/>
  <c r="AH410" i="5"/>
  <c r="AI410" i="5"/>
  <c r="AI384" i="5"/>
  <c r="AH384" i="5"/>
  <c r="AH361" i="5"/>
  <c r="AI361" i="5"/>
  <c r="AH334" i="5"/>
  <c r="AI334" i="5"/>
  <c r="AI321" i="5"/>
  <c r="AH321" i="5"/>
  <c r="AI300" i="5"/>
  <c r="AH300" i="5"/>
  <c r="AH227" i="5"/>
  <c r="AI227" i="5"/>
  <c r="AH195" i="5"/>
  <c r="AI195" i="5"/>
  <c r="AI427" i="5"/>
  <c r="AH427" i="5"/>
  <c r="AH382" i="5"/>
  <c r="AI382" i="5"/>
  <c r="AH354" i="5"/>
  <c r="AI354" i="5"/>
  <c r="AH306" i="5"/>
  <c r="AI306" i="5"/>
  <c r="AH282" i="5"/>
  <c r="AI282" i="5"/>
  <c r="AH266" i="5"/>
  <c r="AI266" i="5"/>
  <c r="AI243" i="5"/>
  <c r="AH243" i="5"/>
  <c r="AH217" i="5"/>
  <c r="AI217" i="5"/>
  <c r="AH192" i="5"/>
  <c r="AI192" i="5"/>
  <c r="AH172" i="5"/>
  <c r="AI172" i="5"/>
  <c r="AH141" i="5"/>
  <c r="AI141" i="5"/>
  <c r="AH125" i="5"/>
  <c r="AI125" i="5"/>
  <c r="AI109" i="5"/>
  <c r="AH93" i="5"/>
  <c r="AI93" i="5"/>
  <c r="AH72" i="5"/>
  <c r="AI55" i="5"/>
  <c r="AH55" i="5"/>
  <c r="AH164" i="5"/>
  <c r="AI164" i="5"/>
  <c r="AH114" i="5"/>
  <c r="AI114" i="5"/>
  <c r="AI89" i="5"/>
  <c r="AH89" i="5"/>
  <c r="AH65" i="5"/>
  <c r="AI65" i="5"/>
  <c r="AH174" i="5"/>
  <c r="AI174" i="5"/>
  <c r="AH145" i="5"/>
  <c r="AI145" i="5"/>
  <c r="AH112" i="5"/>
  <c r="AI112" i="5"/>
  <c r="AH77" i="5"/>
  <c r="AI77" i="5"/>
  <c r="AI186" i="5"/>
  <c r="AH186" i="5"/>
  <c r="AH148" i="5"/>
  <c r="AI148" i="5"/>
  <c r="AH106" i="5"/>
  <c r="AI106" i="5"/>
  <c r="AH74" i="5"/>
  <c r="AI74" i="5"/>
  <c r="AH58" i="5"/>
  <c r="AI58" i="5"/>
  <c r="AH36" i="5"/>
  <c r="AI36" i="5"/>
  <c r="AH37" i="5"/>
  <c r="AI37" i="5"/>
  <c r="AI29" i="5"/>
  <c r="AH21" i="5"/>
  <c r="AI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7" i="5"/>
  <c r="AH533" i="5"/>
  <c r="AH520" i="5"/>
  <c r="AH526" i="5"/>
  <c r="AH469" i="5"/>
  <c r="AI469" i="5"/>
  <c r="AI475" i="5"/>
  <c r="AH434" i="5"/>
  <c r="AI434" i="5"/>
  <c r="AH402" i="5"/>
  <c r="AI329" i="5"/>
  <c r="AI309" i="5"/>
  <c r="AH309" i="5"/>
  <c r="AH254" i="5"/>
  <c r="AI254" i="5"/>
  <c r="AI240" i="5"/>
  <c r="AI364" i="5"/>
  <c r="AH364" i="5"/>
  <c r="AI234" i="5"/>
  <c r="AH234" i="5"/>
  <c r="AH488" i="5"/>
  <c r="AI488" i="5"/>
  <c r="AH409" i="5"/>
  <c r="AI409" i="5"/>
  <c r="AH373" i="5"/>
  <c r="AI373" i="5"/>
  <c r="AI360" i="5"/>
  <c r="AI320" i="5"/>
  <c r="AH320" i="5"/>
  <c r="AI225" i="5"/>
  <c r="AI440" i="5"/>
  <c r="AH424" i="5"/>
  <c r="AI424" i="5"/>
  <c r="AI408" i="5"/>
  <c r="AH363" i="5"/>
  <c r="AI363" i="5"/>
  <c r="AH279" i="5"/>
  <c r="AI279" i="5"/>
  <c r="AI253" i="5"/>
  <c r="AH253" i="5"/>
  <c r="AI190" i="5"/>
  <c r="AH190" i="5"/>
  <c r="AH90" i="5"/>
  <c r="AI90" i="5"/>
  <c r="AH180" i="5"/>
  <c r="AI180" i="5"/>
  <c r="AH136" i="5"/>
  <c r="AI136" i="5"/>
  <c r="AI97" i="5"/>
  <c r="AH97" i="5"/>
  <c r="AH78" i="5"/>
  <c r="AI78" i="5"/>
  <c r="AI182" i="5"/>
  <c r="AH182" i="5"/>
  <c r="AH154" i="5"/>
  <c r="AI154" i="5"/>
  <c r="AH144" i="5"/>
  <c r="AH118" i="5"/>
  <c r="AI118" i="5"/>
  <c r="AH91" i="5"/>
  <c r="AI91" i="5"/>
  <c r="AH193" i="5"/>
  <c r="AI193" i="5"/>
  <c r="AH152" i="5"/>
  <c r="AI152" i="5"/>
  <c r="AH121" i="5"/>
  <c r="AI121" i="5"/>
  <c r="AH83" i="5"/>
  <c r="AI83" i="5"/>
  <c r="AH63" i="5"/>
  <c r="AI63" i="5"/>
  <c r="AH48" i="5"/>
  <c r="AI48" i="5"/>
  <c r="AH42" i="5"/>
  <c r="AI42" i="5"/>
  <c r="AH26" i="5"/>
  <c r="AI26" i="5"/>
  <c r="AH8" i="5"/>
  <c r="AI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H466" i="5"/>
  <c r="AI466" i="5"/>
  <c r="AI515" i="5"/>
  <c r="AH515" i="5"/>
  <c r="AH496" i="5"/>
  <c r="AI558" i="5"/>
  <c r="AH558" i="5"/>
  <c r="AI521" i="5"/>
  <c r="AH485" i="5"/>
  <c r="AH449" i="5"/>
  <c r="AI260" i="5"/>
  <c r="AI196" i="5"/>
  <c r="AI218" i="5"/>
  <c r="AH218" i="5"/>
  <c r="AI202" i="5"/>
  <c r="AH202" i="5"/>
  <c r="AI439" i="5"/>
  <c r="AH439" i="5"/>
  <c r="AH389" i="5"/>
  <c r="AH379" i="5"/>
  <c r="AI379" i="5"/>
  <c r="AH331" i="5"/>
  <c r="AI331" i="5"/>
  <c r="AI303" i="5"/>
  <c r="AH252" i="5"/>
  <c r="AI252" i="5"/>
  <c r="AI208" i="5"/>
  <c r="AH446" i="5"/>
  <c r="AI446" i="5"/>
  <c r="AH430" i="5"/>
  <c r="AH395" i="5"/>
  <c r="AI395" i="5"/>
  <c r="AH369" i="5"/>
  <c r="AI369" i="5"/>
  <c r="AI301" i="5"/>
  <c r="AH301" i="5"/>
  <c r="AH270" i="5"/>
  <c r="AI270" i="5"/>
  <c r="AH262" i="5"/>
  <c r="AI262" i="5"/>
  <c r="AH212" i="5"/>
  <c r="AI212" i="5"/>
  <c r="AH178" i="5"/>
  <c r="AI178" i="5"/>
  <c r="AI169" i="5"/>
  <c r="AH169" i="5"/>
  <c r="AH120" i="5"/>
  <c r="AI120" i="5"/>
  <c r="AI81" i="5"/>
  <c r="AI64" i="5"/>
  <c r="AH64" i="5"/>
  <c r="AI173" i="5"/>
  <c r="AH173" i="5"/>
  <c r="AI156" i="5"/>
  <c r="AH156" i="5"/>
  <c r="AI177" i="5"/>
  <c r="AH177" i="5"/>
  <c r="AI160" i="5"/>
  <c r="AI139" i="5"/>
  <c r="AH139" i="5"/>
  <c r="AH85" i="5"/>
  <c r="AI85" i="5"/>
  <c r="AH191" i="5"/>
  <c r="AI191" i="5"/>
  <c r="AH167" i="5"/>
  <c r="AI167" i="5"/>
  <c r="AI130" i="5"/>
  <c r="AH62" i="5"/>
  <c r="AI62" i="5"/>
  <c r="AH28" i="5"/>
  <c r="AI28" i="5"/>
  <c r="AH25" i="5"/>
  <c r="AI25" i="5"/>
  <c r="AH13" i="5"/>
  <c r="AI13"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525" i="5"/>
  <c r="AH525" i="5"/>
  <c r="AI538" i="5"/>
  <c r="AH538" i="5"/>
  <c r="AH494" i="5"/>
  <c r="AH559" i="5"/>
  <c r="AI559" i="5"/>
  <c r="AH503" i="5"/>
  <c r="AI503" i="5"/>
  <c r="AH456" i="5"/>
  <c r="AI456" i="5"/>
  <c r="AH431" i="5"/>
  <c r="AI399" i="5"/>
  <c r="AH399" i="5"/>
  <c r="AI359" i="5"/>
  <c r="AH342" i="5"/>
  <c r="AI342" i="5"/>
  <c r="AH272" i="5"/>
  <c r="AI272" i="5"/>
  <c r="AH246" i="5"/>
  <c r="AH205" i="5"/>
  <c r="AI205" i="5"/>
  <c r="AI435" i="5"/>
  <c r="AI403" i="5"/>
  <c r="AH403" i="5"/>
  <c r="AI339" i="5"/>
  <c r="AH324" i="5"/>
  <c r="AI324" i="5"/>
  <c r="AI285" i="5"/>
  <c r="AH285" i="5"/>
  <c r="AH228" i="5"/>
  <c r="AI228" i="5"/>
  <c r="AH187" i="5"/>
  <c r="AI187" i="5"/>
  <c r="AI467" i="5"/>
  <c r="AH467" i="5"/>
  <c r="AH436" i="5"/>
  <c r="AI436" i="5"/>
  <c r="AH404" i="5"/>
  <c r="AI404" i="5"/>
  <c r="AH378" i="5"/>
  <c r="AI378" i="5"/>
  <c r="AI352" i="5"/>
  <c r="AH352" i="5"/>
  <c r="AH330" i="5"/>
  <c r="AI330" i="5"/>
  <c r="AI313" i="5"/>
  <c r="AH313" i="5"/>
  <c r="AH251" i="5"/>
  <c r="AI251" i="5"/>
  <c r="AH220" i="5"/>
  <c r="AI220" i="5"/>
  <c r="AH445" i="5"/>
  <c r="AI445" i="5"/>
  <c r="AH413" i="5"/>
  <c r="AI413" i="5"/>
  <c r="AI368" i="5"/>
  <c r="AH368" i="5"/>
  <c r="AI340" i="5"/>
  <c r="AH340" i="5"/>
  <c r="AH291" i="5"/>
  <c r="AI291" i="5"/>
  <c r="AH275" i="5"/>
  <c r="AI275" i="5"/>
  <c r="AH256" i="5"/>
  <c r="AI256" i="5"/>
  <c r="AH233" i="5"/>
  <c r="AI233" i="5"/>
  <c r="AI210" i="5"/>
  <c r="AH210" i="5"/>
  <c r="AH184" i="5"/>
  <c r="AI184" i="5"/>
  <c r="AH166" i="5"/>
  <c r="AI166" i="5"/>
  <c r="AI134" i="5"/>
  <c r="AH134" i="5"/>
  <c r="AH110" i="5"/>
  <c r="AI110" i="5"/>
  <c r="AH76" i="5"/>
  <c r="AI76" i="5"/>
  <c r="AI185" i="5"/>
  <c r="AH185" i="5"/>
  <c r="AI155" i="5"/>
  <c r="AH155" i="5"/>
  <c r="AH108" i="5"/>
  <c r="AI108" i="5"/>
  <c r="AI84" i="5"/>
  <c r="AH84" i="5"/>
  <c r="AI50" i="5"/>
  <c r="AH50" i="5"/>
  <c r="AH159" i="5"/>
  <c r="AI159" i="5"/>
  <c r="AI135" i="5"/>
  <c r="AH135" i="5"/>
  <c r="AI99" i="5"/>
  <c r="AH99" i="5"/>
  <c r="AH47" i="5"/>
  <c r="AI47" i="5"/>
  <c r="AI165" i="5"/>
  <c r="AH165" i="5"/>
  <c r="AH129" i="5"/>
  <c r="AI129" i="5"/>
  <c r="AH100" i="5"/>
  <c r="AI100" i="5"/>
  <c r="AH67" i="5"/>
  <c r="AI67" i="5"/>
  <c r="AH53" i="5"/>
  <c r="AI53" i="5"/>
  <c r="AH24" i="5"/>
  <c r="AI24" i="5"/>
  <c r="AH30" i="5"/>
  <c r="AI30" i="5"/>
  <c r="AH27" i="5"/>
  <c r="AI27"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AP430" i="5"/>
  <c r="AP361" i="5"/>
  <c r="AP282" i="5"/>
  <c r="AP234" i="5"/>
  <c r="AP469" i="5"/>
  <c r="AP36"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N146" i="4" l="1"/>
  <c r="AN40" i="4"/>
  <c r="AN132" i="4"/>
  <c r="AN97" i="4"/>
  <c r="AN84" i="4"/>
  <c r="AN133" i="4"/>
  <c r="AN58" i="4"/>
  <c r="AN86" i="4"/>
  <c r="AN139" i="4"/>
  <c r="AN27" i="4"/>
  <c r="AN106" i="4"/>
  <c r="AN26" i="4"/>
  <c r="AN9" i="4"/>
  <c r="AN12" i="4"/>
  <c r="AN89" i="4"/>
  <c r="AN37" i="4"/>
  <c r="AN125" i="4"/>
  <c r="AI22" i="5"/>
  <c r="AH60" i="5"/>
  <c r="AI302" i="5"/>
  <c r="AI479" i="5"/>
  <c r="AH338" i="5"/>
  <c r="AP71" i="5"/>
  <c r="AR71" i="5" s="1"/>
  <c r="AP479" i="5"/>
  <c r="AR479" i="5" s="1"/>
  <c r="AP133" i="5"/>
  <c r="AP31" i="5"/>
  <c r="AP209" i="5"/>
  <c r="AP518" i="5"/>
  <c r="AI319" i="5"/>
  <c r="AN74" i="4"/>
  <c r="AP373" i="5"/>
  <c r="BI373" i="5" s="1"/>
  <c r="AN156" i="4"/>
  <c r="AN121" i="4"/>
  <c r="AI380" i="5"/>
  <c r="AP145" i="5"/>
  <c r="AP182" i="5"/>
  <c r="AN157" i="4"/>
  <c r="AN68" i="4"/>
  <c r="AN81" i="4"/>
  <c r="AN92" i="4"/>
  <c r="AN135" i="4"/>
  <c r="AN142" i="4"/>
  <c r="AN10" i="4"/>
  <c r="AN36" i="4"/>
  <c r="AH341" i="5"/>
  <c r="AP296" i="5"/>
  <c r="BI296" i="5" s="1"/>
  <c r="AP280" i="5"/>
  <c r="BI280" i="5" s="1"/>
  <c r="AP273" i="5"/>
  <c r="BI273" i="5" s="1"/>
  <c r="AP306" i="5"/>
  <c r="AP542" i="5"/>
  <c r="AN136" i="4"/>
  <c r="AN33" i="4"/>
  <c r="AN78" i="4"/>
  <c r="AH421" i="5"/>
  <c r="AN124" i="4"/>
  <c r="AN120" i="4"/>
  <c r="AP289" i="5"/>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P75" i="5"/>
  <c r="AP267" i="5"/>
  <c r="AR267" i="5" s="1"/>
  <c r="AP72" i="5"/>
  <c r="BI72" i="5" s="1"/>
  <c r="AP88" i="5"/>
  <c r="BI88" i="5" s="1"/>
  <c r="AP79" i="5"/>
  <c r="AP35" i="5"/>
  <c r="AP157" i="5"/>
  <c r="AP221" i="5"/>
  <c r="AP149" i="5"/>
  <c r="AP213" i="5"/>
  <c r="BI213" i="5" s="1"/>
  <c r="AP393" i="5"/>
  <c r="AR393" i="5" s="1"/>
  <c r="AP32" i="5"/>
  <c r="AR32" i="5" s="1"/>
  <c r="AP318" i="5"/>
  <c r="AP29" i="5"/>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AP411" i="5"/>
  <c r="AP60" i="5"/>
  <c r="AP124" i="5"/>
  <c r="BI124" i="5" s="1"/>
  <c r="AP391" i="5"/>
  <c r="BI391" i="5" s="1"/>
  <c r="AP407" i="5"/>
  <c r="BI407" i="5" s="1"/>
  <c r="AP232" i="5"/>
  <c r="AP80" i="5"/>
  <c r="AP312" i="5"/>
  <c r="AP229" i="5"/>
  <c r="AP293" i="5"/>
  <c r="AP126" i="5"/>
  <c r="BI126" i="5" s="1"/>
  <c r="AP49" i="5"/>
  <c r="BI49" i="5" s="1"/>
  <c r="AP146" i="5"/>
  <c r="BI146" i="5" s="1"/>
  <c r="AP158" i="5"/>
  <c r="AQ158" i="5" s="1"/>
  <c r="AP386" i="5"/>
  <c r="AP206" i="5"/>
  <c r="AP302" i="5"/>
  <c r="AP350" i="5"/>
  <c r="AP278" i="5"/>
  <c r="AQ278" i="5" s="1"/>
  <c r="AI549" i="5"/>
  <c r="AH510" i="5"/>
  <c r="AH31" i="5"/>
  <c r="AH56" i="5"/>
  <c r="AI372" i="5"/>
  <c r="AI486" i="5"/>
  <c r="AH383" i="5"/>
  <c r="AH68" i="5"/>
  <c r="AI335" i="5"/>
  <c r="AH554" i="5"/>
  <c r="AP336" i="5"/>
  <c r="AP175" i="5"/>
  <c r="AP319" i="5"/>
  <c r="AP463" i="5"/>
  <c r="AP144" i="5"/>
  <c r="AP61" i="5"/>
  <c r="AQ61" i="5" s="1"/>
  <c r="AP189" i="5"/>
  <c r="BI189" i="5" s="1"/>
  <c r="AP117" i="5"/>
  <c r="AQ117" i="5" s="1"/>
  <c r="AP181" i="5"/>
  <c r="AP385" i="5"/>
  <c r="AP274" i="5"/>
  <c r="AP338" i="5"/>
  <c r="AP524" i="5"/>
  <c r="AP41" i="5"/>
  <c r="BI41" i="5" s="1"/>
  <c r="AP414" i="5"/>
  <c r="BI414" i="5" s="1"/>
  <c r="AH504" i="5"/>
  <c r="AI482" i="5"/>
  <c r="AI82" i="5"/>
  <c r="AI280" i="5"/>
  <c r="AI448" i="5"/>
  <c r="AI492" i="5"/>
  <c r="AI273" i="5"/>
  <c r="AI516" i="5"/>
  <c r="AI287" i="5"/>
  <c r="AI390" i="5"/>
  <c r="AI555" i="5"/>
  <c r="AH111" i="5"/>
  <c r="AI223" i="5"/>
  <c r="AI346" i="5"/>
  <c r="AH238" i="5"/>
  <c r="AH511" i="5"/>
  <c r="AH140" i="5"/>
  <c r="AP334" i="5"/>
  <c r="AQ334" i="5" s="1"/>
  <c r="AH299" i="5"/>
  <c r="AH388" i="5"/>
  <c r="AI394" i="5"/>
  <c r="AH471" i="5"/>
  <c r="AH107" i="5"/>
  <c r="AH230" i="5"/>
  <c r="AI326" i="5"/>
  <c r="AH507" i="5"/>
  <c r="AI468" i="5"/>
  <c r="AI560" i="5"/>
  <c r="AP507" i="5"/>
  <c r="AP408" i="5"/>
  <c r="AP471" i="5"/>
  <c r="AQ471" i="5" s="1"/>
  <c r="AP527" i="5"/>
  <c r="BI527" i="5" s="1"/>
  <c r="AP560" i="5"/>
  <c r="BI560" i="5" s="1"/>
  <c r="AP468" i="5"/>
  <c r="AQ468" i="5" s="1"/>
  <c r="AI101" i="5"/>
  <c r="AH317" i="5"/>
  <c r="AI532" i="5"/>
  <c r="AH459" i="5"/>
  <c r="AH311" i="5"/>
  <c r="AI406" i="5"/>
  <c r="AH556" i="5"/>
  <c r="AP459" i="5"/>
  <c r="AQ459" i="5" s="1"/>
  <c r="AP303" i="5"/>
  <c r="AP218" i="5"/>
  <c r="AP389" i="5"/>
  <c r="AP485" i="5"/>
  <c r="AP394" i="5"/>
  <c r="AR394" i="5" s="1"/>
  <c r="AP475" i="5"/>
  <c r="AR475" i="5" s="1"/>
  <c r="AP532" i="5"/>
  <c r="AR532" i="5" s="1"/>
  <c r="AP101" i="5"/>
  <c r="AR101" i="5" s="1"/>
  <c r="AP329" i="5"/>
  <c r="AH355" i="5"/>
  <c r="AH73" i="5"/>
  <c r="AI455" i="5"/>
  <c r="AI543" i="5"/>
  <c r="AI179" i="5"/>
  <c r="AH347" i="5"/>
  <c r="AI211" i="5"/>
  <c r="AH261" i="5"/>
  <c r="AH296" i="5"/>
  <c r="AH387" i="5"/>
  <c r="AH444" i="5"/>
  <c r="AP435" i="5"/>
  <c r="AR435" i="5" s="1"/>
  <c r="AP187" i="5"/>
  <c r="BI187" i="5" s="1"/>
  <c r="AP251" i="5"/>
  <c r="AR251" i="5" s="1"/>
  <c r="AP315" i="5"/>
  <c r="AR315" i="5" s="1"/>
  <c r="AP379" i="5"/>
  <c r="AP455" i="5"/>
  <c r="AP472" i="5"/>
  <c r="AP480" i="5"/>
  <c r="AP191" i="5"/>
  <c r="BI191" i="5" s="1"/>
  <c r="AP552" i="5"/>
  <c r="BI552" i="5" s="1"/>
  <c r="AP185" i="5"/>
  <c r="BI185" i="5" s="1"/>
  <c r="AP378" i="5"/>
  <c r="AP442" i="5"/>
  <c r="AP382" i="5"/>
  <c r="AH305" i="5"/>
  <c r="AI480" i="5"/>
  <c r="AH531" i="5"/>
  <c r="AI529" i="5"/>
  <c r="AI128" i="5"/>
  <c r="AI315" i="5"/>
  <c r="AI292" i="5"/>
  <c r="AH365" i="5"/>
  <c r="AH242" i="5"/>
  <c r="AI472" i="5"/>
  <c r="AH542" i="5"/>
  <c r="AH257" i="5"/>
  <c r="AI314" i="5"/>
  <c r="AI552" i="5"/>
  <c r="AI544" i="5"/>
  <c r="AP531" i="5"/>
  <c r="AP347" i="5"/>
  <c r="AP135" i="5"/>
  <c r="BI135" i="5" s="1"/>
  <c r="AP448" i="5"/>
  <c r="BI448" i="5" s="1"/>
  <c r="AP111" i="5"/>
  <c r="AR111" i="5" s="1"/>
  <c r="AP367" i="5"/>
  <c r="BI367" i="5" s="1"/>
  <c r="AP444" i="5"/>
  <c r="BI444" i="5" s="1"/>
  <c r="AP548" i="5"/>
  <c r="AP173" i="5"/>
  <c r="AP300" i="5"/>
  <c r="AP210" i="5"/>
  <c r="BI210" i="5" s="1"/>
  <c r="AP129" i="5"/>
  <c r="AQ129" i="5" s="1"/>
  <c r="AP24" i="5"/>
  <c r="BI24" i="5" s="1"/>
  <c r="AP21" i="5"/>
  <c r="AR21" i="5" s="1"/>
  <c r="AP291" i="5"/>
  <c r="BI291" i="5" s="1"/>
  <c r="AP355" i="5"/>
  <c r="AP547" i="5"/>
  <c r="AP555" i="5"/>
  <c r="AP140" i="5"/>
  <c r="BI140" i="5" s="1"/>
  <c r="AP252" i="5"/>
  <c r="AR252" i="5" s="1"/>
  <c r="AP431" i="5"/>
  <c r="AQ431" i="5" s="1"/>
  <c r="AP544" i="5"/>
  <c r="BI544" i="5" s="1"/>
  <c r="AP508" i="5"/>
  <c r="BI508" i="5" s="1"/>
  <c r="AP436" i="5"/>
  <c r="AP50" i="5"/>
  <c r="AP166" i="5"/>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BI308" i="5" s="1"/>
  <c r="AP263" i="5"/>
  <c r="AQ263" i="5" s="1"/>
  <c r="AP519" i="5"/>
  <c r="AQ519" i="5" s="1"/>
  <c r="AP151" i="5"/>
  <c r="AQ151" i="5" s="1"/>
  <c r="AP316" i="5"/>
  <c r="AP143" i="5"/>
  <c r="AP335" i="5"/>
  <c r="AP216" i="5"/>
  <c r="AR216" i="5" s="1"/>
  <c r="AP237" i="5"/>
  <c r="AQ237" i="5" s="1"/>
  <c r="AP357" i="5"/>
  <c r="BI357" i="5" s="1"/>
  <c r="AP249" i="5"/>
  <c r="AR249" i="5" s="1"/>
  <c r="AP433" i="5"/>
  <c r="AR433" i="5" s="1"/>
  <c r="AP557" i="5"/>
  <c r="AP453" i="5"/>
  <c r="AP450" i="5"/>
  <c r="AP549" i="5"/>
  <c r="BI549" i="5" s="1"/>
  <c r="AP510" i="5"/>
  <c r="AQ510" i="5" s="1"/>
  <c r="AP374" i="5"/>
  <c r="BI374" i="5" s="1"/>
  <c r="AP454" i="5"/>
  <c r="BI454" i="5" s="1"/>
  <c r="AH362" i="5"/>
  <c r="AP68" i="5"/>
  <c r="AP132" i="5"/>
  <c r="AP171" i="5"/>
  <c r="AP392" i="5"/>
  <c r="AR392" i="5" s="1"/>
  <c r="AP400" i="5"/>
  <c r="AQ400" i="5" s="1"/>
  <c r="AP460" i="5"/>
  <c r="BI460" i="5" s="1"/>
  <c r="AP536" i="5"/>
  <c r="BI536" i="5" s="1"/>
  <c r="AP383" i="5"/>
  <c r="AR383" i="5" s="1"/>
  <c r="AP476" i="5"/>
  <c r="AP39" i="5"/>
  <c r="AP425" i="5"/>
  <c r="AP553" i="5"/>
  <c r="AQ553" i="5" s="1"/>
  <c r="AP381" i="5"/>
  <c r="AR381" i="5" s="1"/>
  <c r="AP298" i="5"/>
  <c r="AQ298" i="5" s="1"/>
  <c r="AP554" i="5"/>
  <c r="AQ554" i="5" s="1"/>
  <c r="AP486" i="5"/>
  <c r="AQ486" i="5" s="1"/>
  <c r="AP498" i="5"/>
  <c r="AP517" i="5"/>
  <c r="AP259" i="5"/>
  <c r="AP323" i="5"/>
  <c r="AQ323" i="5" s="1"/>
  <c r="AP203" i="5"/>
  <c r="BI203" i="5" s="1"/>
  <c r="AP103" i="5"/>
  <c r="BI103" i="5" s="1"/>
  <c r="AP375" i="5"/>
  <c r="BI375" i="5" s="1"/>
  <c r="AP396" i="5"/>
  <c r="BI396" i="5" s="1"/>
  <c r="AP268" i="5"/>
  <c r="AP512" i="5"/>
  <c r="AP277" i="5"/>
  <c r="BI277" i="5" s="1"/>
  <c r="AP297" i="5"/>
  <c r="AQ297" i="5" s="1"/>
  <c r="AP372" i="5"/>
  <c r="AQ372" i="5" s="1"/>
  <c r="AP481" i="5"/>
  <c r="BI481" i="5" s="1"/>
  <c r="AP545" i="5"/>
  <c r="AR545" i="5" s="1"/>
  <c r="AP397" i="5"/>
  <c r="BI397" i="5" s="1"/>
  <c r="AP437" i="5"/>
  <c r="AP230" i="5"/>
  <c r="AP492" i="5"/>
  <c r="AP369" i="5"/>
  <c r="AR369" i="5" s="1"/>
  <c r="AP346" i="5"/>
  <c r="BI346" i="5" s="1"/>
  <c r="AP305" i="5"/>
  <c r="AR305" i="5" s="1"/>
  <c r="AP482" i="5"/>
  <c r="BI482" i="5" s="1"/>
  <c r="AP380" i="5"/>
  <c r="AQ380" i="5" s="1"/>
  <c r="AP128" i="5"/>
  <c r="AP73" i="5"/>
  <c r="AP529" i="5"/>
  <c r="AP130" i="5"/>
  <c r="AR130" i="5" s="1"/>
  <c r="AP202" i="5"/>
  <c r="AQ202" i="5" s="1"/>
  <c r="AP365" i="5"/>
  <c r="BI365" i="5" s="1"/>
  <c r="AP82" i="5"/>
  <c r="AR82" i="5" s="1"/>
  <c r="AP257" i="5"/>
  <c r="AR257" i="5" s="1"/>
  <c r="AP421" i="5"/>
  <c r="AP314" i="5"/>
  <c r="AP238" i="5"/>
  <c r="AP262" i="5"/>
  <c r="AQ262" i="5" s="1"/>
  <c r="AP246" i="5"/>
  <c r="AR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E24" i="4"/>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Q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AZ11" i="5"/>
  <c r="AT11" i="5"/>
  <c r="T11" i="5"/>
  <c r="U11" i="5" s="1"/>
  <c r="Q11" i="5"/>
  <c r="AW11" i="5"/>
  <c r="AI241" i="5"/>
  <c r="AH241" i="5"/>
  <c r="AH419" i="5"/>
  <c r="AH415" i="5"/>
  <c r="AI462" i="5"/>
  <c r="AI52" i="5"/>
  <c r="AH286" i="5"/>
  <c r="AH258" i="5"/>
  <c r="AI162" i="5"/>
  <c r="AI219" i="5"/>
  <c r="AH127" i="5"/>
  <c r="AI477" i="5"/>
  <c r="AP115" i="5"/>
  <c r="AR115" i="5" s="1"/>
  <c r="AP499" i="5"/>
  <c r="BI499" i="5" s="1"/>
  <c r="AP276" i="5"/>
  <c r="BI276" i="5" s="1"/>
  <c r="AP59" i="5"/>
  <c r="AP123" i="5"/>
  <c r="AQ123" i="5" s="1"/>
  <c r="AP443" i="5"/>
  <c r="BI443" i="5" s="1"/>
  <c r="AP92" i="5"/>
  <c r="BI92" i="5" s="1"/>
  <c r="AP163" i="5"/>
  <c r="BI163" i="5" s="1"/>
  <c r="AP419" i="5"/>
  <c r="AQ419" i="5" s="1"/>
  <c r="AP483" i="5"/>
  <c r="AQ483" i="5" s="1"/>
  <c r="AP43" i="5"/>
  <c r="BI43" i="5" s="1"/>
  <c r="AP235" i="5"/>
  <c r="AP19" i="5"/>
  <c r="BI19" i="5" s="1"/>
  <c r="AP295" i="5"/>
  <c r="BI295" i="5" s="1"/>
  <c r="AP423" i="5"/>
  <c r="AR423" i="5" s="1"/>
  <c r="AP328" i="5"/>
  <c r="AR328" i="5" s="1"/>
  <c r="AP183" i="5"/>
  <c r="BI183" i="5" s="1"/>
  <c r="AP464" i="5"/>
  <c r="AQ464" i="5" s="1"/>
  <c r="AP95" i="5"/>
  <c r="BI95" i="5" s="1"/>
  <c r="AP332" i="5"/>
  <c r="AP34" i="5"/>
  <c r="AQ34" i="5" s="1"/>
  <c r="AP176" i="5"/>
  <c r="AR176" i="5" s="1"/>
  <c r="AP420" i="5"/>
  <c r="AQ420" i="5" s="1"/>
  <c r="AP23" i="5"/>
  <c r="BI23" i="5" s="1"/>
  <c r="AP245" i="5"/>
  <c r="AQ245" i="5" s="1"/>
  <c r="AP142" i="5"/>
  <c r="AQ142" i="5" s="1"/>
  <c r="AP153" i="5"/>
  <c r="AR153" i="5" s="1"/>
  <c r="AP281" i="5"/>
  <c r="AP102" i="5"/>
  <c r="BI102" i="5" s="1"/>
  <c r="AP98" i="5"/>
  <c r="BI98" i="5" s="1"/>
  <c r="AP162" i="5"/>
  <c r="BI162" i="5" s="1"/>
  <c r="AP533" i="5"/>
  <c r="BI533" i="5" s="1"/>
  <c r="AP426" i="5"/>
  <c r="AQ426" i="5" s="1"/>
  <c r="AP198" i="5"/>
  <c r="AQ198" i="5" s="1"/>
  <c r="AP422" i="5"/>
  <c r="AQ422" i="5" s="1"/>
  <c r="AP286" i="5"/>
  <c r="AP327" i="5"/>
  <c r="AQ327" i="5" s="1"/>
  <c r="AP168" i="5"/>
  <c r="AR168" i="5" s="1"/>
  <c r="AP264" i="5"/>
  <c r="AR264" i="5" s="1"/>
  <c r="AP344" i="5"/>
  <c r="AQ344" i="5" s="1"/>
  <c r="AP87" i="5"/>
  <c r="BI87" i="5" s="1"/>
  <c r="AP215" i="5"/>
  <c r="BI215" i="5" s="1"/>
  <c r="AP343" i="5"/>
  <c r="BI343" i="5" s="1"/>
  <c r="AP415" i="5"/>
  <c r="AP224" i="5"/>
  <c r="BI224" i="5" s="1"/>
  <c r="AP484" i="5"/>
  <c r="AR484" i="5" s="1"/>
  <c r="AP269" i="5"/>
  <c r="BI269" i="5" s="1"/>
  <c r="AP333" i="5"/>
  <c r="AQ333" i="5" s="1"/>
  <c r="AP197" i="5"/>
  <c r="BI197" i="5" s="1"/>
  <c r="AP325" i="5"/>
  <c r="BI325" i="5" s="1"/>
  <c r="AP377" i="5"/>
  <c r="AR377" i="5" s="1"/>
  <c r="AP441" i="5"/>
  <c r="AP94" i="5"/>
  <c r="AR94" i="5" s="1"/>
  <c r="AP401" i="5"/>
  <c r="AQ401" i="5" s="1"/>
  <c r="AP161" i="5"/>
  <c r="AR161" i="5" s="1"/>
  <c r="AP290" i="5"/>
  <c r="AQ290" i="5" s="1"/>
  <c r="AP418" i="5"/>
  <c r="AR418" i="5" s="1"/>
  <c r="AP138" i="5"/>
  <c r="BI138" i="5" s="1"/>
  <c r="AP366" i="5"/>
  <c r="BI366" i="5" s="1"/>
  <c r="AP478" i="5"/>
  <c r="AP438" i="5"/>
  <c r="BI438" i="5" s="1"/>
  <c r="AP534" i="5"/>
  <c r="BI534" i="5" s="1"/>
  <c r="AP33" i="5"/>
  <c r="AQ33" i="5" s="1"/>
  <c r="AP131" i="5"/>
  <c r="BI131" i="5" s="1"/>
  <c r="AP38" i="5"/>
  <c r="AQ38" i="5" s="1"/>
  <c r="AP523" i="5"/>
  <c r="AR523" i="5" s="1"/>
  <c r="AP44" i="5"/>
  <c r="AR44" i="5" s="1"/>
  <c r="AP231" i="5"/>
  <c r="AP359" i="5"/>
  <c r="BI359" i="5" s="1"/>
  <c r="AP487" i="5"/>
  <c r="AQ487" i="5" s="1"/>
  <c r="AP119" i="5"/>
  <c r="AQ119" i="5" s="1"/>
  <c r="AP247" i="5"/>
  <c r="BI247" i="5" s="1"/>
  <c r="AP432" i="5"/>
  <c r="AQ432" i="5" s="1"/>
  <c r="AP127" i="5"/>
  <c r="BI127" i="5" s="1"/>
  <c r="AP255" i="5"/>
  <c r="BI255" i="5" s="1"/>
  <c r="AP248" i="5"/>
  <c r="AP271" i="5"/>
  <c r="AQ271" i="5" s="1"/>
  <c r="AP160" i="5"/>
  <c r="AQ160" i="5" s="1"/>
  <c r="AP349" i="5"/>
  <c r="BI349" i="5" s="1"/>
  <c r="AP236" i="5"/>
  <c r="AQ236" i="5" s="1"/>
  <c r="AP540" i="5"/>
  <c r="AQ540" i="5" s="1"/>
  <c r="AP457" i="5"/>
  <c r="AR457" i="5" s="1"/>
  <c r="AP521" i="5"/>
  <c r="AQ521" i="5" s="1"/>
  <c r="AP46" i="5"/>
  <c r="AP345" i="5"/>
  <c r="AQ345" i="5" s="1"/>
  <c r="AP70" i="5"/>
  <c r="AQ70" i="5" s="1"/>
  <c r="AP194" i="5"/>
  <c r="AR194" i="5" s="1"/>
  <c r="AP370" i="5"/>
  <c r="BI370" i="5" s="1"/>
  <c r="AP405" i="5"/>
  <c r="AR405" i="5" s="1"/>
  <c r="AP122" i="5"/>
  <c r="AR122" i="5" s="1"/>
  <c r="AP398" i="5"/>
  <c r="AR398" i="5" s="1"/>
  <c r="AP494" i="5"/>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BI543" i="5" s="1"/>
  <c r="AP452" i="5"/>
  <c r="AQ452" i="5" s="1"/>
  <c r="AP261" i="5"/>
  <c r="AQ261" i="5" s="1"/>
  <c r="AP465" i="5"/>
  <c r="AR465" i="5" s="1"/>
  <c r="AP54" i="5"/>
  <c r="AP211" i="5"/>
  <c r="AR211" i="5" s="1"/>
  <c r="AP287" i="5"/>
  <c r="BI287" i="5" s="1"/>
  <c r="BB10" i="5"/>
  <c r="H32" i="1"/>
  <c r="B63" i="2"/>
  <c r="B66" i="2"/>
  <c r="B80" i="2"/>
  <c r="R10" i="5"/>
  <c r="BC10" i="5"/>
  <c r="BD10" i="5" s="1"/>
  <c r="AJ9" i="5"/>
  <c r="AK9" i="5" s="1"/>
  <c r="AY10" i="5"/>
  <c r="B38" i="2"/>
  <c r="H21" i="1" s="1"/>
  <c r="AG9" i="5"/>
  <c r="AP10" i="5"/>
  <c r="AQ10" i="5" s="1"/>
  <c r="AR59" i="5"/>
  <c r="BI59" i="5"/>
  <c r="AQ59" i="5"/>
  <c r="BI395" i="5"/>
  <c r="AR395" i="5"/>
  <c r="AQ395" i="5"/>
  <c r="BI459" i="5"/>
  <c r="BI108" i="5"/>
  <c r="AQ108" i="5"/>
  <c r="AR108" i="5"/>
  <c r="BI172" i="5"/>
  <c r="AR172" i="5"/>
  <c r="AQ172" i="5"/>
  <c r="BI300" i="5"/>
  <c r="AR300" i="5"/>
  <c r="AQ300" i="5"/>
  <c r="BI364" i="5"/>
  <c r="AQ364" i="5"/>
  <c r="AR364" i="5"/>
  <c r="BI428" i="5"/>
  <c r="AQ428" i="5"/>
  <c r="AR428" i="5"/>
  <c r="BI492" i="5"/>
  <c r="AR492" i="5"/>
  <c r="AQ492" i="5"/>
  <c r="BI556" i="5"/>
  <c r="AR556" i="5"/>
  <c r="AQ556" i="5"/>
  <c r="BI81" i="5"/>
  <c r="AQ81" i="5"/>
  <c r="AR81" i="5"/>
  <c r="BI145" i="5"/>
  <c r="AQ145" i="5"/>
  <c r="AR145" i="5"/>
  <c r="BI209" i="5"/>
  <c r="AR209" i="5"/>
  <c r="AQ209" i="5"/>
  <c r="BI289" i="5"/>
  <c r="AQ289" i="5"/>
  <c r="AR289" i="5"/>
  <c r="AR150" i="5"/>
  <c r="BI150" i="5"/>
  <c r="AQ150" i="5"/>
  <c r="AQ214" i="5"/>
  <c r="BI214" i="5"/>
  <c r="AR214" i="5"/>
  <c r="BI13" i="5"/>
  <c r="AR13" i="5"/>
  <c r="AQ13" i="5"/>
  <c r="AR159" i="5"/>
  <c r="BI159" i="5"/>
  <c r="AQ159" i="5"/>
  <c r="BI223" i="5"/>
  <c r="AQ223" i="5"/>
  <c r="AR223" i="5"/>
  <c r="BI383" i="5"/>
  <c r="BI447" i="5"/>
  <c r="AQ447" i="5"/>
  <c r="AR447" i="5"/>
  <c r="BI96" i="5"/>
  <c r="AQ96" i="5"/>
  <c r="AR96" i="5"/>
  <c r="BI288" i="5"/>
  <c r="AQ288" i="5"/>
  <c r="AR288" i="5"/>
  <c r="AQ352" i="5"/>
  <c r="BI352" i="5"/>
  <c r="AR352" i="5"/>
  <c r="BI416" i="5"/>
  <c r="AQ416" i="5"/>
  <c r="AR416" i="5"/>
  <c r="BI480" i="5"/>
  <c r="AQ480" i="5"/>
  <c r="AR480" i="5"/>
  <c r="BI133" i="5"/>
  <c r="AR133" i="5"/>
  <c r="AQ133" i="5"/>
  <c r="AQ277" i="5"/>
  <c r="AR277" i="5"/>
  <c r="BI341" i="5"/>
  <c r="AR341" i="5"/>
  <c r="AQ341" i="5"/>
  <c r="BI469" i="5"/>
  <c r="AQ469" i="5"/>
  <c r="AR469" i="5"/>
  <c r="AQ549" i="5"/>
  <c r="BI74" i="5"/>
  <c r="AQ74" i="5"/>
  <c r="AR74" i="5"/>
  <c r="BI202" i="5"/>
  <c r="AR202" i="5"/>
  <c r="BI266" i="5"/>
  <c r="AQ266" i="5"/>
  <c r="AR266" i="5"/>
  <c r="AR330" i="5"/>
  <c r="BI330" i="5"/>
  <c r="AQ330" i="5"/>
  <c r="BI394" i="5"/>
  <c r="AQ394" i="5"/>
  <c r="BI458" i="5"/>
  <c r="AR458" i="5"/>
  <c r="AQ458" i="5"/>
  <c r="BI522" i="5"/>
  <c r="AR522" i="5"/>
  <c r="AQ522" i="5"/>
  <c r="BI12" i="5"/>
  <c r="AR12" i="5"/>
  <c r="AQ12" i="5"/>
  <c r="BI243" i="5"/>
  <c r="AQ243" i="5"/>
  <c r="AR243" i="5"/>
  <c r="AR307" i="5"/>
  <c r="BI307" i="5"/>
  <c r="AQ307" i="5"/>
  <c r="BI403" i="5"/>
  <c r="AQ403" i="5"/>
  <c r="AR403" i="5"/>
  <c r="AQ467" i="5"/>
  <c r="BI467" i="5"/>
  <c r="AR467" i="5"/>
  <c r="BI531" i="5"/>
  <c r="AQ531" i="5"/>
  <c r="AR531" i="5"/>
  <c r="AQ52" i="5"/>
  <c r="BI52" i="5"/>
  <c r="AR52" i="5"/>
  <c r="BI116" i="5"/>
  <c r="AQ116" i="5"/>
  <c r="AR116" i="5"/>
  <c r="BI180" i="5"/>
  <c r="AR180" i="5"/>
  <c r="AQ180" i="5"/>
  <c r="BI244" i="5"/>
  <c r="AR244" i="5"/>
  <c r="AQ244" i="5"/>
  <c r="AR308" i="5"/>
  <c r="AQ308" i="5"/>
  <c r="BI436" i="5"/>
  <c r="AQ436" i="5"/>
  <c r="AR436" i="5"/>
  <c r="BI500" i="5"/>
  <c r="AQ500" i="5"/>
  <c r="AR500" i="5"/>
  <c r="BI89" i="5"/>
  <c r="AQ89" i="5"/>
  <c r="AR89" i="5"/>
  <c r="BI217" i="5"/>
  <c r="AQ217" i="5"/>
  <c r="AR217" i="5"/>
  <c r="BI281" i="5"/>
  <c r="AQ281" i="5"/>
  <c r="AR281" i="5"/>
  <c r="AQ409" i="5"/>
  <c r="BI409" i="5"/>
  <c r="AR409" i="5"/>
  <c r="BI473" i="5"/>
  <c r="AQ473" i="5"/>
  <c r="AR473" i="5"/>
  <c r="AR553" i="5"/>
  <c r="BI78" i="5"/>
  <c r="AR78" i="5"/>
  <c r="AQ78" i="5"/>
  <c r="AQ206" i="5"/>
  <c r="BI206" i="5"/>
  <c r="AR206" i="5"/>
  <c r="BI270" i="5"/>
  <c r="AR270" i="5"/>
  <c r="AQ270" i="5"/>
  <c r="BI334" i="5"/>
  <c r="AR526" i="5"/>
  <c r="BI526" i="5"/>
  <c r="AQ526" i="5"/>
  <c r="BI8" i="5"/>
  <c r="AR8" i="5"/>
  <c r="AQ8" i="5"/>
  <c r="AQ279" i="5"/>
  <c r="BI279" i="5"/>
  <c r="AR279" i="5"/>
  <c r="BI551" i="5"/>
  <c r="AR551" i="5"/>
  <c r="AQ551" i="5"/>
  <c r="AR136" i="5"/>
  <c r="BI136" i="5"/>
  <c r="AQ136" i="5"/>
  <c r="BI200" i="5"/>
  <c r="AR200" i="5"/>
  <c r="AQ200" i="5"/>
  <c r="BI392" i="5"/>
  <c r="BI456" i="5"/>
  <c r="AQ456" i="5"/>
  <c r="AR456" i="5"/>
  <c r="BI520" i="5"/>
  <c r="AQ520" i="5"/>
  <c r="AR520" i="5"/>
  <c r="AR45" i="5"/>
  <c r="BI45" i="5"/>
  <c r="AQ45" i="5"/>
  <c r="AQ109" i="5"/>
  <c r="BI109" i="5"/>
  <c r="AR109" i="5"/>
  <c r="BI173" i="5"/>
  <c r="AQ173" i="5"/>
  <c r="AR173" i="5"/>
  <c r="BI253" i="5"/>
  <c r="AR253" i="5"/>
  <c r="AQ253" i="5"/>
  <c r="BI317" i="5"/>
  <c r="AQ317" i="5"/>
  <c r="AR317" i="5"/>
  <c r="AQ381" i="5"/>
  <c r="AQ445" i="5"/>
  <c r="BI445" i="5"/>
  <c r="AR445" i="5"/>
  <c r="AQ509" i="5"/>
  <c r="BI509" i="5"/>
  <c r="AR509" i="5"/>
  <c r="BI226" i="5"/>
  <c r="AQ226" i="5"/>
  <c r="AR226" i="5"/>
  <c r="BI354" i="5"/>
  <c r="AQ354" i="5"/>
  <c r="AR354" i="5"/>
  <c r="BI278" i="5"/>
  <c r="AR278" i="5"/>
  <c r="BI342" i="5"/>
  <c r="AQ342" i="5"/>
  <c r="AR342" i="5"/>
  <c r="AN10" i="5"/>
  <c r="AO10" i="5"/>
  <c r="BI237" i="5"/>
  <c r="AR237" i="5"/>
  <c r="BI241" i="5"/>
  <c r="AR241" i="5"/>
  <c r="AQ241" i="5"/>
  <c r="AR530" i="5"/>
  <c r="BI530" i="5"/>
  <c r="AQ530" i="5"/>
  <c r="BI339" i="5"/>
  <c r="AQ339" i="5"/>
  <c r="AR339" i="5"/>
  <c r="BI505" i="5"/>
  <c r="AR505" i="5"/>
  <c r="AQ505" i="5"/>
  <c r="AR75" i="5"/>
  <c r="BI75" i="5"/>
  <c r="AQ75" i="5"/>
  <c r="BI139" i="5"/>
  <c r="AQ139" i="5"/>
  <c r="AR139" i="5"/>
  <c r="AQ267" i="5"/>
  <c r="BI267" i="5"/>
  <c r="BI331" i="5"/>
  <c r="AQ331" i="5"/>
  <c r="AR331" i="5"/>
  <c r="BI411" i="5"/>
  <c r="AR411" i="5"/>
  <c r="AQ411" i="5"/>
  <c r="BI539" i="5"/>
  <c r="AR539" i="5"/>
  <c r="AQ539" i="5"/>
  <c r="BI60" i="5"/>
  <c r="AQ60" i="5"/>
  <c r="AR60" i="5"/>
  <c r="BI188" i="5"/>
  <c r="AQ188" i="5"/>
  <c r="AR188" i="5"/>
  <c r="BI252" i="5"/>
  <c r="AQ252" i="5"/>
  <c r="BI316" i="5"/>
  <c r="AR316" i="5"/>
  <c r="AQ316" i="5"/>
  <c r="BI380" i="5"/>
  <c r="AR444" i="5"/>
  <c r="BI31" i="5"/>
  <c r="AQ31" i="5"/>
  <c r="AR31" i="5"/>
  <c r="AQ97" i="5"/>
  <c r="BI97" i="5"/>
  <c r="AR97" i="5"/>
  <c r="BI225" i="5"/>
  <c r="AR225" i="5"/>
  <c r="AQ225" i="5"/>
  <c r="AR497" i="5"/>
  <c r="BI20" i="5"/>
  <c r="AQ20" i="5"/>
  <c r="AR20" i="5"/>
  <c r="AR166" i="5"/>
  <c r="BI166" i="5"/>
  <c r="AQ166" i="5"/>
  <c r="BI230" i="5"/>
  <c r="AR230" i="5"/>
  <c r="AQ230" i="5"/>
  <c r="BI47" i="5"/>
  <c r="AQ47" i="5"/>
  <c r="AR47" i="5"/>
  <c r="BI175" i="5"/>
  <c r="AR175" i="5"/>
  <c r="AQ175" i="5"/>
  <c r="AQ239" i="5"/>
  <c r="BI239" i="5"/>
  <c r="AR239" i="5"/>
  <c r="BI303" i="5"/>
  <c r="AQ303" i="5"/>
  <c r="AR303" i="5"/>
  <c r="BI399" i="5"/>
  <c r="AQ399" i="5"/>
  <c r="AR399" i="5"/>
  <c r="BI463" i="5"/>
  <c r="AQ463" i="5"/>
  <c r="AR463" i="5"/>
  <c r="AQ48" i="5"/>
  <c r="BI48" i="5"/>
  <c r="AR48" i="5"/>
  <c r="BI112" i="5"/>
  <c r="AQ112" i="5"/>
  <c r="AR112" i="5"/>
  <c r="BI240" i="5"/>
  <c r="AQ240" i="5"/>
  <c r="AR240" i="5"/>
  <c r="BI304" i="5"/>
  <c r="AQ304" i="5"/>
  <c r="AR304" i="5"/>
  <c r="BI368" i="5"/>
  <c r="AR368" i="5"/>
  <c r="AQ368" i="5"/>
  <c r="BI496" i="5"/>
  <c r="AR496" i="5"/>
  <c r="AQ496" i="5"/>
  <c r="AQ85" i="5"/>
  <c r="BI85" i="5"/>
  <c r="AR85" i="5"/>
  <c r="AR149" i="5"/>
  <c r="BI149" i="5"/>
  <c r="AQ149" i="5"/>
  <c r="AR213" i="5"/>
  <c r="AQ213" i="5"/>
  <c r="AQ293" i="5"/>
  <c r="BI293" i="5"/>
  <c r="AR293" i="5"/>
  <c r="AQ421" i="5"/>
  <c r="BI421" i="5"/>
  <c r="AR421" i="5"/>
  <c r="BI485" i="5"/>
  <c r="AQ485" i="5"/>
  <c r="AR485" i="5"/>
  <c r="BI90" i="5"/>
  <c r="AQ90" i="5"/>
  <c r="AR90" i="5"/>
  <c r="BI154" i="5"/>
  <c r="AR154" i="5"/>
  <c r="AQ154" i="5"/>
  <c r="BI218" i="5"/>
  <c r="AQ218" i="5"/>
  <c r="AR218" i="5"/>
  <c r="BI282" i="5"/>
  <c r="AQ282" i="5"/>
  <c r="AR282" i="5"/>
  <c r="BI410" i="5"/>
  <c r="AQ410" i="5"/>
  <c r="AR410" i="5"/>
  <c r="AQ538" i="5"/>
  <c r="BI538" i="5"/>
  <c r="AR538" i="5"/>
  <c r="BI51" i="5"/>
  <c r="AR51" i="5"/>
  <c r="AQ51" i="5"/>
  <c r="BI195" i="5"/>
  <c r="AQ195" i="5"/>
  <c r="AR195" i="5"/>
  <c r="AQ259" i="5"/>
  <c r="BI259" i="5"/>
  <c r="AR259" i="5"/>
  <c r="BI323" i="5"/>
  <c r="BI547" i="5"/>
  <c r="AR547" i="5"/>
  <c r="AQ547" i="5"/>
  <c r="BI68" i="5"/>
  <c r="AR68" i="5"/>
  <c r="AQ68" i="5"/>
  <c r="AR132" i="5"/>
  <c r="BI132" i="5"/>
  <c r="AQ132" i="5"/>
  <c r="BI196" i="5"/>
  <c r="AR196" i="5"/>
  <c r="AQ196" i="5"/>
  <c r="BI260" i="5"/>
  <c r="AR260" i="5"/>
  <c r="AQ260" i="5"/>
  <c r="AR324" i="5"/>
  <c r="BI324" i="5"/>
  <c r="AQ324" i="5"/>
  <c r="BI388" i="5"/>
  <c r="AQ388" i="5"/>
  <c r="AR388" i="5"/>
  <c r="AR516" i="5"/>
  <c r="BI516" i="5"/>
  <c r="AQ516" i="5"/>
  <c r="BI39" i="5"/>
  <c r="AR39" i="5"/>
  <c r="AQ39" i="5"/>
  <c r="AQ105" i="5"/>
  <c r="BI105" i="5"/>
  <c r="AR105" i="5"/>
  <c r="AQ169" i="5"/>
  <c r="BI169" i="5"/>
  <c r="AR169" i="5"/>
  <c r="BI233" i="5"/>
  <c r="AR233" i="5"/>
  <c r="AQ233" i="5"/>
  <c r="AR297" i="5"/>
  <c r="BI361" i="5"/>
  <c r="AR361" i="5"/>
  <c r="AQ361" i="5"/>
  <c r="AQ425" i="5"/>
  <c r="BI425" i="5"/>
  <c r="AR425" i="5"/>
  <c r="BI28" i="5"/>
  <c r="AR28" i="5"/>
  <c r="AQ28" i="5"/>
  <c r="BI158" i="5"/>
  <c r="BI222" i="5"/>
  <c r="AQ222" i="5"/>
  <c r="AR222" i="5"/>
  <c r="BI286" i="5"/>
  <c r="AR286" i="5"/>
  <c r="AQ286" i="5"/>
  <c r="BI350" i="5"/>
  <c r="AQ350" i="5"/>
  <c r="AR350" i="5"/>
  <c r="BI478" i="5"/>
  <c r="AR478" i="5"/>
  <c r="AQ478" i="5"/>
  <c r="AQ542" i="5"/>
  <c r="BI542" i="5"/>
  <c r="AR542" i="5"/>
  <c r="BI167" i="5"/>
  <c r="AR167" i="5"/>
  <c r="AQ167" i="5"/>
  <c r="AQ231" i="5"/>
  <c r="BI231" i="5"/>
  <c r="AR231" i="5"/>
  <c r="BI439" i="5"/>
  <c r="AR439" i="5"/>
  <c r="AQ439" i="5"/>
  <c r="AQ503" i="5"/>
  <c r="BI503" i="5"/>
  <c r="AR503" i="5"/>
  <c r="AQ26" i="5"/>
  <c r="BI26" i="5"/>
  <c r="AR26" i="5"/>
  <c r="AR152" i="5"/>
  <c r="BI152" i="5"/>
  <c r="AQ152" i="5"/>
  <c r="AQ216" i="5"/>
  <c r="BI408" i="5"/>
  <c r="AQ408" i="5"/>
  <c r="AR408" i="5"/>
  <c r="BI472" i="5"/>
  <c r="AQ472" i="5"/>
  <c r="AR472" i="5"/>
  <c r="BI61" i="5"/>
  <c r="AR61" i="5"/>
  <c r="BI125" i="5"/>
  <c r="AQ125" i="5"/>
  <c r="AR125" i="5"/>
  <c r="AQ461" i="5"/>
  <c r="BI461" i="5"/>
  <c r="AR461" i="5"/>
  <c r="AQ525" i="5"/>
  <c r="BI525" i="5"/>
  <c r="AR525" i="5"/>
  <c r="AR50" i="5"/>
  <c r="BI50" i="5"/>
  <c r="AQ50" i="5"/>
  <c r="BI114" i="5"/>
  <c r="AR114" i="5"/>
  <c r="AQ114" i="5"/>
  <c r="BI178" i="5"/>
  <c r="AQ178" i="5"/>
  <c r="AR178" i="5"/>
  <c r="BI242" i="5"/>
  <c r="AR242" i="5"/>
  <c r="AQ242" i="5"/>
  <c r="BI306" i="5"/>
  <c r="AR306" i="5"/>
  <c r="AQ306" i="5"/>
  <c r="BI434" i="5"/>
  <c r="AQ434" i="5"/>
  <c r="AR434" i="5"/>
  <c r="BI498" i="5"/>
  <c r="AQ498" i="5"/>
  <c r="AR498" i="5"/>
  <c r="BI294" i="5"/>
  <c r="AR294" i="5"/>
  <c r="AQ294" i="5"/>
  <c r="BI358" i="5"/>
  <c r="AQ358" i="5"/>
  <c r="AR358" i="5"/>
  <c r="AH10" i="5"/>
  <c r="AI10" i="5"/>
  <c r="BI229" i="5"/>
  <c r="AR229" i="5"/>
  <c r="AQ229" i="5"/>
  <c r="AQ546" i="5"/>
  <c r="BI546" i="5"/>
  <c r="AR546" i="5"/>
  <c r="BI7" i="5"/>
  <c r="AR7" i="5"/>
  <c r="AQ7" i="5"/>
  <c r="AR91" i="5"/>
  <c r="BI91" i="5"/>
  <c r="AQ91" i="5"/>
  <c r="AR155" i="5"/>
  <c r="BI155" i="5"/>
  <c r="AQ155" i="5"/>
  <c r="BI219" i="5"/>
  <c r="AQ219" i="5"/>
  <c r="AR219" i="5"/>
  <c r="AQ283" i="5"/>
  <c r="BI283" i="5"/>
  <c r="AR283" i="5"/>
  <c r="BI363" i="5"/>
  <c r="AR363" i="5"/>
  <c r="AQ363" i="5"/>
  <c r="BI427" i="5"/>
  <c r="AR427" i="5"/>
  <c r="AQ427" i="5"/>
  <c r="AQ491" i="5"/>
  <c r="BI491" i="5"/>
  <c r="AR491" i="5"/>
  <c r="BI555" i="5"/>
  <c r="AR555" i="5"/>
  <c r="AQ555" i="5"/>
  <c r="BI76" i="5"/>
  <c r="AQ76" i="5"/>
  <c r="AR76" i="5"/>
  <c r="AR140" i="5"/>
  <c r="BI204" i="5"/>
  <c r="AQ204" i="5"/>
  <c r="AR204" i="5"/>
  <c r="BI268" i="5"/>
  <c r="AR268" i="5"/>
  <c r="AQ268" i="5"/>
  <c r="BI332" i="5"/>
  <c r="AQ332" i="5"/>
  <c r="AR332" i="5"/>
  <c r="AR524" i="5"/>
  <c r="BI524" i="5"/>
  <c r="AQ524" i="5"/>
  <c r="AQ113" i="5"/>
  <c r="BI113" i="5"/>
  <c r="AR113" i="5"/>
  <c r="BI177" i="5"/>
  <c r="AQ177" i="5"/>
  <c r="AR177" i="5"/>
  <c r="AQ321" i="5"/>
  <c r="BI321" i="5"/>
  <c r="AR321" i="5"/>
  <c r="BI385" i="5"/>
  <c r="AR385" i="5"/>
  <c r="AQ385" i="5"/>
  <c r="AQ449" i="5"/>
  <c r="BI449" i="5"/>
  <c r="AR449" i="5"/>
  <c r="AR513" i="5"/>
  <c r="BI513" i="5"/>
  <c r="AQ513" i="5"/>
  <c r="BI36" i="5"/>
  <c r="AR36" i="5"/>
  <c r="AQ36" i="5"/>
  <c r="BI118" i="5"/>
  <c r="AR118" i="5"/>
  <c r="AQ118" i="5"/>
  <c r="AQ182" i="5"/>
  <c r="BI182" i="5"/>
  <c r="AR182" i="5"/>
  <c r="BI246" i="5"/>
  <c r="AR63" i="5"/>
  <c r="BI63" i="5"/>
  <c r="AQ63" i="5"/>
  <c r="AQ191" i="5"/>
  <c r="AR191" i="5"/>
  <c r="AR319" i="5"/>
  <c r="BI319" i="5"/>
  <c r="AQ319" i="5"/>
  <c r="BI415" i="5"/>
  <c r="AQ415" i="5"/>
  <c r="AR415" i="5"/>
  <c r="BI64" i="5"/>
  <c r="AQ64" i="5"/>
  <c r="AR64" i="5"/>
  <c r="BI128" i="5"/>
  <c r="AQ128" i="5"/>
  <c r="AR128" i="5"/>
  <c r="BI192" i="5"/>
  <c r="AQ192" i="5"/>
  <c r="AR192" i="5"/>
  <c r="BI256" i="5"/>
  <c r="AR256" i="5"/>
  <c r="AQ256" i="5"/>
  <c r="BI320" i="5"/>
  <c r="AR320" i="5"/>
  <c r="AQ320" i="5"/>
  <c r="AQ384" i="5"/>
  <c r="BI384" i="5"/>
  <c r="AR384" i="5"/>
  <c r="BI512" i="5"/>
  <c r="AR512" i="5"/>
  <c r="AQ512" i="5"/>
  <c r="BI35" i="5"/>
  <c r="AR35" i="5"/>
  <c r="AQ35" i="5"/>
  <c r="AQ101" i="5"/>
  <c r="BI101" i="5"/>
  <c r="BI165" i="5"/>
  <c r="AQ165" i="5"/>
  <c r="AR165" i="5"/>
  <c r="BI309" i="5"/>
  <c r="AR309" i="5"/>
  <c r="AQ309" i="5"/>
  <c r="AQ437" i="5"/>
  <c r="BI437" i="5"/>
  <c r="AR437" i="5"/>
  <c r="BI517" i="5"/>
  <c r="AQ517" i="5"/>
  <c r="AR517" i="5"/>
  <c r="BI40" i="5"/>
  <c r="AR40" i="5"/>
  <c r="AQ40" i="5"/>
  <c r="BI106" i="5"/>
  <c r="AQ106" i="5"/>
  <c r="AR106" i="5"/>
  <c r="AR170" i="5"/>
  <c r="BI170" i="5"/>
  <c r="AQ170" i="5"/>
  <c r="BI234" i="5"/>
  <c r="AQ234" i="5"/>
  <c r="AR234" i="5"/>
  <c r="AR67" i="5"/>
  <c r="BI67" i="5"/>
  <c r="AQ67" i="5"/>
  <c r="BI147" i="5"/>
  <c r="AQ147" i="5"/>
  <c r="AR147" i="5"/>
  <c r="AQ275" i="5"/>
  <c r="BI275" i="5"/>
  <c r="AR275" i="5"/>
  <c r="BI435" i="5"/>
  <c r="AQ435" i="5"/>
  <c r="AQ22" i="5"/>
  <c r="BI22" i="5"/>
  <c r="AR22" i="5"/>
  <c r="BI84" i="5"/>
  <c r="AQ84" i="5"/>
  <c r="AR84" i="5"/>
  <c r="BI148" i="5"/>
  <c r="AR148" i="5"/>
  <c r="AQ148" i="5"/>
  <c r="BI212" i="5"/>
  <c r="AR212" i="5"/>
  <c r="AQ212" i="5"/>
  <c r="AR276" i="5"/>
  <c r="AQ276" i="5"/>
  <c r="AQ340" i="5"/>
  <c r="BI340" i="5"/>
  <c r="AR340" i="5"/>
  <c r="BI404" i="5"/>
  <c r="AQ404" i="5"/>
  <c r="AR404" i="5"/>
  <c r="BI468" i="5"/>
  <c r="AR468" i="5"/>
  <c r="BI57" i="5"/>
  <c r="AR57" i="5"/>
  <c r="AQ57" i="5"/>
  <c r="AQ121" i="5"/>
  <c r="BI121" i="5"/>
  <c r="AR121" i="5"/>
  <c r="BI313" i="5"/>
  <c r="AQ313" i="5"/>
  <c r="AR313" i="5"/>
  <c r="BI377" i="5"/>
  <c r="AQ441" i="5"/>
  <c r="BI441" i="5"/>
  <c r="AR441" i="5"/>
  <c r="BI46" i="5"/>
  <c r="AQ46" i="5"/>
  <c r="AR46" i="5"/>
  <c r="BI110" i="5"/>
  <c r="AR110" i="5"/>
  <c r="AQ110" i="5"/>
  <c r="AR174" i="5"/>
  <c r="BI174" i="5"/>
  <c r="AQ174" i="5"/>
  <c r="BI238" i="5"/>
  <c r="AR238" i="5"/>
  <c r="AQ238" i="5"/>
  <c r="BI302" i="5"/>
  <c r="AR302" i="5"/>
  <c r="AQ302" i="5"/>
  <c r="BI430" i="5"/>
  <c r="AR430" i="5"/>
  <c r="AQ430" i="5"/>
  <c r="BI494" i="5"/>
  <c r="AR494" i="5"/>
  <c r="AQ494" i="5"/>
  <c r="AQ558" i="5"/>
  <c r="BI558" i="5"/>
  <c r="AR558" i="5"/>
  <c r="BI55" i="5"/>
  <c r="AQ55" i="5"/>
  <c r="AR55" i="5"/>
  <c r="AR311" i="5"/>
  <c r="BI311" i="5"/>
  <c r="AQ311" i="5"/>
  <c r="BI455" i="5"/>
  <c r="AQ455" i="5"/>
  <c r="AR455" i="5"/>
  <c r="AQ42" i="5"/>
  <c r="BI42" i="5"/>
  <c r="AR42" i="5"/>
  <c r="BI104" i="5"/>
  <c r="AQ104" i="5"/>
  <c r="AR104"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130" i="5"/>
  <c r="BI258" i="5"/>
  <c r="AQ258" i="5"/>
  <c r="AR258" i="5"/>
  <c r="AR322" i="5"/>
  <c r="BI322" i="5"/>
  <c r="AQ322" i="5"/>
  <c r="AQ386" i="5"/>
  <c r="BI386" i="5"/>
  <c r="AR386" i="5"/>
  <c r="BI450" i="5"/>
  <c r="AR450" i="5"/>
  <c r="AQ450" i="5"/>
  <c r="AR514" i="5"/>
  <c r="BI25" i="5"/>
  <c r="AR25" i="5"/>
  <c r="AQ25" i="5"/>
  <c r="AK10" i="5"/>
  <c r="AL10" i="5"/>
  <c r="BI54" i="5"/>
  <c r="AR54" i="5"/>
  <c r="AQ54" i="5"/>
  <c r="BI351" i="5"/>
  <c r="AR351" i="5"/>
  <c r="AQ351" i="5"/>
  <c r="AN9" i="5"/>
  <c r="AO9" i="5"/>
  <c r="AC19" i="5"/>
  <c r="AE19" i="5" s="1"/>
  <c r="AR43" i="5"/>
  <c r="BI107" i="5"/>
  <c r="AQ107" i="5"/>
  <c r="AR107" i="5"/>
  <c r="BI171" i="5"/>
  <c r="AR171" i="5"/>
  <c r="AQ171" i="5"/>
  <c r="BI235" i="5"/>
  <c r="AR235" i="5"/>
  <c r="AQ235" i="5"/>
  <c r="BI299" i="5"/>
  <c r="AQ299" i="5"/>
  <c r="AR299" i="5"/>
  <c r="BI379" i="5"/>
  <c r="AR379" i="5"/>
  <c r="AQ379" i="5"/>
  <c r="AQ507" i="5"/>
  <c r="BI507" i="5"/>
  <c r="AR507" i="5"/>
  <c r="AQ30" i="5"/>
  <c r="BI30" i="5"/>
  <c r="AR30" i="5"/>
  <c r="BI156" i="5"/>
  <c r="AQ156" i="5"/>
  <c r="AR156" i="5"/>
  <c r="AQ220" i="5"/>
  <c r="BI220" i="5"/>
  <c r="AR220" i="5"/>
  <c r="BI284" i="5"/>
  <c r="AQ284" i="5"/>
  <c r="AR284" i="5"/>
  <c r="BI412" i="5"/>
  <c r="AQ412" i="5"/>
  <c r="AR412" i="5"/>
  <c r="BI476" i="5"/>
  <c r="AR476" i="5"/>
  <c r="AQ476" i="5"/>
  <c r="BI65" i="5"/>
  <c r="AQ65" i="5"/>
  <c r="AR65" i="5"/>
  <c r="BI193" i="5"/>
  <c r="AR193" i="5"/>
  <c r="AQ193" i="5"/>
  <c r="BI337" i="5"/>
  <c r="AQ337" i="5"/>
  <c r="AR337" i="5"/>
  <c r="AR529" i="5"/>
  <c r="BI529" i="5"/>
  <c r="AQ529" i="5"/>
  <c r="BI134" i="5"/>
  <c r="AQ134" i="5"/>
  <c r="AR134" i="5"/>
  <c r="BI79" i="5"/>
  <c r="AR79" i="5"/>
  <c r="AQ79" i="5"/>
  <c r="BI143" i="5"/>
  <c r="AR143" i="5"/>
  <c r="AQ143" i="5"/>
  <c r="BI207" i="5"/>
  <c r="AQ207" i="5"/>
  <c r="AR207" i="5"/>
  <c r="AQ495" i="5"/>
  <c r="BI495" i="5"/>
  <c r="AR495" i="5"/>
  <c r="BI559" i="5"/>
  <c r="AR559" i="5"/>
  <c r="AQ559" i="5"/>
  <c r="BI80" i="5"/>
  <c r="AR80" i="5"/>
  <c r="AQ80" i="5"/>
  <c r="AR144" i="5"/>
  <c r="BI144" i="5"/>
  <c r="AQ144" i="5"/>
  <c r="BI208" i="5"/>
  <c r="AQ208" i="5"/>
  <c r="AR208" i="5"/>
  <c r="BI272" i="5"/>
  <c r="AR272" i="5"/>
  <c r="AQ272" i="5"/>
  <c r="AQ336" i="5"/>
  <c r="BI336" i="5"/>
  <c r="AR336" i="5"/>
  <c r="BI528" i="5"/>
  <c r="AR528" i="5"/>
  <c r="AQ528" i="5"/>
  <c r="BI53" i="5"/>
  <c r="AQ53" i="5"/>
  <c r="AR53" i="5"/>
  <c r="BI181" i="5"/>
  <c r="AR181" i="5"/>
  <c r="AQ181" i="5"/>
  <c r="AR261" i="5"/>
  <c r="BI389" i="5"/>
  <c r="AQ389" i="5"/>
  <c r="AR389" i="5"/>
  <c r="AQ453" i="5"/>
  <c r="BI453" i="5"/>
  <c r="AR453" i="5"/>
  <c r="BI58" i="5"/>
  <c r="AQ58" i="5"/>
  <c r="AR58" i="5"/>
  <c r="AQ186" i="5"/>
  <c r="BI186" i="5"/>
  <c r="AR186" i="5"/>
  <c r="BI250" i="5"/>
  <c r="AQ250" i="5"/>
  <c r="AR250" i="5"/>
  <c r="BI314" i="5"/>
  <c r="AR314" i="5"/>
  <c r="AQ314" i="5"/>
  <c r="AQ378" i="5"/>
  <c r="BI378" i="5"/>
  <c r="AR378" i="5"/>
  <c r="BI442" i="5"/>
  <c r="AQ442" i="5"/>
  <c r="AR442" i="5"/>
  <c r="BI506" i="5"/>
  <c r="AR506" i="5"/>
  <c r="AQ506" i="5"/>
  <c r="BI29" i="5"/>
  <c r="AR29" i="5"/>
  <c r="AQ29" i="5"/>
  <c r="BI99" i="5"/>
  <c r="AQ99" i="5"/>
  <c r="AR99" i="5"/>
  <c r="BI227" i="5"/>
  <c r="AR227" i="5"/>
  <c r="AQ227" i="5"/>
  <c r="BI387" i="5"/>
  <c r="AR387" i="5"/>
  <c r="AQ387" i="5"/>
  <c r="BI451" i="5"/>
  <c r="AQ451" i="5"/>
  <c r="AR451" i="5"/>
  <c r="BI515" i="5"/>
  <c r="AR515" i="5"/>
  <c r="AQ515" i="5"/>
  <c r="BI100" i="5"/>
  <c r="AQ100" i="5"/>
  <c r="AR100" i="5"/>
  <c r="BI164" i="5"/>
  <c r="AQ164" i="5"/>
  <c r="AR164" i="5"/>
  <c r="BI228" i="5"/>
  <c r="AQ228" i="5"/>
  <c r="AR228" i="5"/>
  <c r="BI292" i="5"/>
  <c r="AR292" i="5"/>
  <c r="AQ292" i="5"/>
  <c r="AQ356" i="5"/>
  <c r="BI356" i="5"/>
  <c r="AR356" i="5"/>
  <c r="BI548" i="5"/>
  <c r="AQ548" i="5"/>
  <c r="AR548" i="5"/>
  <c r="BI73" i="5"/>
  <c r="AQ73" i="5"/>
  <c r="AR73" i="5"/>
  <c r="AQ137" i="5"/>
  <c r="BI137" i="5"/>
  <c r="AR137" i="5"/>
  <c r="BI201" i="5"/>
  <c r="AQ201" i="5"/>
  <c r="AR201" i="5"/>
  <c r="BI265" i="5"/>
  <c r="AQ265" i="5"/>
  <c r="AR265" i="5"/>
  <c r="BI329" i="5"/>
  <c r="AR329" i="5"/>
  <c r="AQ329" i="5"/>
  <c r="BI537" i="5"/>
  <c r="BI62" i="5"/>
  <c r="AR62" i="5"/>
  <c r="AQ62" i="5"/>
  <c r="AQ126" i="5"/>
  <c r="AQ190" i="5"/>
  <c r="BI190" i="5"/>
  <c r="AR190" i="5"/>
  <c r="BI254" i="5"/>
  <c r="AQ254" i="5"/>
  <c r="AR254" i="5"/>
  <c r="BI318" i="5"/>
  <c r="AQ318" i="5"/>
  <c r="AR318" i="5"/>
  <c r="AQ382" i="5"/>
  <c r="BI382" i="5"/>
  <c r="AR382" i="5"/>
  <c r="BI446" i="5"/>
  <c r="AR446" i="5"/>
  <c r="AQ446" i="5"/>
  <c r="AR510" i="5"/>
  <c r="BI510" i="5"/>
  <c r="BI199" i="5"/>
  <c r="AR199" i="5"/>
  <c r="AQ199" i="5"/>
  <c r="BI327" i="5"/>
  <c r="BI471" i="5"/>
  <c r="AR471" i="5"/>
  <c r="BI535" i="5"/>
  <c r="AR535" i="5"/>
  <c r="AQ535" i="5"/>
  <c r="BI56" i="5"/>
  <c r="AQ56" i="5"/>
  <c r="AR56" i="5"/>
  <c r="BI120" i="5"/>
  <c r="AQ120" i="5"/>
  <c r="AR120" i="5"/>
  <c r="BI184" i="5"/>
  <c r="AR184" i="5"/>
  <c r="AQ184" i="5"/>
  <c r="BI248" i="5"/>
  <c r="AQ248" i="5"/>
  <c r="AR248" i="5"/>
  <c r="BI312" i="5"/>
  <c r="AR312" i="5"/>
  <c r="AQ312" i="5"/>
  <c r="BI376" i="5"/>
  <c r="AR376" i="5"/>
  <c r="AQ376" i="5"/>
  <c r="BI440" i="5"/>
  <c r="AQ440" i="5"/>
  <c r="AR440" i="5"/>
  <c r="BI504" i="5"/>
  <c r="AQ504" i="5"/>
  <c r="AR504" i="5"/>
  <c r="BI27" i="5"/>
  <c r="AQ27" i="5"/>
  <c r="AR27" i="5"/>
  <c r="AQ93" i="5"/>
  <c r="BI93" i="5"/>
  <c r="AR93" i="5"/>
  <c r="BI157" i="5"/>
  <c r="AQ157" i="5"/>
  <c r="AR157" i="5"/>
  <c r="BI221" i="5"/>
  <c r="AR221" i="5"/>
  <c r="AQ221" i="5"/>
  <c r="AQ301" i="5"/>
  <c r="BI301" i="5"/>
  <c r="AR301" i="5"/>
  <c r="AQ429" i="5"/>
  <c r="BI429" i="5"/>
  <c r="AR429" i="5"/>
  <c r="BI493" i="5"/>
  <c r="AQ493" i="5"/>
  <c r="AR493" i="5"/>
  <c r="BI557" i="5"/>
  <c r="AQ557" i="5"/>
  <c r="AR557" i="5"/>
  <c r="BI274" i="5"/>
  <c r="AQ274" i="5"/>
  <c r="AR274" i="5"/>
  <c r="BI338" i="5"/>
  <c r="AR338" i="5"/>
  <c r="AQ338" i="5"/>
  <c r="BI402" i="5"/>
  <c r="AQ402" i="5"/>
  <c r="AR402" i="5"/>
  <c r="BI466" i="5"/>
  <c r="AQ466" i="5"/>
  <c r="AR466" i="5"/>
  <c r="BI262" i="5"/>
  <c r="BI326" i="5"/>
  <c r="AR326" i="5"/>
  <c r="AQ326" i="5"/>
  <c r="BI518" i="5"/>
  <c r="AR518" i="5"/>
  <c r="AQ518" i="5"/>
  <c r="BI335" i="5"/>
  <c r="AQ335" i="5"/>
  <c r="AR335" i="5"/>
  <c r="BI347" i="5"/>
  <c r="AQ347" i="5"/>
  <c r="AR347" i="5"/>
  <c r="BI501" i="5"/>
  <c r="AQ501" i="5"/>
  <c r="AR501" i="5"/>
  <c r="BI37" i="5"/>
  <c r="AR37" i="5"/>
  <c r="AQ37" i="5"/>
  <c r="BI83" i="5"/>
  <c r="AR83" i="5"/>
  <c r="AQ83" i="5"/>
  <c r="BI355" i="5"/>
  <c r="AQ355" i="5"/>
  <c r="AR355" i="5"/>
  <c r="AH11" i="5"/>
  <c r="AI11" i="5"/>
  <c r="B227" i="2"/>
  <c r="B228" i="2" s="1"/>
  <c r="B229" i="2" s="1"/>
  <c r="B223" i="2"/>
  <c r="AC536" i="5"/>
  <c r="AD536" i="5" s="1"/>
  <c r="Y59" i="5"/>
  <c r="AA10" i="5"/>
  <c r="X7" i="5"/>
  <c r="Y7"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11" i="5"/>
  <c r="Y11" i="5"/>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X11" i="5"/>
  <c r="AY11" i="5"/>
  <c r="R11" i="5"/>
  <c r="S11" i="5"/>
  <c r="AB12" i="5"/>
  <c r="AA12" i="5"/>
  <c r="Y13" i="5"/>
  <c r="X13" i="5"/>
  <c r="BA11" i="5"/>
  <c r="BB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C11" i="5"/>
  <c r="V11" i="5"/>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Q251" i="5" l="1"/>
  <c r="AQ560" i="5"/>
  <c r="BI32" i="5"/>
  <c r="AR117" i="5"/>
  <c r="BI479" i="5"/>
  <c r="AR552" i="5"/>
  <c r="AQ475" i="5"/>
  <c r="BI111" i="5"/>
  <c r="BJ111" i="5" s="1"/>
  <c r="AQ502" i="5"/>
  <c r="BI333" i="5"/>
  <c r="AR187" i="5"/>
  <c r="AQ249" i="5"/>
  <c r="BI298" i="5"/>
  <c r="BJ298" i="5" s="1"/>
  <c r="AQ481" i="5"/>
  <c r="AR375" i="5"/>
  <c r="AQ454" i="5"/>
  <c r="BI21" i="5"/>
  <c r="BI82" i="5"/>
  <c r="AQ393" i="5"/>
  <c r="AR344" i="5"/>
  <c r="AQ305" i="5"/>
  <c r="BI420" i="5"/>
  <c r="BJ420" i="5" s="1"/>
  <c r="BI400" i="5"/>
  <c r="BI431" i="5"/>
  <c r="BJ431" i="5" s="1"/>
  <c r="BI129" i="5"/>
  <c r="BI514" i="5"/>
  <c r="BJ514" i="5" s="1"/>
  <c r="AQ552" i="5"/>
  <c r="AR298" i="5"/>
  <c r="AQ246" i="5"/>
  <c r="AR333" i="5"/>
  <c r="AQ111" i="5"/>
  <c r="BI305" i="5"/>
  <c r="BJ305" i="5" s="1"/>
  <c r="AR124" i="5"/>
  <c r="BI475" i="5"/>
  <c r="BI372" i="5"/>
  <c r="AR481" i="5"/>
  <c r="AR502" i="5"/>
  <c r="AR189" i="5"/>
  <c r="BI344" i="5"/>
  <c r="AQ24" i="5"/>
  <c r="AQ187" i="5"/>
  <c r="BI393" i="5"/>
  <c r="BJ393" i="5" s="1"/>
  <c r="AQ533" i="5"/>
  <c r="AQ41" i="5"/>
  <c r="AQ71" i="5"/>
  <c r="AR126" i="5"/>
  <c r="AR533" i="5"/>
  <c r="AR92" i="5"/>
  <c r="AQ349" i="5"/>
  <c r="AQ391" i="5"/>
  <c r="AQ460" i="5"/>
  <c r="AQ189" i="5"/>
  <c r="AR103" i="5"/>
  <c r="AQ346" i="5"/>
  <c r="AR24" i="5"/>
  <c r="AQ357" i="5"/>
  <c r="AR203" i="5"/>
  <c r="BI381" i="5"/>
  <c r="AQ328" i="5"/>
  <c r="AQ69" i="5"/>
  <c r="AR41" i="5"/>
  <c r="AR365" i="5"/>
  <c r="BI71" i="5"/>
  <c r="BK71" i="5" s="1"/>
  <c r="BM71" i="5" s="1"/>
  <c r="AQ163" i="5"/>
  <c r="AR374" i="5"/>
  <c r="AR296" i="5"/>
  <c r="AR391" i="5"/>
  <c r="AR362" i="5"/>
  <c r="AR373" i="5"/>
  <c r="AR460" i="5"/>
  <c r="AR280" i="5"/>
  <c r="AQ103" i="5"/>
  <c r="AQ414" i="5"/>
  <c r="AR346" i="5"/>
  <c r="AR357" i="5"/>
  <c r="AQ203" i="5"/>
  <c r="BI328" i="5"/>
  <c r="BJ328" i="5" s="1"/>
  <c r="AQ72" i="5"/>
  <c r="AR69" i="5"/>
  <c r="AQ365" i="5"/>
  <c r="AR263" i="5"/>
  <c r="AR163" i="5"/>
  <c r="AQ374" i="5"/>
  <c r="AQ296" i="5"/>
  <c r="AQ362" i="5"/>
  <c r="AQ373" i="5"/>
  <c r="AR448" i="5"/>
  <c r="AQ49" i="5"/>
  <c r="AQ280" i="5"/>
  <c r="AR414" i="5"/>
  <c r="AQ474" i="5"/>
  <c r="AR527" i="5"/>
  <c r="AR72" i="5"/>
  <c r="AR23" i="5"/>
  <c r="BI263" i="5"/>
  <c r="AR33" i="5"/>
  <c r="AR420" i="5"/>
  <c r="AR400" i="5"/>
  <c r="AR431" i="5"/>
  <c r="AR129" i="5"/>
  <c r="AQ448" i="5"/>
  <c r="AR49" i="5"/>
  <c r="AQ131" i="5"/>
  <c r="AR474" i="5"/>
  <c r="AQ527" i="5"/>
  <c r="AQ124" i="5"/>
  <c r="AR290" i="5"/>
  <c r="AQ23" i="5"/>
  <c r="AR372" i="5"/>
  <c r="BI33" i="5"/>
  <c r="BJ33" i="5" s="1"/>
  <c r="BL33" i="5" s="1"/>
  <c r="BI290" i="5"/>
  <c r="AR454" i="5"/>
  <c r="BI117" i="5"/>
  <c r="AR273" i="5"/>
  <c r="BI249" i="5"/>
  <c r="AQ479" i="5"/>
  <c r="AQ375" i="5"/>
  <c r="AR560" i="5"/>
  <c r="AQ407" i="5"/>
  <c r="AQ273" i="5"/>
  <c r="AQ536" i="5"/>
  <c r="AR146" i="5"/>
  <c r="AR407" i="5"/>
  <c r="AR519" i="5"/>
  <c r="AQ185" i="5"/>
  <c r="AR536" i="5"/>
  <c r="AQ482" i="5"/>
  <c r="AQ146" i="5"/>
  <c r="AQ367" i="5"/>
  <c r="BI519" i="5"/>
  <c r="BJ519" i="5" s="1"/>
  <c r="AR185" i="5"/>
  <c r="AQ532" i="5"/>
  <c r="AR88" i="5"/>
  <c r="AR482" i="5"/>
  <c r="AR367" i="5"/>
  <c r="BI532" i="5"/>
  <c r="BJ532" i="5" s="1"/>
  <c r="AQ88" i="5"/>
  <c r="AQ545" i="5"/>
  <c r="AQ82" i="5"/>
  <c r="AQ21" i="5"/>
  <c r="AQ32" i="5"/>
  <c r="BI545" i="5"/>
  <c r="BJ545" i="5" s="1"/>
  <c r="BI251" i="5"/>
  <c r="AR247" i="5"/>
  <c r="AR554" i="5"/>
  <c r="AQ433" i="5"/>
  <c r="AQ544" i="5"/>
  <c r="AQ247" i="5"/>
  <c r="BI554" i="5"/>
  <c r="BJ554" i="5" s="1"/>
  <c r="AQ370" i="5"/>
  <c r="AR397" i="5"/>
  <c r="AR544" i="5"/>
  <c r="AQ315" i="5"/>
  <c r="AQ543" i="5"/>
  <c r="AR370" i="5"/>
  <c r="BI315" i="5"/>
  <c r="BK315" i="5" s="1"/>
  <c r="AR499" i="5"/>
  <c r="AR543" i="5"/>
  <c r="AR158" i="5"/>
  <c r="AR131" i="5"/>
  <c r="AR334" i="5"/>
  <c r="AR459" i="5"/>
  <c r="BI257" i="5"/>
  <c r="AR396" i="5"/>
  <c r="AR151" i="5"/>
  <c r="AQ497" i="5"/>
  <c r="AQ484" i="5"/>
  <c r="BI401" i="5"/>
  <c r="BJ401" i="5" s="1"/>
  <c r="AQ168" i="5"/>
  <c r="AR390" i="5"/>
  <c r="AQ537" i="5"/>
  <c r="AQ92" i="5"/>
  <c r="AQ43" i="5"/>
  <c r="BI194" i="5"/>
  <c r="BJ194" i="5" s="1"/>
  <c r="BI119" i="5"/>
  <c r="BJ119" i="5" s="1"/>
  <c r="AQ377" i="5"/>
  <c r="AQ194" i="5"/>
  <c r="AQ366" i="5"/>
  <c r="BI423" i="5"/>
  <c r="AR142" i="5"/>
  <c r="AR262" i="5"/>
  <c r="AQ210" i="5"/>
  <c r="AQ135" i="5"/>
  <c r="AQ291" i="5"/>
  <c r="AR325" i="5"/>
  <c r="BI198" i="5"/>
  <c r="BK198" i="5" s="1"/>
  <c r="BI70" i="5"/>
  <c r="AR401" i="5"/>
  <c r="AQ348" i="5"/>
  <c r="AR443" i="5"/>
  <c r="AQ130" i="5"/>
  <c r="AQ257" i="5"/>
  <c r="BI486" i="5"/>
  <c r="BJ486" i="5" s="1"/>
  <c r="BI216" i="5"/>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J151" i="5" s="1"/>
  <c r="AR462" i="5"/>
  <c r="BI553" i="5"/>
  <c r="BJ553" i="5" s="1"/>
  <c r="BL553" i="5" s="1"/>
  <c r="AR549" i="5"/>
  <c r="AQ457" i="5"/>
  <c r="BI122" i="5"/>
  <c r="BJ122" i="5" s="1"/>
  <c r="BI464" i="5"/>
  <c r="BK464" i="5" s="1"/>
  <c r="AR198" i="5"/>
  <c r="AR348" i="5"/>
  <c r="AQ443" i="5"/>
  <c r="BI161" i="5"/>
  <c r="BJ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AQ162" i="5"/>
  <c r="AQ264" i="5"/>
  <c r="AQ423" i="5"/>
  <c r="AQ95" i="5"/>
  <c r="BI44" i="5"/>
  <c r="BJ44" i="5" s="1"/>
  <c r="BI465" i="5"/>
  <c r="BK465" i="5" s="1"/>
  <c r="AQ161" i="5"/>
  <c r="AR162" i="5"/>
  <c r="BI264" i="5"/>
  <c r="BK264" i="5" s="1"/>
  <c r="AR138" i="5"/>
  <c r="AR271" i="5"/>
  <c r="AR310" i="5"/>
  <c r="BI245" i="5"/>
  <c r="BK245" i="5" s="1"/>
  <c r="AR19" i="5"/>
  <c r="BI432" i="5"/>
  <c r="BJ432" i="5" s="1"/>
  <c r="BI418" i="5"/>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J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C139" i="4" s="1"/>
  <c r="AD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F139"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F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301" i="5"/>
  <c r="BK301" i="5"/>
  <c r="BJ221" i="5"/>
  <c r="BK221" i="5"/>
  <c r="BJ504" i="5"/>
  <c r="BL504" i="5" s="1"/>
  <c r="BK504" i="5"/>
  <c r="BJ248" i="5"/>
  <c r="BK248" i="5"/>
  <c r="BK535" i="5"/>
  <c r="BJ535" i="5"/>
  <c r="BJ327" i="5"/>
  <c r="BK327" i="5"/>
  <c r="BJ71" i="5"/>
  <c r="BK382" i="5"/>
  <c r="BJ382" i="5"/>
  <c r="BJ318" i="5"/>
  <c r="BK318" i="5"/>
  <c r="BJ62" i="5"/>
  <c r="BL62" i="5" s="1"/>
  <c r="BK62" i="5"/>
  <c r="BK393" i="5"/>
  <c r="BJ329" i="5"/>
  <c r="BK329" i="5"/>
  <c r="BJ137" i="5"/>
  <c r="BK137" i="5"/>
  <c r="BM137" i="5" s="1"/>
  <c r="BJ73" i="5"/>
  <c r="BK73" i="5"/>
  <c r="BK100" i="5"/>
  <c r="BJ100" i="5"/>
  <c r="BK387" i="5"/>
  <c r="BJ387" i="5"/>
  <c r="BJ99" i="5"/>
  <c r="BK99" i="5"/>
  <c r="BK186" i="5"/>
  <c r="BJ186" i="5"/>
  <c r="BJ453" i="5"/>
  <c r="BK453" i="5"/>
  <c r="BJ389" i="5"/>
  <c r="BK389" i="5"/>
  <c r="BJ400" i="5"/>
  <c r="BK400" i="5"/>
  <c r="BK495" i="5"/>
  <c r="BM495" i="5" s="1"/>
  <c r="BJ495" i="5"/>
  <c r="BK431" i="5"/>
  <c r="BJ143" i="5"/>
  <c r="BK143" i="5"/>
  <c r="BJ198" i="5"/>
  <c r="BJ134" i="5"/>
  <c r="BK134" i="5"/>
  <c r="BM134" i="5" s="1"/>
  <c r="BJ129" i="5"/>
  <c r="BK129" i="5"/>
  <c r="BJ412" i="5"/>
  <c r="BL412" i="5" s="1"/>
  <c r="BK412" i="5"/>
  <c r="BK220" i="5"/>
  <c r="BJ220" i="5"/>
  <c r="BK156" i="5"/>
  <c r="BJ156" i="5"/>
  <c r="BK507" i="5"/>
  <c r="BJ507" i="5"/>
  <c r="BK443" i="5"/>
  <c r="BJ443" i="5"/>
  <c r="BJ171" i="5"/>
  <c r="BK171" i="5"/>
  <c r="BM171" i="5" s="1"/>
  <c r="BJ438" i="5"/>
  <c r="BK438" i="5"/>
  <c r="BK514" i="5"/>
  <c r="BJ450" i="5"/>
  <c r="BK450" i="5"/>
  <c r="BM450" i="5" s="1"/>
  <c r="BJ477" i="5"/>
  <c r="BK477" i="5"/>
  <c r="BJ205" i="5"/>
  <c r="BK205" i="5"/>
  <c r="BJ488" i="5"/>
  <c r="BK488" i="5"/>
  <c r="BJ232" i="5"/>
  <c r="BK232" i="5"/>
  <c r="BK42" i="5"/>
  <c r="BJ42" i="5"/>
  <c r="BK519" i="5"/>
  <c r="BJ311" i="5"/>
  <c r="BK311" i="5"/>
  <c r="BM311" i="5" s="1"/>
  <c r="BJ247" i="5"/>
  <c r="BK247" i="5"/>
  <c r="BJ302" i="5"/>
  <c r="BK302" i="5"/>
  <c r="BJ46" i="5"/>
  <c r="BL46" i="5" s="1"/>
  <c r="BK46" i="5"/>
  <c r="BJ313" i="5"/>
  <c r="BK313" i="5"/>
  <c r="BJ121" i="5"/>
  <c r="BK121" i="5"/>
  <c r="BK57" i="5"/>
  <c r="BJ57" i="5"/>
  <c r="BK84" i="5"/>
  <c r="BJ84" i="5"/>
  <c r="BJ371" i="5"/>
  <c r="BK371" i="5"/>
  <c r="BK362" i="5"/>
  <c r="BJ362" i="5"/>
  <c r="BK170" i="5"/>
  <c r="BJ170" i="5"/>
  <c r="BJ106" i="5"/>
  <c r="BK106" i="5"/>
  <c r="BJ437" i="5"/>
  <c r="BK437" i="5"/>
  <c r="BJ373" i="5"/>
  <c r="BK373" i="5"/>
  <c r="BM373" i="5" s="1"/>
  <c r="BK128" i="5"/>
  <c r="BJ128" i="5"/>
  <c r="BL128" i="5" s="1"/>
  <c r="BK479" i="5"/>
  <c r="BJ479" i="5"/>
  <c r="BK415" i="5"/>
  <c r="BJ415" i="5"/>
  <c r="BJ127" i="5"/>
  <c r="BK127" i="5"/>
  <c r="BJ182" i="5"/>
  <c r="BL182" i="5" s="1"/>
  <c r="BK182"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375" i="5"/>
  <c r="BK375"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75" i="5"/>
  <c r="BK75" i="5"/>
  <c r="BJ418" i="5"/>
  <c r="BL418" i="5" s="1"/>
  <c r="BK418" i="5"/>
  <c r="BJ162" i="5"/>
  <c r="BK162" i="5"/>
  <c r="BJ509" i="5"/>
  <c r="BK509" i="5"/>
  <c r="BJ173" i="5"/>
  <c r="BK173" i="5"/>
  <c r="BJ456" i="5"/>
  <c r="BK456" i="5"/>
  <c r="BK200" i="5"/>
  <c r="BJ200" i="5"/>
  <c r="BJ279" i="5"/>
  <c r="BK279" i="5"/>
  <c r="BM279" i="5" s="1"/>
  <c r="BJ215" i="5"/>
  <c r="BK215" i="5"/>
  <c r="BM215" i="5" s="1"/>
  <c r="BJ270" i="5"/>
  <c r="BK270" i="5"/>
  <c r="BJ281" i="5"/>
  <c r="BK281" i="5"/>
  <c r="BJ23" i="5"/>
  <c r="BK23" i="5"/>
  <c r="BK308" i="5"/>
  <c r="BJ308" i="5"/>
  <c r="BL308" i="5" s="1"/>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01" i="5"/>
  <c r="BK501" i="5"/>
  <c r="BM501" i="5" s="1"/>
  <c r="BJ518" i="5"/>
  <c r="BK518" i="5"/>
  <c r="BJ262" i="5"/>
  <c r="BK262" i="5"/>
  <c r="BJ274" i="5"/>
  <c r="BK274" i="5"/>
  <c r="BJ557" i="5"/>
  <c r="BK557" i="5"/>
  <c r="BJ93" i="5"/>
  <c r="BK93" i="5"/>
  <c r="BK27" i="5"/>
  <c r="BJ27" i="5"/>
  <c r="BJ312" i="5"/>
  <c r="BK312" i="5"/>
  <c r="BJ56" i="5"/>
  <c r="BK56" i="5"/>
  <c r="BJ135" i="5"/>
  <c r="BK135" i="5"/>
  <c r="BK190" i="5"/>
  <c r="BJ190" i="5"/>
  <c r="BJ126" i="5"/>
  <c r="BK126" i="5"/>
  <c r="BK420" i="5"/>
  <c r="BK164" i="5"/>
  <c r="BJ164" i="5"/>
  <c r="BK451" i="5"/>
  <c r="BJ451" i="5"/>
  <c r="BL451" i="5" s="1"/>
  <c r="BJ163" i="5"/>
  <c r="BK163" i="5"/>
  <c r="BJ442" i="5"/>
  <c r="BK442" i="5"/>
  <c r="BM442" i="5" s="1"/>
  <c r="BK181" i="5"/>
  <c r="BJ181" i="5"/>
  <c r="BJ464" i="5"/>
  <c r="BK208" i="5"/>
  <c r="BJ208" i="5"/>
  <c r="BJ207" i="5"/>
  <c r="BK207" i="5"/>
  <c r="BM207" i="5" s="1"/>
  <c r="BJ529" i="5"/>
  <c r="BK529" i="5"/>
  <c r="BJ193" i="5"/>
  <c r="BK193" i="5"/>
  <c r="BJ476" i="5"/>
  <c r="BK476" i="5"/>
  <c r="BK30" i="5"/>
  <c r="BJ30" i="5"/>
  <c r="BJ235" i="5"/>
  <c r="BK235" i="5"/>
  <c r="BJ54" i="5"/>
  <c r="BK54" i="5"/>
  <c r="BJ502" i="5"/>
  <c r="BK502" i="5"/>
  <c r="BJ322" i="5"/>
  <c r="BK322" i="5"/>
  <c r="BJ258" i="5"/>
  <c r="BK258" i="5"/>
  <c r="BJ541" i="5"/>
  <c r="BL541" i="5" s="1"/>
  <c r="BK541" i="5"/>
  <c r="BJ285" i="5"/>
  <c r="BK285" i="5"/>
  <c r="BJ552" i="5"/>
  <c r="BK552" i="5"/>
  <c r="BJ296" i="5"/>
  <c r="BK296" i="5"/>
  <c r="BJ55" i="5"/>
  <c r="BK55" i="5"/>
  <c r="BK366" i="5"/>
  <c r="BJ366" i="5"/>
  <c r="BJ174" i="5"/>
  <c r="BK174" i="5"/>
  <c r="BJ110" i="5"/>
  <c r="BK110" i="5"/>
  <c r="BM110" i="5" s="1"/>
  <c r="BJ441" i="5"/>
  <c r="BK441" i="5"/>
  <c r="BJ377" i="5"/>
  <c r="BK377" i="5"/>
  <c r="BJ404" i="5"/>
  <c r="BK404" i="5"/>
  <c r="BK148" i="5"/>
  <c r="BJ148" i="5"/>
  <c r="BK435" i="5"/>
  <c r="BJ435" i="5"/>
  <c r="BJ147" i="5"/>
  <c r="BK147" i="5"/>
  <c r="BM147" i="5" s="1"/>
  <c r="BK165" i="5"/>
  <c r="BJ165" i="5"/>
  <c r="BJ448" i="5"/>
  <c r="BK448" i="5"/>
  <c r="BK192" i="5"/>
  <c r="BJ192" i="5"/>
  <c r="BJ255" i="5"/>
  <c r="BK255" i="5"/>
  <c r="BK191" i="5"/>
  <c r="BJ191" i="5"/>
  <c r="BJ513" i="5"/>
  <c r="BK513" i="5"/>
  <c r="BJ177" i="5"/>
  <c r="BK177" i="5"/>
  <c r="BJ524" i="5"/>
  <c r="BK524" i="5"/>
  <c r="BJ460" i="5"/>
  <c r="BK460" i="5"/>
  <c r="BK204" i="5"/>
  <c r="BJ204" i="5"/>
  <c r="BK283" i="5"/>
  <c r="BJ283" i="5"/>
  <c r="BJ219" i="5"/>
  <c r="BK219" i="5"/>
  <c r="BK358" i="5"/>
  <c r="BJ358" i="5"/>
  <c r="BK370" i="5"/>
  <c r="BJ370" i="5"/>
  <c r="BJ114" i="5"/>
  <c r="BK114" i="5"/>
  <c r="BJ461" i="5"/>
  <c r="BK461" i="5"/>
  <c r="BJ397" i="5"/>
  <c r="BK397" i="5"/>
  <c r="BJ125" i="5"/>
  <c r="BK125" i="5"/>
  <c r="BJ408" i="5"/>
  <c r="BK408" i="5"/>
  <c r="BK216" i="5"/>
  <c r="BJ216" i="5"/>
  <c r="BL216" i="5" s="1"/>
  <c r="BK503" i="5"/>
  <c r="BJ503" i="5"/>
  <c r="BK439" i="5"/>
  <c r="BJ439" i="5"/>
  <c r="BJ231" i="5"/>
  <c r="BK231" i="5"/>
  <c r="BJ167" i="5"/>
  <c r="BK167" i="5"/>
  <c r="BJ542" i="5"/>
  <c r="BK542" i="5"/>
  <c r="BJ478" i="5"/>
  <c r="BK478" i="5"/>
  <c r="BJ222" i="5"/>
  <c r="BK222" i="5"/>
  <c r="BJ233" i="5"/>
  <c r="BK233" i="5"/>
  <c r="BK324" i="5"/>
  <c r="BJ324" i="5"/>
  <c r="BK260" i="5"/>
  <c r="BM260" i="5" s="1"/>
  <c r="BJ260" i="5"/>
  <c r="BK547" i="5"/>
  <c r="BJ547" i="5"/>
  <c r="BK323" i="5"/>
  <c r="BJ323" i="5"/>
  <c r="BJ282" i="5"/>
  <c r="BK282" i="5"/>
  <c r="BJ24" i="5"/>
  <c r="BK24" i="5"/>
  <c r="BJ85" i="5"/>
  <c r="BK85" i="5"/>
  <c r="BJ560" i="5"/>
  <c r="BK560" i="5"/>
  <c r="BJ304" i="5"/>
  <c r="BK304" i="5"/>
  <c r="BK303" i="5"/>
  <c r="BJ303" i="5"/>
  <c r="BJ47" i="5"/>
  <c r="BK47" i="5"/>
  <c r="BJ20" i="5"/>
  <c r="BK20" i="5"/>
  <c r="BJ97" i="5"/>
  <c r="BK97" i="5"/>
  <c r="BJ31" i="5"/>
  <c r="BK31" i="5"/>
  <c r="BK380" i="5"/>
  <c r="BJ380" i="5"/>
  <c r="BJ316" i="5"/>
  <c r="BK316" i="5"/>
  <c r="BK124" i="5"/>
  <c r="BJ124" i="5"/>
  <c r="BK60" i="5"/>
  <c r="BJ60" i="5"/>
  <c r="BK331" i="5"/>
  <c r="BJ331" i="5"/>
  <c r="BJ237" i="5"/>
  <c r="BK237" i="5"/>
  <c r="BJ482" i="5"/>
  <c r="BK482" i="5"/>
  <c r="BJ226" i="5"/>
  <c r="BK226" i="5"/>
  <c r="BJ253" i="5"/>
  <c r="BL253" i="5" s="1"/>
  <c r="BK253" i="5"/>
  <c r="BJ45" i="5"/>
  <c r="BK45" i="5"/>
  <c r="BJ520" i="5"/>
  <c r="BL520" i="5" s="1"/>
  <c r="BK520" i="5"/>
  <c r="BK551" i="5"/>
  <c r="BJ551" i="5"/>
  <c r="BK8" i="5"/>
  <c r="BJ8" i="5"/>
  <c r="BL8" i="5" s="1"/>
  <c r="BJ334" i="5"/>
  <c r="BK334" i="5"/>
  <c r="BJ78" i="5"/>
  <c r="BK78" i="5"/>
  <c r="BJ409" i="5"/>
  <c r="BK409" i="5"/>
  <c r="BJ89" i="5"/>
  <c r="BK89" i="5"/>
  <c r="BJ372" i="5"/>
  <c r="BL372" i="5" s="1"/>
  <c r="BK372" i="5"/>
  <c r="BK116" i="5"/>
  <c r="BJ116" i="5"/>
  <c r="BK467" i="5"/>
  <c r="BM467" i="5" s="1"/>
  <c r="BJ467" i="5"/>
  <c r="BK403" i="5"/>
  <c r="BJ403" i="5"/>
  <c r="BJ394" i="5"/>
  <c r="BK394" i="5"/>
  <c r="BJ202" i="5"/>
  <c r="BK202" i="5"/>
  <c r="BK138" i="5"/>
  <c r="BJ138" i="5"/>
  <c r="BJ133" i="5"/>
  <c r="BK133" i="5"/>
  <c r="BJ416" i="5"/>
  <c r="BK416" i="5"/>
  <c r="BK447" i="5"/>
  <c r="BJ447" i="5"/>
  <c r="BL447" i="5" s="1"/>
  <c r="BJ214" i="5"/>
  <c r="BL214" i="5" s="1"/>
  <c r="BK214" i="5"/>
  <c r="BJ145" i="5"/>
  <c r="BL145" i="5" s="1"/>
  <c r="BK145" i="5"/>
  <c r="BJ428" i="5"/>
  <c r="BK428" i="5"/>
  <c r="BK172" i="5"/>
  <c r="BJ172" i="5"/>
  <c r="BK459" i="5"/>
  <c r="BJ459" i="5"/>
  <c r="BK251" i="5"/>
  <c r="BM251" i="5" s="1"/>
  <c r="BJ251" i="5"/>
  <c r="BK187" i="5"/>
  <c r="BJ187" i="5"/>
  <c r="BJ37" i="5"/>
  <c r="BK37" i="5"/>
  <c r="BJ41" i="5"/>
  <c r="BK41" i="5"/>
  <c r="BJ326" i="5"/>
  <c r="BK326" i="5"/>
  <c r="BK338" i="5"/>
  <c r="BM338" i="5" s="1"/>
  <c r="BJ338" i="5"/>
  <c r="BJ82" i="5"/>
  <c r="BK82" i="5"/>
  <c r="BJ429" i="5"/>
  <c r="BK429" i="5"/>
  <c r="BJ365" i="5"/>
  <c r="BK365" i="5"/>
  <c r="BJ376" i="5"/>
  <c r="BK376" i="5"/>
  <c r="BK120" i="5"/>
  <c r="BJ120" i="5"/>
  <c r="BK471" i="5"/>
  <c r="BJ471" i="5"/>
  <c r="BL471" i="5" s="1"/>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AQ11" i="5"/>
  <c r="BJ351" i="5"/>
  <c r="BK351" i="5"/>
  <c r="BJ25" i="5"/>
  <c r="BK25" i="5"/>
  <c r="BJ386"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249" i="5"/>
  <c r="BL249" i="5" s="1"/>
  <c r="BK249" i="5"/>
  <c r="BJ185" i="5"/>
  <c r="BK185" i="5"/>
  <c r="BJ468" i="5"/>
  <c r="BL468" i="5" s="1"/>
  <c r="BK468" i="5"/>
  <c r="BK212" i="5"/>
  <c r="BJ212" i="5"/>
  <c r="BK22" i="5"/>
  <c r="BJ22" i="5"/>
  <c r="BK499" i="5"/>
  <c r="BM499" i="5" s="1"/>
  <c r="BJ499" i="5"/>
  <c r="BJ275" i="5"/>
  <c r="BK275" i="5"/>
  <c r="BJ490" i="5"/>
  <c r="BK490" i="5"/>
  <c r="BJ234" i="5"/>
  <c r="BK234" i="5"/>
  <c r="BM234" i="5" s="1"/>
  <c r="BJ517" i="5"/>
  <c r="BK517" i="5"/>
  <c r="BJ512" i="5"/>
  <c r="BL512" i="5" s="1"/>
  <c r="BK512" i="5"/>
  <c r="BJ256" i="5"/>
  <c r="BK256" i="5"/>
  <c r="BK543" i="5"/>
  <c r="BJ543" i="5"/>
  <c r="BJ319" i="5"/>
  <c r="BK319" i="5"/>
  <c r="BM319" i="5" s="1"/>
  <c r="BK63" i="5"/>
  <c r="BJ63" i="5"/>
  <c r="BJ246" i="5"/>
  <c r="BK246" i="5"/>
  <c r="BJ321" i="5"/>
  <c r="BK321" i="5"/>
  <c r="BJ257" i="5"/>
  <c r="BK257" i="5"/>
  <c r="BJ268" i="5"/>
  <c r="BK268" i="5"/>
  <c r="BK555" i="5"/>
  <c r="BJ555" i="5"/>
  <c r="BJ91" i="5"/>
  <c r="BK91" i="5"/>
  <c r="BJ7" i="5"/>
  <c r="BK7" i="5"/>
  <c r="BJ434" i="5"/>
  <c r="BL434" i="5" s="1"/>
  <c r="BK434" i="5"/>
  <c r="BJ178" i="5"/>
  <c r="BK178" i="5"/>
  <c r="BM178" i="5" s="1"/>
  <c r="BJ525" i="5"/>
  <c r="BK525" i="5"/>
  <c r="BJ189" i="5"/>
  <c r="BK189" i="5"/>
  <c r="BJ472" i="5"/>
  <c r="BK472" i="5"/>
  <c r="BJ26" i="5"/>
  <c r="BK26" i="5"/>
  <c r="BK19" i="5"/>
  <c r="BJ19" i="5"/>
  <c r="BJ286" i="5"/>
  <c r="BK286" i="5"/>
  <c r="BJ28" i="5"/>
  <c r="BK28" i="5"/>
  <c r="BJ105" i="5"/>
  <c r="BL105" i="5" s="1"/>
  <c r="BK105" i="5"/>
  <c r="BK39" i="5"/>
  <c r="BJ39" i="5"/>
  <c r="BK132" i="5"/>
  <c r="BJ132" i="5"/>
  <c r="BK68" i="5"/>
  <c r="BJ68" i="5"/>
  <c r="BJ131" i="5"/>
  <c r="BK131" i="5"/>
  <c r="BK51" i="5"/>
  <c r="BJ51" i="5"/>
  <c r="BL51" i="5" s="1"/>
  <c r="BK346" i="5"/>
  <c r="BJ346" i="5"/>
  <c r="BJ90" i="5"/>
  <c r="BK90" i="5"/>
  <c r="BJ421" i="5"/>
  <c r="BK421" i="5"/>
  <c r="BJ357" i="5"/>
  <c r="BK357" i="5"/>
  <c r="BK149" i="5"/>
  <c r="BJ149" i="5"/>
  <c r="BK368" i="5"/>
  <c r="BJ368" i="5"/>
  <c r="BK112" i="5"/>
  <c r="BJ112" i="5"/>
  <c r="BK399" i="5"/>
  <c r="BJ399" i="5"/>
  <c r="BJ166" i="5"/>
  <c r="BK166"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81" i="5"/>
  <c r="BK381" i="5"/>
  <c r="BJ317" i="5"/>
  <c r="BK317" i="5"/>
  <c r="BJ109" i="5"/>
  <c r="BK109" i="5"/>
  <c r="BM109" i="5" s="1"/>
  <c r="BK136" i="5"/>
  <c r="BJ136" i="5"/>
  <c r="BK72" i="5"/>
  <c r="BJ72" i="5"/>
  <c r="BJ359" i="5"/>
  <c r="BK359" i="5"/>
  <c r="BJ87" i="5"/>
  <c r="BK87" i="5"/>
  <c r="BJ206" i="5"/>
  <c r="BK206"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236" i="5"/>
  <c r="BJ315" i="5"/>
  <c r="BK59" i="5"/>
  <c r="BJ59" i="5"/>
  <c r="BJ83" i="5"/>
  <c r="BK83" i="5"/>
  <c r="BK335" i="5"/>
  <c r="BJ335" i="5"/>
  <c r="BJ390" i="5"/>
  <c r="BK390" i="5"/>
  <c r="BJ402" i="5"/>
  <c r="BK402" i="5"/>
  <c r="BJ210" i="5"/>
  <c r="BK210" i="5"/>
  <c r="BJ146" i="5"/>
  <c r="BL146" i="5" s="1"/>
  <c r="BK146" i="5"/>
  <c r="BJ157" i="5"/>
  <c r="BK157" i="5"/>
  <c r="BM157" i="5" s="1"/>
  <c r="BJ440" i="5"/>
  <c r="BK440" i="5"/>
  <c r="BK184" i="5"/>
  <c r="BJ184" i="5"/>
  <c r="BJ263" i="5"/>
  <c r="BK263" i="5"/>
  <c r="BJ199" i="5"/>
  <c r="BK199" i="5"/>
  <c r="BJ254" i="5"/>
  <c r="BK254" i="5"/>
  <c r="BJ537" i="5"/>
  <c r="BK537" i="5"/>
  <c r="BJ265" i="5"/>
  <c r="BK265" i="5"/>
  <c r="BJ548" i="5"/>
  <c r="BL548" i="5" s="1"/>
  <c r="BK548" i="5"/>
  <c r="BJ356" i="5"/>
  <c r="BK356" i="5"/>
  <c r="BK292" i="5"/>
  <c r="BJ292" i="5"/>
  <c r="BJ29" i="5"/>
  <c r="BK29" i="5"/>
  <c r="BK378" i="5"/>
  <c r="BJ378" i="5"/>
  <c r="BJ314" i="5"/>
  <c r="BK314" i="5"/>
  <c r="BJ58" i="5"/>
  <c r="BK58" i="5"/>
  <c r="BJ325" i="5"/>
  <c r="BK325" i="5"/>
  <c r="BJ117" i="5"/>
  <c r="BK117" i="5"/>
  <c r="BM117" i="5" s="1"/>
  <c r="BK53" i="5"/>
  <c r="BJ53" i="5"/>
  <c r="BK144" i="5"/>
  <c r="BM144" i="5" s="1"/>
  <c r="BJ144" i="5"/>
  <c r="BK80" i="5"/>
  <c r="BJ80" i="5"/>
  <c r="BJ367" i="5"/>
  <c r="BK367" i="5"/>
  <c r="BJ79" i="5"/>
  <c r="BK79" i="5"/>
  <c r="BJ70" i="5"/>
  <c r="BK70" i="5"/>
  <c r="BJ337" i="5"/>
  <c r="BK337" i="5"/>
  <c r="BJ65" i="5"/>
  <c r="BK65" i="5"/>
  <c r="BK92" i="5"/>
  <c r="BJ92" i="5"/>
  <c r="BJ379" i="5"/>
  <c r="BK379" i="5"/>
  <c r="BJ107" i="5"/>
  <c r="BK107" i="5"/>
  <c r="BK21" i="5"/>
  <c r="BJ21" i="5"/>
  <c r="BK374" i="5"/>
  <c r="BJ374" i="5"/>
  <c r="BK194" i="5"/>
  <c r="BJ130" i="5"/>
  <c r="BK130" i="5"/>
  <c r="BJ424" i="5"/>
  <c r="BL424" i="5" s="1"/>
  <c r="BK424" i="5"/>
  <c r="BK455" i="5"/>
  <c r="BJ455" i="5"/>
  <c r="BJ183" i="5"/>
  <c r="BK183" i="5"/>
  <c r="BM183" i="5" s="1"/>
  <c r="BJ558" i="5"/>
  <c r="BK558" i="5"/>
  <c r="BJ494" i="5"/>
  <c r="BK494" i="5"/>
  <c r="BJ238" i="5"/>
  <c r="BK238" i="5"/>
  <c r="BJ340" i="5"/>
  <c r="BK340" i="5"/>
  <c r="BK276" i="5"/>
  <c r="BJ276" i="5"/>
  <c r="BJ67" i="5"/>
  <c r="BK67"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J155" i="5"/>
  <c r="BK343" i="5"/>
  <c r="BJ343" i="5"/>
  <c r="BK550" i="5"/>
  <c r="BM550" i="5" s="1"/>
  <c r="BJ498" i="5"/>
  <c r="BK498" i="5"/>
  <c r="BM498" i="5" s="1"/>
  <c r="BJ242" i="5"/>
  <c r="BK242" i="5"/>
  <c r="BJ50" i="5"/>
  <c r="BK50" i="5"/>
  <c r="BJ269" i="5"/>
  <c r="BK269" i="5"/>
  <c r="BJ536" i="5"/>
  <c r="BK536" i="5"/>
  <c r="BJ344" i="5"/>
  <c r="BK344" i="5"/>
  <c r="BJ280" i="5"/>
  <c r="BK280" i="5"/>
  <c r="BJ295" i="5"/>
  <c r="BK295" i="5"/>
  <c r="BK350" i="5"/>
  <c r="BJ350" i="5"/>
  <c r="BJ425" i="5"/>
  <c r="BK425" i="5"/>
  <c r="BJ361" i="5"/>
  <c r="BK361" i="5"/>
  <c r="BJ169" i="5"/>
  <c r="BL169" i="5" s="1"/>
  <c r="BK169" i="5"/>
  <c r="BJ388" i="5"/>
  <c r="BK388" i="5"/>
  <c r="BK483" i="5"/>
  <c r="BJ483"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K423" i="5"/>
  <c r="BJ423"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K545"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D11" i="5"/>
  <c r="AE11"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K401" i="5" l="1"/>
  <c r="BK44" i="5"/>
  <c r="BK297" i="5"/>
  <c r="BK462" i="5"/>
  <c r="BK111" i="5"/>
  <c r="BK532" i="5"/>
  <c r="BK261" i="5"/>
  <c r="BK305" i="5"/>
  <c r="BM305" i="5" s="1"/>
  <c r="BK298" i="5"/>
  <c r="BK142" i="5"/>
  <c r="BJ465" i="5"/>
  <c r="BJ168" i="5"/>
  <c r="BK369" i="5"/>
  <c r="BK484" i="5"/>
  <c r="BK115" i="5"/>
  <c r="BK33" i="5"/>
  <c r="BK161" i="5"/>
  <c r="BK553" i="5"/>
  <c r="BJ211" i="5"/>
  <c r="BK406" i="5"/>
  <c r="AC91" i="4"/>
  <c r="AD91" i="4" s="1"/>
  <c r="BK554" i="5"/>
  <c r="BK457" i="5"/>
  <c r="BK328" i="5"/>
  <c r="AK109" i="4"/>
  <c r="BK119" i="5"/>
  <c r="BK489" i="5"/>
  <c r="BM489" i="5" s="1"/>
  <c r="BE11" i="5"/>
  <c r="BD11" i="5"/>
  <c r="BK521" i="5"/>
  <c r="BK398" i="5"/>
  <c r="BK417" i="5"/>
  <c r="AK153" i="4"/>
  <c r="BJ433" i="5"/>
  <c r="BK432" i="5"/>
  <c r="BJ523" i="5"/>
  <c r="BK151" i="5"/>
  <c r="BJ160" i="5"/>
  <c r="BK422"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F59" i="4" s="1"/>
  <c r="AF131" i="4"/>
  <c r="AO131" i="4" s="1"/>
  <c r="AA84" i="4"/>
  <c r="AF84" i="4" s="1"/>
  <c r="AO84" i="4" s="1"/>
  <c r="AA83" i="4"/>
  <c r="AK102" i="4"/>
  <c r="AK124" i="4"/>
  <c r="AK118" i="4"/>
  <c r="AA75" i="4"/>
  <c r="AC75" i="4" s="1"/>
  <c r="AD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11" i="5"/>
  <c r="BG11" i="5"/>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AG114" i="4" l="1"/>
  <c r="AI114" i="4" s="1"/>
  <c r="AG129" i="4"/>
  <c r="AI129" i="4" s="1"/>
  <c r="AF88" i="4"/>
  <c r="AO88" i="4" s="1"/>
  <c r="AC59" i="4"/>
  <c r="AD59" i="4" s="1"/>
  <c r="AF75" i="4"/>
  <c r="AO75" i="4" s="1"/>
  <c r="AO148" i="4"/>
  <c r="AR148" i="4" s="1"/>
  <c r="AT148" i="4" s="1"/>
  <c r="AO109" i="4"/>
  <c r="AC54" i="4"/>
  <c r="AD54" i="4" s="1"/>
  <c r="BK11" i="5"/>
  <c r="AO116" i="4"/>
  <c r="AR116" i="4" s="1"/>
  <c r="AT116" i="4" s="1"/>
  <c r="AG88" i="4"/>
  <c r="AI88" i="4" s="1"/>
  <c r="AR88" i="4" s="1"/>
  <c r="AT88" i="4" s="1"/>
  <c r="AO154" i="4"/>
  <c r="AC82" i="4"/>
  <c r="AD82" i="4" s="1"/>
  <c r="AG99" i="4"/>
  <c r="AI99" i="4" s="1"/>
  <c r="AR99" i="4" s="1"/>
  <c r="AT99" i="4" s="1"/>
  <c r="AO14" i="4"/>
  <c r="AR14" i="4" s="1"/>
  <c r="AT14" i="4" s="1"/>
  <c r="AG107" i="4"/>
  <c r="AI107" i="4" s="1"/>
  <c r="AC156" i="4"/>
  <c r="AD156" i="4" s="1"/>
  <c r="AC51" i="4"/>
  <c r="AD51" i="4" s="1"/>
  <c r="AC37" i="4"/>
  <c r="AD37" i="4" s="1"/>
  <c r="AG131" i="4"/>
  <c r="AI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G113" i="4"/>
  <c r="AI113" i="4" s="1"/>
  <c r="AG144" i="4"/>
  <c r="AI144" i="4" s="1"/>
  <c r="AR144" i="4" s="1"/>
  <c r="AT144" i="4" s="1"/>
  <c r="AC83" i="4"/>
  <c r="AD83" i="4" s="1"/>
  <c r="AF83" i="4"/>
  <c r="AG84" i="4"/>
  <c r="AI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AR114" i="4"/>
  <c r="AT114" i="4" s="1"/>
  <c r="X23" i="4"/>
  <c r="AA23" i="4" s="1"/>
  <c r="AA12" i="4"/>
  <c r="AF12" i="4" s="1"/>
  <c r="AR129" i="4"/>
  <c r="AT129" i="4" s="1"/>
  <c r="AR84" i="4"/>
  <c r="AT84" i="4" s="1"/>
  <c r="AR94" i="4"/>
  <c r="AT94" i="4" s="1"/>
  <c r="AK19" i="4"/>
  <c r="AR109" i="4"/>
  <c r="AT109" i="4" s="1"/>
  <c r="AR139" i="4"/>
  <c r="AT139" i="4" s="1"/>
  <c r="AK20" i="4"/>
  <c r="AK21" i="4"/>
  <c r="AR145" i="4"/>
  <c r="AT145" i="4" s="1"/>
  <c r="AR113" i="4"/>
  <c r="AT113"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C76" i="4"/>
  <c r="AD76" i="4" s="1"/>
  <c r="AA18" i="4"/>
  <c r="AR136" i="4"/>
  <c r="AT136" i="4" s="1"/>
  <c r="AR107" i="4"/>
  <c r="AT107" i="4" s="1"/>
  <c r="AK10" i="4"/>
  <c r="AA22" i="4"/>
  <c r="AG82" i="4"/>
  <c r="AI82" i="4" s="1"/>
  <c r="AO82" i="4"/>
  <c r="AO156" i="4"/>
  <c r="AG156" i="4"/>
  <c r="AI156" i="4" s="1"/>
  <c r="AG11" i="4"/>
  <c r="AI11" i="4" s="1"/>
  <c r="AO11" i="4"/>
  <c r="AA9" i="4"/>
  <c r="AK16" i="4"/>
  <c r="AC138" i="4"/>
  <c r="AD138" i="4" s="1"/>
  <c r="AF138" i="4"/>
  <c r="AF130" i="4"/>
  <c r="AF17" i="4"/>
  <c r="AC17" i="4"/>
  <c r="AD17" i="4" s="1"/>
  <c r="AO28" i="4"/>
  <c r="AG28" i="4"/>
  <c r="AI28" i="4" s="1"/>
  <c r="AR154" i="4"/>
  <c r="AT154" i="4" s="1"/>
  <c r="AC142" i="4"/>
  <c r="AD142" i="4" s="1"/>
  <c r="AO80" i="4"/>
  <c r="AG80" i="4"/>
  <c r="AI80" i="4" s="1"/>
  <c r="AR72" i="4"/>
  <c r="AT72" i="4" s="1"/>
  <c r="AR131" i="4"/>
  <c r="AT131"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C61" i="4" l="1"/>
  <c r="AD61" i="4" s="1"/>
  <c r="AG75" i="4"/>
  <c r="AI75" i="4" s="1"/>
  <c r="AR75" i="4" s="1"/>
  <c r="AT75" i="4" s="1"/>
  <c r="AG49" i="4"/>
  <c r="AI49" i="4" s="1"/>
  <c r="AR49" i="4" s="1"/>
  <c r="AT49" i="4" s="1"/>
  <c r="AF103" i="4"/>
  <c r="AC71" i="4"/>
  <c r="AD71" i="4" s="1"/>
  <c r="AF100" i="4"/>
  <c r="AF63" i="4"/>
  <c r="AO63" i="4" s="1"/>
  <c r="AC87" i="4"/>
  <c r="AD87" i="4" s="1"/>
  <c r="AF157" i="4"/>
  <c r="AG157" i="4" s="1"/>
  <c r="AI157" i="4" s="1"/>
  <c r="AC55" i="4"/>
  <c r="AD55" i="4" s="1"/>
  <c r="AC93" i="4"/>
  <c r="AD93" i="4" s="1"/>
  <c r="AF152" i="4"/>
  <c r="AF48" i="4"/>
  <c r="AA85" i="4"/>
  <c r="AC85" i="4" s="1"/>
  <c r="AD85" i="4" s="1"/>
  <c r="AR57" i="4"/>
  <c r="AT57" i="4" s="1"/>
  <c r="AA77" i="4"/>
  <c r="AC77" i="4" s="1"/>
  <c r="AD77" i="4" s="1"/>
  <c r="AG52" i="4"/>
  <c r="AI52" i="4" s="1"/>
  <c r="AR52" i="4" s="1"/>
  <c r="AT52" i="4" s="1"/>
  <c r="AR51" i="4"/>
  <c r="AT51" i="4" s="1"/>
  <c r="AO83" i="4"/>
  <c r="AG83" i="4"/>
  <c r="AI83" i="4" s="1"/>
  <c r="AR54" i="4"/>
  <c r="AT54" i="4" s="1"/>
  <c r="AF108" i="4"/>
  <c r="AG108" i="4" s="1"/>
  <c r="AI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A58" i="4"/>
  <c r="AF58" i="4" s="1"/>
  <c r="AO58" i="4" s="1"/>
  <c r="AO50" i="4"/>
  <c r="AG50" i="4"/>
  <c r="AI50" i="4" s="1"/>
  <c r="AO150" i="4"/>
  <c r="AG150" i="4"/>
  <c r="AI150" i="4" s="1"/>
  <c r="AF134" i="4"/>
  <c r="AO134" i="4" s="1"/>
  <c r="AC140" i="4"/>
  <c r="AD140" i="4" s="1"/>
  <c r="AF111" i="4"/>
  <c r="AG146" i="4"/>
  <c r="AI146" i="4" s="1"/>
  <c r="AR146" i="4" s="1"/>
  <c r="AT146" i="4" s="1"/>
  <c r="AK142" i="4"/>
  <c r="AK152" i="4"/>
  <c r="AK151" i="4"/>
  <c r="AK76" i="4"/>
  <c r="AK78" i="4"/>
  <c r="AF126" i="4"/>
  <c r="AG126" i="4" s="1"/>
  <c r="AI126" i="4" s="1"/>
  <c r="AC126" i="4"/>
  <c r="AD126" i="4" s="1"/>
  <c r="AC66" i="4"/>
  <c r="AD66" i="4" s="1"/>
  <c r="AF66" i="4"/>
  <c r="AO66" i="4" s="1"/>
  <c r="AC70" i="4"/>
  <c r="AD70" i="4" s="1"/>
  <c r="AF70" i="4"/>
  <c r="AG70" i="4" s="1"/>
  <c r="AI70" i="4" s="1"/>
  <c r="AF95" i="4"/>
  <c r="AO95" i="4" s="1"/>
  <c r="AC95" i="4"/>
  <c r="AD95" i="4" s="1"/>
  <c r="AC128" i="4"/>
  <c r="AD128" i="4" s="1"/>
  <c r="AF128" i="4"/>
  <c r="AF56" i="4"/>
  <c r="AO56" i="4" s="1"/>
  <c r="AC56" i="4"/>
  <c r="AD56" i="4" s="1"/>
  <c r="AC143" i="4"/>
  <c r="AD143" i="4" s="1"/>
  <c r="AF143" i="4"/>
  <c r="AG143" i="4" s="1"/>
  <c r="AI143" i="4" s="1"/>
  <c r="AF127" i="4"/>
  <c r="AG127" i="4" s="1"/>
  <c r="AI127" i="4" s="1"/>
  <c r="AC127" i="4"/>
  <c r="AD127" i="4" s="1"/>
  <c r="AC120" i="4"/>
  <c r="AD120" i="4" s="1"/>
  <c r="AF120" i="4"/>
  <c r="AG120" i="4" s="1"/>
  <c r="AI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F85" i="4"/>
  <c r="AO85"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O48" i="4"/>
  <c r="AG48" i="4"/>
  <c r="AI48" i="4" s="1"/>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93" i="4"/>
  <c r="AG93" i="4"/>
  <c r="AI93" i="4" s="1"/>
  <c r="AO39" i="4"/>
  <c r="AG39" i="4"/>
  <c r="AI39" i="4" s="1"/>
  <c r="AO140" i="4"/>
  <c r="AG140" i="4"/>
  <c r="AI140" i="4" s="1"/>
  <c r="AO76" i="4"/>
  <c r="AG76" i="4"/>
  <c r="AI76" i="4" s="1"/>
  <c r="AO120" i="4"/>
  <c r="AO128" i="4"/>
  <c r="AG128" i="4"/>
  <c r="AI128" i="4" s="1"/>
  <c r="AO21" i="4"/>
  <c r="AG21" i="4"/>
  <c r="AI21" i="4" s="1"/>
  <c r="AO70" i="4"/>
  <c r="AO130" i="4"/>
  <c r="AG130" i="4"/>
  <c r="AI130" i="4" s="1"/>
  <c r="AO135" i="4"/>
  <c r="AG135" i="4"/>
  <c r="AI135" i="4" s="1"/>
  <c r="AO98" i="4"/>
  <c r="AG98" i="4"/>
  <c r="AI98" i="4" s="1"/>
  <c r="AO100" i="4"/>
  <c r="AG100" i="4"/>
  <c r="AI100" i="4" s="1"/>
  <c r="AO71" i="4"/>
  <c r="AG71" i="4"/>
  <c r="AI71" i="4" s="1"/>
  <c r="AO55" i="4"/>
  <c r="AG55" i="4"/>
  <c r="AI55" i="4" s="1"/>
  <c r="AO38" i="4"/>
  <c r="AG38" i="4"/>
  <c r="AI38" i="4" s="1"/>
  <c r="AO20" i="4"/>
  <c r="AG20" i="4"/>
  <c r="AI20" i="4" s="1"/>
  <c r="AG17" i="4"/>
  <c r="AI17" i="4" s="1"/>
  <c r="AO17" i="4"/>
  <c r="AO44" i="4"/>
  <c r="AG44" i="4"/>
  <c r="AI44" i="4" s="1"/>
  <c r="AC9" i="4"/>
  <c r="AD9" i="4" s="1"/>
  <c r="AF9" i="4"/>
  <c r="AO152" i="4"/>
  <c r="AG152" i="4"/>
  <c r="AI152" i="4" s="1"/>
  <c r="AO87" i="4"/>
  <c r="AG87" i="4"/>
  <c r="AI87" i="4" s="1"/>
  <c r="AO53" i="4"/>
  <c r="AG53" i="4"/>
  <c r="AI53" i="4" s="1"/>
  <c r="AO111" i="4"/>
  <c r="AG111" i="4"/>
  <c r="AI111" i="4" s="1"/>
  <c r="AO157" i="4"/>
  <c r="AO10" i="4"/>
  <c r="AG10" i="4"/>
  <c r="AI10" i="4" s="1"/>
  <c r="AR80" i="4"/>
  <c r="AT80" i="4" s="1"/>
  <c r="AO142" i="4"/>
  <c r="AG142" i="4"/>
  <c r="AI142" i="4" s="1"/>
  <c r="AG132" i="4"/>
  <c r="AI13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O103" i="4"/>
  <c r="AG103" i="4"/>
  <c r="AI103" i="4" s="1"/>
  <c r="AG16" i="4"/>
  <c r="AI16" i="4" s="1"/>
  <c r="AO16" i="4"/>
  <c r="AG19" i="4"/>
  <c r="AI19" i="4" s="1"/>
  <c r="AO19" i="4"/>
  <c r="AO7" i="4"/>
  <c r="AR7" i="4" s="1"/>
  <c r="AT7" i="4" s="1"/>
  <c r="BL9" i="5"/>
  <c r="AG63" i="4" l="1"/>
  <c r="AI63" i="4" s="1"/>
  <c r="AR63" i="4" s="1"/>
  <c r="AT63" i="4" s="1"/>
  <c r="AO108" i="4"/>
  <c r="AR108" i="4" s="1"/>
  <c r="AT108" i="4" s="1"/>
  <c r="AG134" i="4"/>
  <c r="AI134" i="4" s="1"/>
  <c r="AR134" i="4" s="1"/>
  <c r="AT134" i="4" s="1"/>
  <c r="AG151" i="4"/>
  <c r="AI151" i="4" s="1"/>
  <c r="AO68" i="4"/>
  <c r="AG85" i="4"/>
  <c r="AI85" i="4" s="1"/>
  <c r="AR85" i="4" s="1"/>
  <c r="AT85" i="4" s="1"/>
  <c r="AG66" i="4"/>
  <c r="AI66" i="4" s="1"/>
  <c r="AR66" i="4" s="1"/>
  <c r="AT66" i="4" s="1"/>
  <c r="AO127" i="4"/>
  <c r="AR127" i="4" s="1"/>
  <c r="AT127" i="4" s="1"/>
  <c r="AG56" i="4"/>
  <c r="AI56" i="4" s="1"/>
  <c r="AR56" i="4" s="1"/>
  <c r="AT56" i="4" s="1"/>
  <c r="AG90" i="4"/>
  <c r="AI90" i="4" s="1"/>
  <c r="AR90" i="4" s="1"/>
  <c r="AT90" i="4" s="1"/>
  <c r="AO119" i="4"/>
  <c r="AO143" i="4"/>
  <c r="AR143" i="4" s="1"/>
  <c r="AT143" i="4" s="1"/>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8" i="4"/>
  <c r="AT48" i="4" s="1"/>
  <c r="AR41" i="4"/>
  <c r="AT41" i="4" s="1"/>
  <c r="AR43" i="4"/>
  <c r="AT43" i="4" s="1"/>
  <c r="AR39" i="4"/>
  <c r="AT39" i="4" s="1"/>
  <c r="AR36" i="4"/>
  <c r="AT36" i="4" s="1"/>
  <c r="AR24" i="4"/>
  <c r="AT24" i="4" s="1"/>
  <c r="AR35" i="4"/>
  <c r="AT35" i="4" s="1"/>
  <c r="AO23" i="4"/>
  <c r="AR23" i="4" s="1"/>
  <c r="AT23" i="4" s="1"/>
  <c r="AR31" i="4"/>
  <c r="AT31" i="4" s="1"/>
  <c r="AR33" i="4"/>
  <c r="AT33" i="4" s="1"/>
  <c r="AR12" i="4"/>
  <c r="AT12" i="4" s="1"/>
  <c r="AR103" i="4"/>
  <c r="AT103" i="4" s="1"/>
  <c r="AR141" i="4"/>
  <c r="AT141" i="4" s="1"/>
  <c r="AR101" i="4"/>
  <c r="AT101" i="4" s="1"/>
  <c r="AR132" i="4"/>
  <c r="AT132" i="4" s="1"/>
  <c r="AR21" i="4"/>
  <c r="AT21" i="4" s="1"/>
  <c r="AR120" i="4"/>
  <c r="AT120" i="4" s="1"/>
  <c r="AR76" i="4"/>
  <c r="AT76" i="4" s="1"/>
  <c r="AR26" i="4"/>
  <c r="AT26" i="4" s="1"/>
  <c r="AR30" i="4"/>
  <c r="AT30" i="4" s="1"/>
  <c r="AR16" i="4"/>
  <c r="AT16" i="4" s="1"/>
  <c r="AR138" i="4"/>
  <c r="AT138" i="4" s="1"/>
  <c r="AR61" i="4"/>
  <c r="AT61" i="4" s="1"/>
  <c r="AR157" i="4"/>
  <c r="AT157" i="4" s="1"/>
  <c r="AR53" i="4"/>
  <c r="AT53" i="4" s="1"/>
  <c r="AR152" i="4"/>
  <c r="AT152" i="4" s="1"/>
  <c r="AR55" i="4"/>
  <c r="AT55" i="4" s="1"/>
  <c r="AR119" i="4"/>
  <c r="AT119" i="4" s="1"/>
  <c r="AR128" i="4"/>
  <c r="AT128"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70" i="4"/>
  <c r="AT70" i="4" s="1"/>
  <c r="AR17" i="4"/>
  <c r="AT17" i="4" s="1"/>
  <c r="AO22" i="4"/>
  <c r="AG22" i="4"/>
  <c r="AI22" i="4" s="1"/>
  <c r="AR19" i="4"/>
  <c r="AT19" i="4" s="1"/>
  <c r="AR79" i="4"/>
  <c r="AT79" i="4" s="1"/>
  <c r="AR10" i="4"/>
  <c r="AT10" i="4" s="1"/>
  <c r="AR111" i="4"/>
  <c r="AT111" i="4" s="1"/>
  <c r="AR87" i="4"/>
  <c r="AT87" i="4" s="1"/>
  <c r="AR151" i="4"/>
  <c r="AT151" i="4" s="1"/>
  <c r="AR44" i="4"/>
  <c r="AT44" i="4" s="1"/>
  <c r="AR20" i="4"/>
  <c r="AT20" i="4" s="1"/>
  <c r="AR38" i="4"/>
  <c r="AT38" i="4" s="1"/>
  <c r="AR71" i="4"/>
  <c r="AT71" i="4" s="1"/>
  <c r="AR98" i="4"/>
  <c r="AT98" i="4" s="1"/>
  <c r="AR130" i="4"/>
  <c r="AT130" i="4" s="1"/>
  <c r="H67" i="1"/>
  <c r="AG77" i="4" l="1"/>
  <c r="AI77" i="4" s="1"/>
  <c r="AO77" i="4"/>
  <c r="AR89" i="4"/>
  <c r="AT89" i="4" s="1"/>
  <c r="AG64" i="4"/>
  <c r="AI64" i="4" s="1"/>
  <c r="AO64" i="4"/>
  <c r="AG149" i="4"/>
  <c r="AI149" i="4" s="1"/>
  <c r="AO149" i="4"/>
  <c r="AR18" i="4"/>
  <c r="AT18" i="4" s="1"/>
  <c r="AR9" i="4"/>
  <c r="AT9" i="4" s="1"/>
  <c r="AR22" i="4"/>
  <c r="AT22" i="4" s="1"/>
  <c r="AR77" i="4" l="1"/>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<sst xmlns="http://schemas.openxmlformats.org/spreadsheetml/2006/main" count="1018" uniqueCount="591">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</sst>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23" fillId="9" borderId="0" xfId="0" applyFont="1" applyFill="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7898-43E4-80BA-F0F27F0651AB}"/>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898-43E4-80BA-F0F27F0651AB}"/>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898-43E4-80BA-F0F27F0651AB}"/>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228.35274443619764</c:v>
                </c:pt>
              </c:numCache>
            </c:numRef>
          </c:xVal>
          <c:yVal>
            <c:numRef>
              <c:f>Loop_Modeling!$BL$11</c:f>
              <c:numCache>
                <c:formatCode>General</c:formatCode>
                <c:ptCount val="1"/>
                <c:pt idx="0">
                  <c:v>27.357228992820971</c:v>
                </c:pt>
              </c:numCache>
            </c:numRef>
          </c:yVal>
          <c:smooth val="0"/>
          <c:extLst>
            <c:ext xmlns:c16="http://schemas.microsoft.com/office/drawing/2014/chart" uri="{C3380CC4-5D6E-409C-BE32-E72D297353CC}">
              <c16:uniqueId val="{00000002-7898-43E4-80BA-F0F27F0651AB}"/>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354376.61900566961</c:v>
                </c:pt>
              </c:numCache>
            </c:numRef>
          </c:xVal>
          <c:yVal>
            <c:numRef>
              <c:f>Loop_Modeling!$BL$9</c:f>
              <c:numCache>
                <c:formatCode>General</c:formatCode>
                <c:ptCount val="1"/>
                <c:pt idx="0">
                  <c:v>-63.53122426642814</c:v>
                </c:pt>
              </c:numCache>
            </c:numRef>
          </c:yVal>
          <c:smooth val="1"/>
          <c:extLst>
            <c:ext xmlns:c16="http://schemas.microsoft.com/office/drawing/2014/chart" uri="{C3380CC4-5D6E-409C-BE32-E72D297353CC}">
              <c16:uniqueId val="{00000004-7898-43E4-80BA-F0F27F0651AB}"/>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898-43E4-80BA-F0F27F0651AB}"/>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-56.38869351525706</c:v>
                </c:pt>
              </c:numCache>
            </c:numRef>
          </c:yVal>
          <c:smooth val="1"/>
          <c:extLst>
            <c:ext xmlns:c16="http://schemas.microsoft.com/office/drawing/2014/chart" uri="{C3380CC4-5D6E-409C-BE32-E72D297353CC}">
              <c16:uniqueId val="{00000006-7898-43E4-80BA-F0F27F0651AB}"/>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898-43E4-80BA-F0F27F0651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999.71069963062632</c:v>
                </c:pt>
              </c:numCache>
            </c:numRef>
          </c:xVal>
          <c:yVal>
            <c:numRef>
              <c:f>Loop_Modeling!$BL$12</c:f>
              <c:numCache>
                <c:formatCode>General</c:formatCode>
                <c:ptCount val="1"/>
                <c:pt idx="0">
                  <c:v>7.2670460181889887</c:v>
                </c:pt>
              </c:numCache>
            </c:numRef>
          </c:yVal>
          <c:smooth val="1"/>
          <c:extLst>
            <c:ext xmlns:c16="http://schemas.microsoft.com/office/drawing/2014/chart" uri="{C3380CC4-5D6E-409C-BE32-E72D297353CC}">
              <c16:uniqueId val="{00000008-7898-43E4-80BA-F0F27F0651AB}"/>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898-43E4-80BA-F0F27F0651AB}"/>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14898.127743275916</c:v>
                </c:pt>
              </c:numCache>
            </c:numRef>
          </c:xVal>
          <c:yVal>
            <c:numRef>
              <c:f>Loop_Modeling!$BL$13</c:f>
              <c:numCache>
                <c:formatCode>General</c:formatCode>
                <c:ptCount val="1"/>
                <c:pt idx="0">
                  <c:v>-21.914822676270745</c:v>
                </c:pt>
              </c:numCache>
            </c:numRef>
          </c:yVal>
          <c:smooth val="1"/>
          <c:extLst>
            <c:ext xmlns:c16="http://schemas.microsoft.com/office/drawing/2014/chart" uri="{C3380CC4-5D6E-409C-BE32-E72D297353CC}">
              <c16:uniqueId val="{0000000A-7898-43E4-80BA-F0F27F0651AB}"/>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B-7898-43E4-80BA-F0F27F0651AB}"/>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7E4F-4CA1-BF22-F64513F4B049}"/>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7E4F-4CA1-BF22-F64513F4B049}"/>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7E4F-4CA1-BF22-F64513F4B049}"/>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7E4F-4CA1-BF22-F64513F4B049}"/>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570E-4DE5-88B9-63E96ABD534D}"/>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570E-4DE5-88B9-63E96ABD534D}"/>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6.6666666666666671E-3</c:v>
                </c:pt>
                <c:pt idx="1">
                  <c:v>1.3333333333333334E-2</c:v>
                </c:pt>
                <c:pt idx="2">
                  <c:v>0.02</c:v>
                </c:pt>
                <c:pt idx="3">
                  <c:v>2.6666666666666668E-2</c:v>
                </c:pt>
                <c:pt idx="4">
                  <c:v>3.3333333333333333E-2</c:v>
                </c:pt>
                <c:pt idx="5">
                  <c:v>0.04</c:v>
                </c:pt>
                <c:pt idx="6">
                  <c:v>4.6666666666666669E-2</c:v>
                </c:pt>
                <c:pt idx="7">
                  <c:v>5.3333333333333337E-2</c:v>
                </c:pt>
                <c:pt idx="8">
                  <c:v>6.0000000000000005E-2</c:v>
                </c:pt>
                <c:pt idx="9">
                  <c:v>6.6666666666666666E-2</c:v>
                </c:pt>
                <c:pt idx="10">
                  <c:v>7.3333333333333334E-2</c:v>
                </c:pt>
                <c:pt idx="11">
                  <c:v>0.08</c:v>
                </c:pt>
                <c:pt idx="12">
                  <c:v>8.666666666666667E-2</c:v>
                </c:pt>
                <c:pt idx="13">
                  <c:v>9.3333333333333338E-2</c:v>
                </c:pt>
                <c:pt idx="14">
                  <c:v>0.1</c:v>
                </c:pt>
                <c:pt idx="15">
                  <c:v>0.10666666666666667</c:v>
                </c:pt>
                <c:pt idx="16">
                  <c:v>0.11333333333333334</c:v>
                </c:pt>
                <c:pt idx="17">
                  <c:v>0.12000000000000001</c:v>
                </c:pt>
                <c:pt idx="18">
                  <c:v>0.12666666666666668</c:v>
                </c:pt>
                <c:pt idx="19">
                  <c:v>0.13333333333333333</c:v>
                </c:pt>
                <c:pt idx="20">
                  <c:v>0.14000000000000001</c:v>
                </c:pt>
                <c:pt idx="21">
                  <c:v>0.14666666666666667</c:v>
                </c:pt>
                <c:pt idx="22">
                  <c:v>0.15333333333333335</c:v>
                </c:pt>
                <c:pt idx="23">
                  <c:v>0.16</c:v>
                </c:pt>
                <c:pt idx="24">
                  <c:v>0.16666666666666669</c:v>
                </c:pt>
                <c:pt idx="25">
                  <c:v>0.17333333333333334</c:v>
                </c:pt>
                <c:pt idx="26">
                  <c:v>0.18000000000000002</c:v>
                </c:pt>
                <c:pt idx="27">
                  <c:v>0.18666666666666668</c:v>
                </c:pt>
                <c:pt idx="28">
                  <c:v>0.19333333333333336</c:v>
                </c:pt>
                <c:pt idx="29">
                  <c:v>0.2</c:v>
                </c:pt>
                <c:pt idx="30">
                  <c:v>0.20666666666666669</c:v>
                </c:pt>
                <c:pt idx="31">
                  <c:v>0.21333333333333335</c:v>
                </c:pt>
                <c:pt idx="32">
                  <c:v>0.22</c:v>
                </c:pt>
                <c:pt idx="33">
                  <c:v>0.22666666666666668</c:v>
                </c:pt>
                <c:pt idx="34">
                  <c:v>0.23333333333333334</c:v>
                </c:pt>
                <c:pt idx="35">
                  <c:v>0.24000000000000002</c:v>
                </c:pt>
                <c:pt idx="36">
                  <c:v>0.24666666666666667</c:v>
                </c:pt>
                <c:pt idx="37">
                  <c:v>0.25333333333333335</c:v>
                </c:pt>
                <c:pt idx="38">
                  <c:v>0.26</c:v>
                </c:pt>
                <c:pt idx="39">
                  <c:v>0.26666666666666666</c:v>
                </c:pt>
                <c:pt idx="40">
                  <c:v>0.27333333333333337</c:v>
                </c:pt>
                <c:pt idx="41">
                  <c:v>0.28000000000000003</c:v>
                </c:pt>
                <c:pt idx="42">
                  <c:v>0.28666666666666668</c:v>
                </c:pt>
                <c:pt idx="43">
                  <c:v>0.29333333333333333</c:v>
                </c:pt>
                <c:pt idx="44">
                  <c:v>0.30000000000000004</c:v>
                </c:pt>
                <c:pt idx="45">
                  <c:v>0.3066666666666667</c:v>
                </c:pt>
                <c:pt idx="46">
                  <c:v>0.31333333333333335</c:v>
                </c:pt>
                <c:pt idx="47">
                  <c:v>0.32</c:v>
                </c:pt>
                <c:pt idx="48">
                  <c:v>0.32666666666666666</c:v>
                </c:pt>
                <c:pt idx="49">
                  <c:v>0.33333333333333337</c:v>
                </c:pt>
                <c:pt idx="50">
                  <c:v>0.34</c:v>
                </c:pt>
                <c:pt idx="51">
                  <c:v>0.34666666666666668</c:v>
                </c:pt>
                <c:pt idx="52">
                  <c:v>0.35333333333333333</c:v>
                </c:pt>
                <c:pt idx="53">
                  <c:v>0.36000000000000004</c:v>
                </c:pt>
                <c:pt idx="54">
                  <c:v>0.3666666666666667</c:v>
                </c:pt>
                <c:pt idx="55">
                  <c:v>0.37333333333333335</c:v>
                </c:pt>
                <c:pt idx="56">
                  <c:v>0.38</c:v>
                </c:pt>
                <c:pt idx="57">
                  <c:v>0.38666666666666671</c:v>
                </c:pt>
                <c:pt idx="58">
                  <c:v>0.39333333333333337</c:v>
                </c:pt>
                <c:pt idx="59">
                  <c:v>0.4</c:v>
                </c:pt>
                <c:pt idx="60">
                  <c:v>0.40666666666666668</c:v>
                </c:pt>
                <c:pt idx="61">
                  <c:v>0.41333333333333339</c:v>
                </c:pt>
                <c:pt idx="62">
                  <c:v>0.42000000000000004</c:v>
                </c:pt>
                <c:pt idx="63">
                  <c:v>0.42666666666666669</c:v>
                </c:pt>
                <c:pt idx="64">
                  <c:v>0.43333333333333335</c:v>
                </c:pt>
                <c:pt idx="65">
                  <c:v>0.44</c:v>
                </c:pt>
                <c:pt idx="66">
                  <c:v>0.44666666666666671</c:v>
                </c:pt>
                <c:pt idx="67">
                  <c:v>0.45333333333333337</c:v>
                </c:pt>
                <c:pt idx="68">
                  <c:v>0.46</c:v>
                </c:pt>
                <c:pt idx="69">
                  <c:v>0.46666666666666667</c:v>
                </c:pt>
                <c:pt idx="70">
                  <c:v>0.47333333333333338</c:v>
                </c:pt>
                <c:pt idx="71">
                  <c:v>0.48000000000000004</c:v>
                </c:pt>
                <c:pt idx="72">
                  <c:v>0.48666666666666669</c:v>
                </c:pt>
                <c:pt idx="73">
                  <c:v>0.49333333333333335</c:v>
                </c:pt>
                <c:pt idx="74">
                  <c:v>0.5</c:v>
                </c:pt>
                <c:pt idx="75">
                  <c:v>0.50666666666666671</c:v>
                </c:pt>
                <c:pt idx="76">
                  <c:v>0.51333333333333342</c:v>
                </c:pt>
                <c:pt idx="77">
                  <c:v>0.52</c:v>
                </c:pt>
                <c:pt idx="78">
                  <c:v>0.52666666666666673</c:v>
                </c:pt>
                <c:pt idx="79">
                  <c:v>0.53333333333333333</c:v>
                </c:pt>
                <c:pt idx="80">
                  <c:v>0.54</c:v>
                </c:pt>
                <c:pt idx="81">
                  <c:v>0.54666666666666675</c:v>
                </c:pt>
                <c:pt idx="82">
                  <c:v>0.55333333333333334</c:v>
                </c:pt>
                <c:pt idx="83">
                  <c:v>0.56000000000000005</c:v>
                </c:pt>
                <c:pt idx="84">
                  <c:v>0.56666666666666665</c:v>
                </c:pt>
                <c:pt idx="85">
                  <c:v>0.57333333333333336</c:v>
                </c:pt>
                <c:pt idx="86">
                  <c:v>0.58000000000000007</c:v>
                </c:pt>
                <c:pt idx="87">
                  <c:v>0.58666666666666667</c:v>
                </c:pt>
                <c:pt idx="88">
                  <c:v>0.59333333333333338</c:v>
                </c:pt>
                <c:pt idx="89">
                  <c:v>0.60000000000000009</c:v>
                </c:pt>
                <c:pt idx="90">
                  <c:v>0.60666666666666669</c:v>
                </c:pt>
                <c:pt idx="91">
                  <c:v>0.6133333333333334</c:v>
                </c:pt>
                <c:pt idx="92">
                  <c:v>0.62</c:v>
                </c:pt>
                <c:pt idx="93">
                  <c:v>0.62666666666666671</c:v>
                </c:pt>
                <c:pt idx="94">
                  <c:v>0.63333333333333341</c:v>
                </c:pt>
                <c:pt idx="95">
                  <c:v>0.64</c:v>
                </c:pt>
                <c:pt idx="96">
                  <c:v>0.64666666666666672</c:v>
                </c:pt>
                <c:pt idx="97">
                  <c:v>0.65333333333333332</c:v>
                </c:pt>
                <c:pt idx="98">
                  <c:v>0.66</c:v>
                </c:pt>
                <c:pt idx="99">
                  <c:v>0.66666666666666674</c:v>
                </c:pt>
                <c:pt idx="100">
                  <c:v>0.67333333333333334</c:v>
                </c:pt>
                <c:pt idx="101">
                  <c:v>0.68</c:v>
                </c:pt>
                <c:pt idx="102">
                  <c:v>0.68666666666666676</c:v>
                </c:pt>
                <c:pt idx="103">
                  <c:v>0.69333333333333336</c:v>
                </c:pt>
                <c:pt idx="104">
                  <c:v>0.70000000000000007</c:v>
                </c:pt>
                <c:pt idx="105">
                  <c:v>0.70666666666666667</c:v>
                </c:pt>
                <c:pt idx="106">
                  <c:v>0.71333333333333337</c:v>
                </c:pt>
                <c:pt idx="107">
                  <c:v>0.72000000000000008</c:v>
                </c:pt>
                <c:pt idx="108">
                  <c:v>0.72666666666666668</c:v>
                </c:pt>
                <c:pt idx="109">
                  <c:v>0.73333333333333339</c:v>
                </c:pt>
                <c:pt idx="110">
                  <c:v>0.7400000000000001</c:v>
                </c:pt>
                <c:pt idx="111">
                  <c:v>0.7466666666666667</c:v>
                </c:pt>
                <c:pt idx="112">
                  <c:v>0.75333333333333341</c:v>
                </c:pt>
                <c:pt idx="113">
                  <c:v>0.76</c:v>
                </c:pt>
                <c:pt idx="114">
                  <c:v>0.76666666666666672</c:v>
                </c:pt>
                <c:pt idx="115">
                  <c:v>0.77333333333333343</c:v>
                </c:pt>
                <c:pt idx="116">
                  <c:v>0.78</c:v>
                </c:pt>
                <c:pt idx="117">
                  <c:v>0.78666666666666674</c:v>
                </c:pt>
                <c:pt idx="118">
                  <c:v>0.79333333333333333</c:v>
                </c:pt>
                <c:pt idx="119">
                  <c:v>0.8</c:v>
                </c:pt>
                <c:pt idx="120">
                  <c:v>0.80666666666666675</c:v>
                </c:pt>
                <c:pt idx="121">
                  <c:v>0.81333333333333335</c:v>
                </c:pt>
                <c:pt idx="122">
                  <c:v>0.82000000000000006</c:v>
                </c:pt>
                <c:pt idx="123">
                  <c:v>0.82666666666666677</c:v>
                </c:pt>
                <c:pt idx="124">
                  <c:v>0.83333333333333337</c:v>
                </c:pt>
                <c:pt idx="125">
                  <c:v>0.84000000000000008</c:v>
                </c:pt>
                <c:pt idx="126">
                  <c:v>0.84666666666666668</c:v>
                </c:pt>
                <c:pt idx="127">
                  <c:v>0.85333333333333339</c:v>
                </c:pt>
                <c:pt idx="128">
                  <c:v>0.8600000000000001</c:v>
                </c:pt>
                <c:pt idx="129">
                  <c:v>0.8666666666666667</c:v>
                </c:pt>
                <c:pt idx="130">
                  <c:v>0.87333333333333341</c:v>
                </c:pt>
                <c:pt idx="131">
                  <c:v>0.88</c:v>
                </c:pt>
                <c:pt idx="132">
                  <c:v>0.88666666666666671</c:v>
                </c:pt>
                <c:pt idx="133">
                  <c:v>0.89333333333333342</c:v>
                </c:pt>
                <c:pt idx="134">
                  <c:v>0.9</c:v>
                </c:pt>
                <c:pt idx="135">
                  <c:v>0.90666666666666673</c:v>
                </c:pt>
                <c:pt idx="136">
                  <c:v>0.91333333333333344</c:v>
                </c:pt>
                <c:pt idx="137">
                  <c:v>0.92</c:v>
                </c:pt>
                <c:pt idx="138">
                  <c:v>0.92666666666666675</c:v>
                </c:pt>
                <c:pt idx="139">
                  <c:v>0.93333333333333335</c:v>
                </c:pt>
                <c:pt idx="140">
                  <c:v>0.94000000000000006</c:v>
                </c:pt>
                <c:pt idx="141">
                  <c:v>0.94666666666666677</c:v>
                </c:pt>
                <c:pt idx="142">
                  <c:v>0.95333333333333337</c:v>
                </c:pt>
                <c:pt idx="143">
                  <c:v>0.96000000000000008</c:v>
                </c:pt>
                <c:pt idx="144">
                  <c:v>0.96666666666666667</c:v>
                </c:pt>
                <c:pt idx="145">
                  <c:v>0.97333333333333338</c:v>
                </c:pt>
                <c:pt idx="146">
                  <c:v>0.98000000000000009</c:v>
                </c:pt>
                <c:pt idx="147">
                  <c:v>0.98666666666666669</c:v>
                </c:pt>
                <c:pt idx="148">
                  <c:v>0.9933333333333334</c:v>
                </c:pt>
                <c:pt idx="149">
                  <c:v>1</c:v>
                </c:pt>
              </c:numCache>
            </c:numRef>
          </c:xVal>
          <c:yVal>
            <c:numRef>
              <c:f>Eff_vs_IOUT!$AN$8:$AN$157</c:f>
              <c:numCache>
                <c:formatCode>General</c:formatCode>
                <c:ptCount val="150"/>
                <c:pt idx="0">
                  <c:v>0.47866666666666663</c:v>
                </c:pt>
                <c:pt idx="1">
                  <c:v>0.48333333333333334</c:v>
                </c:pt>
                <c:pt idx="2">
                  <c:v>0.48799999999999999</c:v>
                </c:pt>
                <c:pt idx="3">
                  <c:v>0.49266666666666664</c:v>
                </c:pt>
                <c:pt idx="4">
                  <c:v>0.49733333333333329</c:v>
                </c:pt>
                <c:pt idx="5">
                  <c:v>0.502</c:v>
                </c:pt>
                <c:pt idx="6">
                  <c:v>0.5066666666666666</c:v>
                </c:pt>
                <c:pt idx="7">
                  <c:v>0.51133333333333331</c:v>
                </c:pt>
                <c:pt idx="8">
                  <c:v>0.51600000000000001</c:v>
                </c:pt>
                <c:pt idx="9">
                  <c:v>0.52066666666666661</c:v>
                </c:pt>
                <c:pt idx="10">
                  <c:v>0.52533333333333332</c:v>
                </c:pt>
                <c:pt idx="11">
                  <c:v>0.53</c:v>
                </c:pt>
                <c:pt idx="12">
                  <c:v>0.53466666666666662</c:v>
                </c:pt>
                <c:pt idx="13">
                  <c:v>0.53933333333333333</c:v>
                </c:pt>
                <c:pt idx="14">
                  <c:v>0.54399999999999993</c:v>
                </c:pt>
                <c:pt idx="15">
                  <c:v>0.54866666666666664</c:v>
                </c:pt>
                <c:pt idx="16">
                  <c:v>0.55333333333333334</c:v>
                </c:pt>
                <c:pt idx="17">
                  <c:v>0.55799999999999994</c:v>
                </c:pt>
                <c:pt idx="18">
                  <c:v>0.56266666666666665</c:v>
                </c:pt>
                <c:pt idx="19">
                  <c:v>0.56733333333333325</c:v>
                </c:pt>
                <c:pt idx="20">
                  <c:v>0.57199999999999995</c:v>
                </c:pt>
                <c:pt idx="21">
                  <c:v>0.57666666666666666</c:v>
                </c:pt>
                <c:pt idx="22">
                  <c:v>0.58133333333333326</c:v>
                </c:pt>
                <c:pt idx="23">
                  <c:v>0.58599999999999997</c:v>
                </c:pt>
                <c:pt idx="24">
                  <c:v>0.59066666666666667</c:v>
                </c:pt>
                <c:pt idx="25">
                  <c:v>0.59533333333333327</c:v>
                </c:pt>
                <c:pt idx="26">
                  <c:v>0.6</c:v>
                </c:pt>
                <c:pt idx="27">
                  <c:v>0.60466666666666669</c:v>
                </c:pt>
                <c:pt idx="28">
                  <c:v>0.60933333333333328</c:v>
                </c:pt>
                <c:pt idx="29">
                  <c:v>0.61399999999999999</c:v>
                </c:pt>
                <c:pt idx="30">
                  <c:v>0.6186666666666667</c:v>
                </c:pt>
                <c:pt idx="31">
                  <c:v>0.62333333333333329</c:v>
                </c:pt>
                <c:pt idx="32">
                  <c:v>0.628</c:v>
                </c:pt>
                <c:pt idx="33">
                  <c:v>0.63266666666666671</c:v>
                </c:pt>
                <c:pt idx="34">
                  <c:v>0.63733333333333331</c:v>
                </c:pt>
                <c:pt idx="35">
                  <c:v>0.64200000000000002</c:v>
                </c:pt>
                <c:pt idx="36">
                  <c:v>0.64666666666666661</c:v>
                </c:pt>
                <c:pt idx="37">
                  <c:v>0.65133333333333332</c:v>
                </c:pt>
                <c:pt idx="38">
                  <c:v>0.65599999999999992</c:v>
                </c:pt>
                <c:pt idx="39">
                  <c:v>0.66066666666666662</c:v>
                </c:pt>
                <c:pt idx="40">
                  <c:v>0.66533333333333333</c:v>
                </c:pt>
                <c:pt idx="41">
                  <c:v>0.66999999999999993</c:v>
                </c:pt>
                <c:pt idx="42">
                  <c:v>0.67466666666666664</c:v>
                </c:pt>
                <c:pt idx="43">
                  <c:v>0.67933333333333334</c:v>
                </c:pt>
                <c:pt idx="44">
                  <c:v>0.68399999999999994</c:v>
                </c:pt>
                <c:pt idx="45">
                  <c:v>0.68866666666666665</c:v>
                </c:pt>
                <c:pt idx="46">
                  <c:v>0.69333333333333336</c:v>
                </c:pt>
                <c:pt idx="47">
                  <c:v>0.69799999999999995</c:v>
                </c:pt>
                <c:pt idx="48">
                  <c:v>0.70266666666666666</c:v>
                </c:pt>
                <c:pt idx="49">
                  <c:v>0.70733333333333337</c:v>
                </c:pt>
                <c:pt idx="50">
                  <c:v>0.71199999999999997</c:v>
                </c:pt>
                <c:pt idx="51">
                  <c:v>0.71666666666666667</c:v>
                </c:pt>
                <c:pt idx="52">
                  <c:v>0.72133333333333327</c:v>
                </c:pt>
                <c:pt idx="53">
                  <c:v>0.72599999999999998</c:v>
                </c:pt>
                <c:pt idx="54">
                  <c:v>0.73066666666666658</c:v>
                </c:pt>
                <c:pt idx="55">
                  <c:v>0.73533333333333328</c:v>
                </c:pt>
                <c:pt idx="56">
                  <c:v>0.74</c:v>
                </c:pt>
                <c:pt idx="57">
                  <c:v>0.74466666666666659</c:v>
                </c:pt>
                <c:pt idx="58">
                  <c:v>0.7493333333333333</c:v>
                </c:pt>
                <c:pt idx="59">
                  <c:v>0.754</c:v>
                </c:pt>
                <c:pt idx="60">
                  <c:v>0.7586666666666666</c:v>
                </c:pt>
                <c:pt idx="61">
                  <c:v>0.76333333333333331</c:v>
                </c:pt>
                <c:pt idx="62">
                  <c:v>0.76800000000000002</c:v>
                </c:pt>
                <c:pt idx="63">
                  <c:v>0.77266666666666661</c:v>
                </c:pt>
                <c:pt idx="64">
                  <c:v>0.77733333333333332</c:v>
                </c:pt>
                <c:pt idx="65">
                  <c:v>0.78200000000000003</c:v>
                </c:pt>
                <c:pt idx="66">
                  <c:v>0.78666666666666663</c:v>
                </c:pt>
                <c:pt idx="67">
                  <c:v>0.79133333333333333</c:v>
                </c:pt>
                <c:pt idx="68">
                  <c:v>0.79600000000000004</c:v>
                </c:pt>
                <c:pt idx="69">
                  <c:v>0.80066666666666664</c:v>
                </c:pt>
                <c:pt idx="70">
                  <c:v>0.80533333333333335</c:v>
                </c:pt>
                <c:pt idx="71">
                  <c:v>0.81</c:v>
                </c:pt>
                <c:pt idx="72">
                  <c:v>0.81466666666666665</c:v>
                </c:pt>
                <c:pt idx="73">
                  <c:v>0.81933333333333325</c:v>
                </c:pt>
                <c:pt idx="74">
                  <c:v>0.82399999999999995</c:v>
                </c:pt>
                <c:pt idx="75">
                  <c:v>0.82866666666666666</c:v>
                </c:pt>
                <c:pt idx="76">
                  <c:v>0.83333333333333337</c:v>
                </c:pt>
                <c:pt idx="77">
                  <c:v>0.83799999999999997</c:v>
                </c:pt>
                <c:pt idx="78">
                  <c:v>0.84266666666666667</c:v>
                </c:pt>
                <c:pt idx="79">
                  <c:v>0.84733333333333327</c:v>
                </c:pt>
                <c:pt idx="80">
                  <c:v>0.85199999999999998</c:v>
                </c:pt>
                <c:pt idx="81">
                  <c:v>0.85666666666666669</c:v>
                </c:pt>
                <c:pt idx="82">
                  <c:v>0.86133333333333328</c:v>
                </c:pt>
                <c:pt idx="83">
                  <c:v>0.86599999999999999</c:v>
                </c:pt>
                <c:pt idx="84">
                  <c:v>0.87066666666666659</c:v>
                </c:pt>
                <c:pt idx="85">
                  <c:v>0.8753333333333333</c:v>
                </c:pt>
                <c:pt idx="86">
                  <c:v>0.88</c:v>
                </c:pt>
                <c:pt idx="87">
                  <c:v>0.8846666666666666</c:v>
                </c:pt>
                <c:pt idx="88">
                  <c:v>0.88933333333333331</c:v>
                </c:pt>
                <c:pt idx="89">
                  <c:v>0.89400000000000002</c:v>
                </c:pt>
                <c:pt idx="90">
                  <c:v>0.89866666666666661</c:v>
                </c:pt>
                <c:pt idx="91">
                  <c:v>0.90333333333333332</c:v>
                </c:pt>
                <c:pt idx="92">
                  <c:v>0.90799999999999992</c:v>
                </c:pt>
                <c:pt idx="93">
                  <c:v>0.91266666666666663</c:v>
                </c:pt>
                <c:pt idx="94">
                  <c:v>0.91733333333333333</c:v>
                </c:pt>
                <c:pt idx="95">
                  <c:v>0.92199999999999993</c:v>
                </c:pt>
                <c:pt idx="96">
                  <c:v>0.92666666666666664</c:v>
                </c:pt>
                <c:pt idx="97">
                  <c:v>0.93133333333333335</c:v>
                </c:pt>
                <c:pt idx="98">
                  <c:v>0.93599999999999994</c:v>
                </c:pt>
                <c:pt idx="99">
                  <c:v>0.94066666666666665</c:v>
                </c:pt>
                <c:pt idx="100">
                  <c:v>0.94533333333333336</c:v>
                </c:pt>
                <c:pt idx="101">
                  <c:v>0.95</c:v>
                </c:pt>
                <c:pt idx="102">
                  <c:v>0.95466666666666666</c:v>
                </c:pt>
                <c:pt idx="103">
                  <c:v>0.95933333333333337</c:v>
                </c:pt>
                <c:pt idx="104">
                  <c:v>0.96399999999999997</c:v>
                </c:pt>
                <c:pt idx="105">
                  <c:v>0.96866666666666656</c:v>
                </c:pt>
                <c:pt idx="106">
                  <c:v>0.97333333333333338</c:v>
                </c:pt>
                <c:pt idx="107">
                  <c:v>0.97799999999999998</c:v>
                </c:pt>
                <c:pt idx="108">
                  <c:v>0.98266666666666658</c:v>
                </c:pt>
                <c:pt idx="109">
                  <c:v>0.98733333333333329</c:v>
                </c:pt>
                <c:pt idx="110">
                  <c:v>0.99199999999999999</c:v>
                </c:pt>
                <c:pt idx="111">
                  <c:v>0.99666666666666659</c:v>
                </c:pt>
                <c:pt idx="112">
                  <c:v>1.0013333333333332</c:v>
                </c:pt>
                <c:pt idx="113">
                  <c:v>1.0059999999999998</c:v>
                </c:pt>
                <c:pt idx="114">
                  <c:v>1.0106666666666666</c:v>
                </c:pt>
                <c:pt idx="115">
                  <c:v>1.0153333333333334</c:v>
                </c:pt>
                <c:pt idx="116">
                  <c:v>1.02</c:v>
                </c:pt>
                <c:pt idx="117">
                  <c:v>1.0246666666666666</c:v>
                </c:pt>
                <c:pt idx="118">
                  <c:v>1.0293333333333332</c:v>
                </c:pt>
                <c:pt idx="119">
                  <c:v>1.0339999999999998</c:v>
                </c:pt>
                <c:pt idx="120">
                  <c:v>1.0386666666666666</c:v>
                </c:pt>
                <c:pt idx="121">
                  <c:v>1.0433333333333334</c:v>
                </c:pt>
                <c:pt idx="122">
                  <c:v>1.048</c:v>
                </c:pt>
                <c:pt idx="123">
                  <c:v>1.0526666666666666</c:v>
                </c:pt>
                <c:pt idx="124">
                  <c:v>1.0573333333333332</c:v>
                </c:pt>
                <c:pt idx="125">
                  <c:v>1.0619999999999998</c:v>
                </c:pt>
                <c:pt idx="126">
                  <c:v>1.0666666666666667</c:v>
                </c:pt>
                <c:pt idx="127">
                  <c:v>1.0713333333333335</c:v>
                </c:pt>
                <c:pt idx="128">
                  <c:v>1.0760000000000001</c:v>
                </c:pt>
                <c:pt idx="129">
                  <c:v>1.0806666666666667</c:v>
                </c:pt>
                <c:pt idx="130">
                  <c:v>1.0853333333333333</c:v>
                </c:pt>
                <c:pt idx="131">
                  <c:v>1.0899999999999999</c:v>
                </c:pt>
                <c:pt idx="132">
                  <c:v>1.0946666666666667</c:v>
                </c:pt>
                <c:pt idx="133">
                  <c:v>1.0993333333333335</c:v>
                </c:pt>
                <c:pt idx="134">
                  <c:v>1.1040000000000001</c:v>
                </c:pt>
                <c:pt idx="135">
                  <c:v>1.1086666666666667</c:v>
                </c:pt>
                <c:pt idx="136">
                  <c:v>1.1133333333333333</c:v>
                </c:pt>
                <c:pt idx="137">
                  <c:v>1.1179999999999999</c:v>
                </c:pt>
                <c:pt idx="138">
                  <c:v>1.1226666666666667</c:v>
                </c:pt>
                <c:pt idx="139">
                  <c:v>1.1273333333333333</c:v>
                </c:pt>
                <c:pt idx="140">
                  <c:v>1.1320000000000001</c:v>
                </c:pt>
                <c:pt idx="141">
                  <c:v>1.1366666666666667</c:v>
                </c:pt>
                <c:pt idx="142">
                  <c:v>1.1413333333333333</c:v>
                </c:pt>
                <c:pt idx="143">
                  <c:v>1.1459999999999999</c:v>
                </c:pt>
                <c:pt idx="144">
                  <c:v>1.1506666666666665</c:v>
                </c:pt>
                <c:pt idx="145">
                  <c:v>1.1553333333333333</c:v>
                </c:pt>
                <c:pt idx="146">
                  <c:v>1.1600000000000001</c:v>
                </c:pt>
                <c:pt idx="147">
                  <c:v>1.1646666666666667</c:v>
                </c:pt>
                <c:pt idx="148">
                  <c:v>1.1693333333333333</c:v>
                </c:pt>
                <c:pt idx="149">
                  <c:v>1.1739999999999999</c:v>
                </c:pt>
              </c:numCache>
            </c:numRef>
          </c:yVal>
          <c:smooth val="1"/>
          <c:extLst>
            <c:ext xmlns:c16="http://schemas.microsoft.com/office/drawing/2014/chart" uri="{C3380CC4-5D6E-409C-BE32-E72D297353CC}">
              <c16:uniqueId val="{00000002-570E-4DE5-88B9-63E96ABD534D}"/>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570E-4DE5-88B9-63E96ABD534D}"/>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3C91-4DD0-AD93-D685A16E9686}"/>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3C91-4DD0-AD93-D685A16E9686}"/>
            </c:ext>
          </c:extLst>
        </c:ser>
        <c:ser>
          <c:idx val="2"/>
          <c:order val="2"/>
          <c:tx>
            <c:v>Diode</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3C91-4DD0-AD93-D685A16E9686}"/>
            </c:ext>
          </c:extLst>
        </c:ser>
        <c:ser>
          <c:idx val="3"/>
          <c:order val="3"/>
          <c:tx>
            <c:v>RCS</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3C91-4DD0-AD93-D685A16E9686}"/>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26.499960664749473</c:v>
                </c:pt>
                <c:pt idx="1">
                  <c:v>26.499550495510526</c:v>
                </c:pt>
                <c:pt idx="2">
                  <c:v>26.499121037107017</c:v>
                </c:pt>
                <c:pt idx="3">
                  <c:v>26.498671384465027</c:v>
                </c:pt>
                <c:pt idx="4">
                  <c:v>26.498200590239975</c:v>
                </c:pt>
                <c:pt idx="5">
                  <c:v>26.49770766286165</c:v>
                </c:pt>
                <c:pt idx="6">
                  <c:v>26.497191564489718</c:v>
                </c:pt>
                <c:pt idx="7">
                  <c:v>26.496651208878006</c:v>
                </c:pt>
                <c:pt idx="8">
                  <c:v>26.496085459141359</c:v>
                </c:pt>
                <c:pt idx="9">
                  <c:v>26.495493125422129</c:v>
                </c:pt>
                <c:pt idx="10">
                  <c:v>26.494872962452259</c:v>
                </c:pt>
                <c:pt idx="11">
                  <c:v>26.494223667005159</c:v>
                </c:pt>
                <c:pt idx="12">
                  <c:v>26.493543875234529</c:v>
                </c:pt>
                <c:pt idx="13">
                  <c:v>26.49283215989357</c:v>
                </c:pt>
                <c:pt idx="14">
                  <c:v>26.49208702743109</c:v>
                </c:pt>
                <c:pt idx="15">
                  <c:v>26.491306914958347</c:v>
                </c:pt>
                <c:pt idx="16">
                  <c:v>26.490490187081846</c:v>
                </c:pt>
                <c:pt idx="17">
                  <c:v>26.489635132596341</c:v>
                </c:pt>
                <c:pt idx="18">
                  <c:v>26.48873996103271</c:v>
                </c:pt>
                <c:pt idx="19">
                  <c:v>26.487802799054236</c:v>
                </c:pt>
                <c:pt idx="20">
                  <c:v>26.486821686695738</c:v>
                </c:pt>
                <c:pt idx="21">
                  <c:v>26.485794573439389</c:v>
                </c:pt>
                <c:pt idx="22">
                  <c:v>26.484719314120355</c:v>
                </c:pt>
                <c:pt idx="23">
                  <c:v>26.483593664655821</c:v>
                </c:pt>
                <c:pt idx="24">
                  <c:v>26.482415277591024</c:v>
                </c:pt>
                <c:pt idx="25">
                  <c:v>26.481181697454851</c:v>
                </c:pt>
                <c:pt idx="26">
                  <c:v>26.479890355917888</c:v>
                </c:pt>
                <c:pt idx="27">
                  <c:v>26.478538566746053</c:v>
                </c:pt>
                <c:pt idx="28">
                  <c:v>26.47712352054193</c:v>
                </c:pt>
                <c:pt idx="29">
                  <c:v>26.475642279266278</c:v>
                </c:pt>
                <c:pt idx="30">
                  <c:v>26.474091770532237</c:v>
                </c:pt>
                <c:pt idx="31">
                  <c:v>26.472468781664059</c:v>
                </c:pt>
                <c:pt idx="32">
                  <c:v>26.470769953512388</c:v>
                </c:pt>
                <c:pt idx="33">
                  <c:v>26.468991774018335</c:v>
                </c:pt>
                <c:pt idx="34">
                  <c:v>26.467130571517696</c:v>
                </c:pt>
                <c:pt idx="35">
                  <c:v>26.46518250777747</c:v>
                </c:pt>
                <c:pt idx="36">
                  <c:v>26.463143570756536</c:v>
                </c:pt>
                <c:pt idx="37">
                  <c:v>26.461009567081643</c:v>
                </c:pt>
                <c:pt idx="38">
                  <c:v>26.458776114231437</c:v>
                </c:pt>
                <c:pt idx="39">
                  <c:v>26.456438632419349</c:v>
                </c:pt>
                <c:pt idx="40">
                  <c:v>26.453992336168479</c:v>
                </c:pt>
                <c:pt idx="41">
                  <c:v>26.451432225569597</c:v>
                </c:pt>
                <c:pt idx="42">
                  <c:v>26.448753077215397</c:v>
                </c:pt>
                <c:pt idx="43">
                  <c:v>26.445949434803072</c:v>
                </c:pt>
                <c:pt idx="44">
                  <c:v>26.443015599398791</c:v>
                </c:pt>
                <c:pt idx="45">
                  <c:v>26.439945619357029</c:v>
                </c:pt>
                <c:pt idx="46">
                  <c:v>26.436733279888646</c:v>
                </c:pt>
                <c:pt idx="47">
                  <c:v>26.433372092272563</c:v>
                </c:pt>
                <c:pt idx="48">
                  <c:v>26.429855282705748</c:v>
                </c:pt>
                <c:pt idx="49">
                  <c:v>26.426175780787567</c:v>
                </c:pt>
                <c:pt idx="50">
                  <c:v>26.422326207635397</c:v>
                </c:pt>
                <c:pt idx="51">
                  <c:v>26.418298863628969</c:v>
                </c:pt>
                <c:pt idx="52">
                  <c:v>26.414085715782708</c:v>
                </c:pt>
                <c:pt idx="53">
                  <c:v>26.409678384746108</c:v>
                </c:pt>
                <c:pt idx="54">
                  <c:v>26.40506813143368</c:v>
                </c:pt>
                <c:pt idx="55">
                  <c:v>26.400245843287866</c:v>
                </c:pt>
                <c:pt idx="56">
                  <c:v>26.395202020179553</c:v>
                </c:pt>
                <c:pt idx="57">
                  <c:v>26.38992675995414</c:v>
                </c:pt>
                <c:pt idx="58">
                  <c:v>26.384409743630584</c:v>
                </c:pt>
                <c:pt idx="59">
                  <c:v>26.378640220266956</c:v>
                </c:pt>
                <c:pt idx="60">
                  <c:v>26.37260699150486</c:v>
                </c:pt>
                <c:pt idx="61">
                  <c:v>26.36629839581099</c:v>
                </c:pt>
                <c:pt idx="62">
                  <c:v>26.359702292435291</c:v>
                </c:pt>
                <c:pt idx="63">
                  <c:v>26.352806045109713</c:v>
                </c:pt>
                <c:pt idx="64">
                  <c:v>26.345596505514091</c:v>
                </c:pt>
                <c:pt idx="65">
                  <c:v>26.338059996541148</c:v>
                </c:pt>
                <c:pt idx="66">
                  <c:v>26.33018229539541</c:v>
                </c:pt>
                <c:pt idx="67">
                  <c:v>26.321948616566893</c:v>
                </c:pt>
                <c:pt idx="68">
                  <c:v>26.313343594723474</c:v>
                </c:pt>
                <c:pt idx="69">
                  <c:v>26.304351267573342</c:v>
                </c:pt>
                <c:pt idx="70">
                  <c:v>26.294955058752794</c:v>
                </c:pt>
                <c:pt idx="71">
                  <c:v>26.285137760801135</c:v>
                </c:pt>
                <c:pt idx="72">
                  <c:v>26.274881518291583</c:v>
                </c:pt>
                <c:pt idx="73">
                  <c:v>26.264167811191626</c:v>
                </c:pt>
                <c:pt idx="74">
                  <c:v>26.252977438535879</c:v>
                </c:pt>
                <c:pt idx="75">
                  <c:v>26.241290502499282</c:v>
                </c:pt>
                <c:pt idx="76">
                  <c:v>26.22908639296822</c:v>
                </c:pt>
                <c:pt idx="77">
                  <c:v>26.216343772712424</c:v>
                </c:pt>
                <c:pt idx="78">
                  <c:v>26.203040563271468</c:v>
                </c:pt>
                <c:pt idx="79">
                  <c:v>26.189153931675616</c:v>
                </c:pt>
                <c:pt idx="80">
                  <c:v>26.174660278129739</c:v>
                </c:pt>
                <c:pt idx="81">
                  <c:v>26.159535224798436</c:v>
                </c:pt>
                <c:pt idx="82">
                  <c:v>26.143753605837571</c:v>
                </c:pt>
                <c:pt idx="83">
                  <c:v>26.127289458826162</c:v>
                </c:pt>
                <c:pt idx="84">
                  <c:v>26.110116017761761</c:v>
                </c:pt>
                <c:pt idx="85">
                  <c:v>26.092205707788899</c:v>
                </c:pt>
                <c:pt idx="86">
                  <c:v>26.073530141838557</c:v>
                </c:pt>
                <c:pt idx="87">
                  <c:v>26.054060119363712</c:v>
                </c:pt>
                <c:pt idx="88">
                  <c:v>26.03376562736171</c:v>
                </c:pt>
                <c:pt idx="89">
                  <c:v>26.012615843880198</c:v>
                </c:pt>
                <c:pt idx="90">
                  <c:v>25.990579144208262</c:v>
                </c:pt>
                <c:pt idx="91">
                  <c:v>25.967623109955916</c:v>
                </c:pt>
                <c:pt idx="92">
                  <c:v>25.943714541230463</c:v>
                </c:pt>
                <c:pt idx="93">
                  <c:v>25.918819472114269</c:v>
                </c:pt>
                <c:pt idx="94">
                  <c:v>25.89290318965153</c:v>
                </c:pt>
                <c:pt idx="95">
                  <c:v>25.865930256544189</c:v>
                </c:pt>
                <c:pt idx="96">
                  <c:v>25.837864537755642</c:v>
                </c:pt>
                <c:pt idx="97">
                  <c:v>25.80866923120864</c:v>
                </c:pt>
                <c:pt idx="98">
                  <c:v>25.778306902757219</c:v>
                </c:pt>
                <c:pt idx="99">
                  <c:v>25.746739525595508</c:v>
                </c:pt>
                <c:pt idx="100">
                  <c:v>25.713928524253511</c:v>
                </c:pt>
                <c:pt idx="101">
                  <c:v>25.679834823305924</c:v>
                </c:pt>
                <c:pt idx="102">
                  <c:v>25.644418900902419</c:v>
                </c:pt>
                <c:pt idx="103">
                  <c:v>25.607640847196315</c:v>
                </c:pt>
                <c:pt idx="104">
                  <c:v>25.56946042772374</c:v>
                </c:pt>
                <c:pt idx="105">
                  <c:v>25.529837151748112</c:v>
                </c:pt>
                <c:pt idx="106">
                  <c:v>25.488730345551851</c:v>
                </c:pt>
                <c:pt idx="107">
                  <c:v>25.446099230614863</c:v>
                </c:pt>
                <c:pt idx="108">
                  <c:v>25.401903006578422</c:v>
                </c:pt>
                <c:pt idx="109">
                  <c:v>25.356100938846101</c:v>
                </c:pt>
                <c:pt idx="110">
                  <c:v>25.308652450626571</c:v>
                </c:pt>
                <c:pt idx="111">
                  <c:v>25.259517219171812</c:v>
                </c:pt>
                <c:pt idx="112">
                  <c:v>25.208655275913433</c:v>
                </c:pt>
                <c:pt idx="113">
                  <c:v>25.156027110146496</c:v>
                </c:pt>
                <c:pt idx="114">
                  <c:v>25.101593775857616</c:v>
                </c:pt>
                <c:pt idx="115">
                  <c:v>25.04531700124101</c:v>
                </c:pt>
                <c:pt idx="116">
                  <c:v>24.987159300395184</c:v>
                </c:pt>
                <c:pt idx="117">
                  <c:v>24.9270840866421</c:v>
                </c:pt>
                <c:pt idx="118">
                  <c:v>24.865055786866375</c:v>
                </c:pt>
                <c:pt idx="119">
                  <c:v>24.801039956226528</c:v>
                </c:pt>
                <c:pt idx="120">
                  <c:v>24.735003392554109</c:v>
                </c:pt>
                <c:pt idx="121">
                  <c:v>24.666914249722574</c:v>
                </c:pt>
                <c:pt idx="122">
                  <c:v>24.596742149242591</c:v>
                </c:pt>
                <c:pt idx="123">
                  <c:v>24.524458289320869</c:v>
                </c:pt>
                <c:pt idx="124">
                  <c:v>24.450035550608934</c:v>
                </c:pt>
                <c:pt idx="125">
                  <c:v>24.373448597865945</c:v>
                </c:pt>
                <c:pt idx="126">
                  <c:v>24.294673976765317</c:v>
                </c:pt>
                <c:pt idx="127">
                  <c:v>24.213690205092636</c:v>
                </c:pt>
                <c:pt idx="128">
                  <c:v>24.130477857606571</c:v>
                </c:pt>
                <c:pt idx="129">
                  <c:v>24.045019643870052</c:v>
                </c:pt>
                <c:pt idx="130">
                  <c:v>23.957300478403333</c:v>
                </c:pt>
                <c:pt idx="131">
                  <c:v>23.867307542565364</c:v>
                </c:pt>
                <c:pt idx="132">
                  <c:v>23.775030337630337</c:v>
                </c:pt>
                <c:pt idx="133">
                  <c:v>23.680460728596767</c:v>
                </c:pt>
                <c:pt idx="134">
                  <c:v>23.583592978343582</c:v>
                </c:pt>
                <c:pt idx="135">
                  <c:v>23.484423771830802</c:v>
                </c:pt>
                <c:pt idx="136">
                  <c:v>23.382952230126428</c:v>
                </c:pt>
                <c:pt idx="137">
                  <c:v>23.279179914135582</c:v>
                </c:pt>
                <c:pt idx="138">
                  <c:v>23.173110817998239</c:v>
                </c:pt>
                <c:pt idx="139">
                  <c:v>23.064751352213534</c:v>
                </c:pt>
                <c:pt idx="140">
                  <c:v>22.954110316643511</c:v>
                </c:pt>
                <c:pt idx="141">
                  <c:v>22.841198863636162</c:v>
                </c:pt>
                <c:pt idx="142">
                  <c:v>22.726030451595619</c:v>
                </c:pt>
                <c:pt idx="143">
                  <c:v>22.608620789405979</c:v>
                </c:pt>
                <c:pt idx="144">
                  <c:v>22.488987772192569</c:v>
                </c:pt>
                <c:pt idx="145">
                  <c:v>22.367151408971374</c:v>
                </c:pt>
                <c:pt idx="146">
                  <c:v>22.24313374279506</c:v>
                </c:pt>
                <c:pt idx="147">
                  <c:v>22.116958764059849</c:v>
                </c:pt>
                <c:pt idx="148">
                  <c:v>21.988652317674557</c:v>
                </c:pt>
                <c:pt idx="149">
                  <c:v>21.858242004828345</c:v>
                </c:pt>
                <c:pt idx="150">
                  <c:v>21.725757080116953</c:v>
                </c:pt>
                <c:pt idx="151">
                  <c:v>21.591228344797841</c:v>
                </c:pt>
                <c:pt idx="152">
                  <c:v>21.454688036952753</c:v>
                </c:pt>
                <c:pt idx="153">
                  <c:v>21.31616971932754</c:v>
                </c:pt>
                <c:pt idx="154">
                  <c:v>21.175708165607922</c:v>
                </c:pt>
                <c:pt idx="155">
                  <c:v>21.033339245868667</c:v>
                </c:pt>
                <c:pt idx="156">
                  <c:v>20.889099811904849</c:v>
                </c:pt>
                <c:pt idx="157">
                  <c:v>20.743027583120139</c:v>
                </c:pt>
                <c:pt idx="158">
                  <c:v>20.595161033607422</c:v>
                </c:pt>
                <c:pt idx="159">
                  <c:v>20.445539281013136</c:v>
                </c:pt>
                <c:pt idx="160">
                  <c:v>20.294201977728669</c:v>
                </c:pt>
                <c:pt idx="161">
                  <c:v>20.14118920490214</c:v>
                </c:pt>
                <c:pt idx="162">
                  <c:v>19.986541369713255</c:v>
                </c:pt>
                <c:pt idx="163">
                  <c:v>19.830299106297936</c:v>
                </c:pt>
                <c:pt idx="164">
                  <c:v>19.672503180660467</c:v>
                </c:pt>
                <c:pt idx="165">
                  <c:v>19.5131943998549</c:v>
                </c:pt>
                <c:pt idx="166">
                  <c:v>19.35241352566749</c:v>
                </c:pt>
                <c:pt idx="167">
                  <c:v>19.190201192983743</c:v>
                </c:pt>
                <c:pt idx="168">
                  <c:v>19.026597832973028</c:v>
                </c:pt>
                <c:pt idx="169">
                  <c:v>18.861643601181747</c:v>
                </c:pt>
                <c:pt idx="170">
                  <c:v>18.69537831058285</c:v>
                </c:pt>
                <c:pt idx="171">
                  <c:v>18.527841369591119</c:v>
                </c:pt>
                <c:pt idx="172">
                  <c:v>18.359071725016999</c:v>
                </c:pt>
                <c:pt idx="173">
                  <c:v>18.189107809902058</c:v>
                </c:pt>
                <c:pt idx="174">
                  <c:v>18.017987496147185</c:v>
                </c:pt>
                <c:pt idx="175">
                  <c:v>17.845748051822746</c:v>
                </c:pt>
                <c:pt idx="176">
                  <c:v>17.672426103025277</c:v>
                </c:pt>
                <c:pt idx="177">
                  <c:v>17.498057600128508</c:v>
                </c:pt>
                <c:pt idx="178">
                  <c:v>17.322677788259455</c:v>
                </c:pt>
                <c:pt idx="179">
                  <c:v>17.146321181819186</c:v>
                </c:pt>
                <c:pt idx="180">
                  <c:v>16.969021542856456</c:v>
                </c:pt>
                <c:pt idx="181">
                  <c:v>16.790811863096621</c:v>
                </c:pt>
                <c:pt idx="182">
                  <c:v>16.611724349422239</c:v>
                </c:pt>
                <c:pt idx="183">
                  <c:v>16.43179041259944</c:v>
                </c:pt>
                <c:pt idx="184">
                  <c:v>16.251040659043163</c:v>
                </c:pt>
                <c:pt idx="185">
                  <c:v>16.069504885414997</c:v>
                </c:pt>
                <c:pt idx="186">
                  <c:v>15.88721207585073</c:v>
                </c:pt>
                <c:pt idx="187">
                  <c:v>15.704190401616881</c:v>
                </c:pt>
                <c:pt idx="188">
                  <c:v>15.520467223001278</c:v>
                </c:pt>
                <c:pt idx="189">
                  <c:v>15.336069093248703</c:v>
                </c:pt>
                <c:pt idx="190">
                  <c:v>15.151021764358081</c:v>
                </c:pt>
                <c:pt idx="191">
                  <c:v>14.965350194566337</c:v>
                </c:pt>
                <c:pt idx="192">
                  <c:v>14.779078557349791</c:v>
                </c:pt>
                <c:pt idx="193">
                  <c:v>14.59223025178451</c:v>
                </c:pt>
                <c:pt idx="194">
                  <c:v>14.404827914112461</c:v>
                </c:pt>
                <c:pt idx="195">
                  <c:v>14.216893430370739</c:v>
                </c:pt>
                <c:pt idx="196">
                  <c:v>14.028447949949378</c:v>
                </c:pt>
                <c:pt idx="197">
                  <c:v>13.839511899950111</c:v>
                </c:pt>
                <c:pt idx="198">
                  <c:v>13.650105000228944</c:v>
                </c:pt>
                <c:pt idx="199">
                  <c:v>13.460246279012127</c:v>
                </c:pt>
                <c:pt idx="200">
                  <c:v>13.269954088983285</c:v>
                </c:pt>
                <c:pt idx="201">
                  <c:v>13.07924612374814</c:v>
                </c:pt>
                <c:pt idx="202">
                  <c:v>12.888139434588911</c:v>
                </c:pt>
                <c:pt idx="203">
                  <c:v>12.696650447430111</c:v>
                </c:pt>
                <c:pt idx="204">
                  <c:v>12.504794979941877</c:v>
                </c:pt>
                <c:pt idx="205">
                  <c:v>12.312588258715023</c:v>
                </c:pt>
                <c:pt idx="206">
                  <c:v>12.120044936447904</c:v>
                </c:pt>
                <c:pt idx="207">
                  <c:v>11.927179109090517</c:v>
                </c:pt>
                <c:pt idx="208">
                  <c:v>11.734004332897772</c:v>
                </c:pt>
                <c:pt idx="209">
                  <c:v>11.540533641347801</c:v>
                </c:pt>
                <c:pt idx="210">
                  <c:v>11.346779561887033</c:v>
                </c:pt>
                <c:pt idx="211">
                  <c:v>11.152754132467921</c:v>
                </c:pt>
                <c:pt idx="212">
                  <c:v>10.958468917849213</c:v>
                </c:pt>
                <c:pt idx="213">
                  <c:v>10.763935025633021</c:v>
                </c:pt>
                <c:pt idx="214">
                  <c:v>10.56916312201589</c:v>
                </c:pt>
                <c:pt idx="215">
                  <c:v>10.374163447235423</c:v>
                </c:pt>
                <c:pt idx="216">
                  <c:v>10.178945830695643</c:v>
                </c:pt>
                <c:pt idx="217">
                  <c:v>9.9835197057584733</c:v>
                </c:pt>
                <c:pt idx="218">
                  <c:v>9.7878941241904602</c:v>
                </c:pt>
                <c:pt idx="219">
                  <c:v>9.5920777702566831</c:v>
                </c:pt>
                <c:pt idx="220">
                  <c:v>9.3960789744548734</c:v>
                </c:pt>
                <c:pt idx="221">
                  <c:v>9.1999057268863744</c:v>
                </c:pt>
                <c:pt idx="222">
                  <c:v>9.0035656902613965</c:v>
                </c:pt>
                <c:pt idx="223">
                  <c:v>8.8070662125361228</c:v>
                </c:pt>
                <c:pt idx="224">
                  <c:v>8.6104143391845742</c:v>
                </c:pt>
                <c:pt idx="225">
                  <c:v>8.4136168251045547</c:v>
                </c:pt>
                <c:pt idx="226">
                  <c:v>8.2166801461615027</c:v>
                </c:pt>
                <c:pt idx="227">
                  <c:v>8.0196105103743491</c:v>
                </c:pt>
                <c:pt idx="228">
                  <c:v>7.8224138687474625</c:v>
                </c:pt>
                <c:pt idx="229">
                  <c:v>7.6250959257536222</c:v>
                </c:pt>
                <c:pt idx="230">
                  <c:v>7.4276621494752266</c:v>
                </c:pt>
                <c:pt idx="231">
                  <c:v>7.2301177814092004</c:v>
                </c:pt>
                <c:pt idx="232">
                  <c:v>7.0324678459439038</c:v>
                </c:pt>
                <c:pt idx="233">
                  <c:v>6.8347171595134171</c:v>
                </c:pt>
                <c:pt idx="234">
                  <c:v>6.6368703394396968</c:v>
                </c:pt>
                <c:pt idx="235">
                  <c:v>6.4389318124687991</c:v>
                </c:pt>
                <c:pt idx="236">
                  <c:v>6.2409058230097738</c:v>
                </c:pt>
                <c:pt idx="237">
                  <c:v>6.0427964410851924</c:v>
                </c:pt>
                <c:pt idx="238">
                  <c:v>5.8446075700020641</c:v>
                </c:pt>
                <c:pt idx="239">
                  <c:v>5.6463429537503442</c:v>
                </c:pt>
                <c:pt idx="240">
                  <c:v>5.4480061841404837</c:v>
                </c:pt>
                <c:pt idx="241">
                  <c:v>5.2496007076855253</c:v>
                </c:pt>
                <c:pt idx="242">
                  <c:v>5.0511298322386349</c:v>
                </c:pt>
                <c:pt idx="243">
                  <c:v>4.8525967333954858</c:v>
                </c:pt>
                <c:pt idx="244">
                  <c:v>4.6540044606664077</c:v>
                </c:pt>
                <c:pt idx="245">
                  <c:v>4.4553559434320791</c:v>
                </c:pt>
                <c:pt idx="246">
                  <c:v>4.2566539966863424</c:v>
                </c:pt>
                <c:pt idx="247">
                  <c:v>4.0579013265784081</c:v>
                </c:pt>
                <c:pt idx="248">
                  <c:v>3.8591005357601338</c:v>
                </c:pt>
                <c:pt idx="249">
                  <c:v>3.6602541285475105</c:v>
                </c:pt>
                <c:pt idx="250">
                  <c:v>3.4613645159053523</c:v>
                </c:pt>
                <c:pt idx="251">
                  <c:v>3.2624340202603417</c:v>
                </c:pt>
                <c:pt idx="252">
                  <c:v>3.0634648801539948</c:v>
                </c:pt>
                <c:pt idx="253">
                  <c:v>2.8644592547392849</c:v>
                </c:pt>
                <c:pt idx="254">
                  <c:v>2.6654192281319711</c:v>
                </c:pt>
                <c:pt idx="255">
                  <c:v>2.4663468136205093</c:v>
                </c:pt>
                <c:pt idx="256">
                  <c:v>2.2672439577453889</c:v>
                </c:pt>
                <c:pt idx="257">
                  <c:v>2.0681125442512585</c:v>
                </c:pt>
                <c:pt idx="258">
                  <c:v>1.8689543979223002</c:v>
                </c:pt>
                <c:pt idx="259">
                  <c:v>1.6697712883044042</c:v>
                </c:pt>
                <c:pt idx="260">
                  <c:v>1.4705649333241735</c:v>
                </c:pt>
                <c:pt idx="261">
                  <c:v>1.2713370028074329</c:v>
                </c:pt>
                <c:pt idx="262">
                  <c:v>1.0720891219078317</c:v>
                </c:pt>
                <c:pt idx="263">
                  <c:v>0.87282287444819984</c:v>
                </c:pt>
                <c:pt idx="264">
                  <c:v>0.67353980618355602</c:v>
                </c:pt>
                <c:pt idx="265">
                  <c:v>0.47424142799005975</c:v>
                </c:pt>
                <c:pt idx="266">
                  <c:v>0.27492921898749362</c:v>
                </c:pt>
                <c:pt idx="267">
                  <c:v>7.5604629599398523E-2</c:v>
                </c:pt>
                <c:pt idx="268">
                  <c:v>-0.12373091544136378</c:v>
                </c:pt>
                <c:pt idx="269">
                  <c:v>-0.32307601413764064</c:v>
                </c:pt>
                <c:pt idx="270">
                  <c:v>-0.52242928431590863</c:v>
                </c:pt>
                <c:pt idx="271">
                  <c:v>-0.72178936075389433</c:v>
                </c:pt>
                <c:pt idx="272">
                  <c:v>-0.92115489233982994</c:v>
                </c:pt>
                <c:pt idx="273">
                  <c:v>-1.1205245392593941</c:v>
                </c:pt>
                <c:pt idx="274">
                  <c:v>-1.3198969702043797</c:v>
                </c:pt>
                <c:pt idx="275">
                  <c:v>-1.5192708595972384</c:v>
                </c:pt>
                <c:pt idx="276">
                  <c:v>-1.7186448848268872</c:v>
                </c:pt>
                <c:pt idx="277">
                  <c:v>-1.9180177234886988</c:v>
                </c:pt>
                <c:pt idx="278">
                  <c:v>-2.1173880506254741</c:v>
                </c:pt>
                <c:pt idx="279">
                  <c:v>-2.3167545359617265</c:v>
                </c:pt>
                <c:pt idx="280">
                  <c:v>-2.5161158411274167</c:v>
                </c:pt>
                <c:pt idx="281">
                  <c:v>-2.7154706168645486</c:v>
                </c:pt>
                <c:pt idx="282">
                  <c:v>-2.9148175002117944</c:v>
                </c:pt>
                <c:pt idx="283">
                  <c:v>-3.1141551116608914</c:v>
                </c:pt>
                <c:pt idx="284">
                  <c:v>-3.313482052280214</c:v>
                </c:pt>
                <c:pt idx="285">
                  <c:v>-3.5127969007986799</c:v>
                </c:pt>
                <c:pt idx="286">
                  <c:v>-3.7120982106446041</c:v>
                </c:pt>
                <c:pt idx="287">
                  <c:v>-3.9113845069344584</c:v>
                </c:pt>
                <c:pt idx="288">
                  <c:v>-4.1106542834045694</c:v>
                </c:pt>
                <c:pt idx="289">
                  <c:v>-4.3099059992799251</c:v>
                </c:pt>
                <c:pt idx="290">
                  <c:v>-4.5091380760748532</c:v>
                </c:pt>
                <c:pt idx="291">
                  <c:v>-4.7083488943179761</c:v>
                </c:pt>
                <c:pt idx="292">
                  <c:v>-4.9075367901967173</c:v>
                </c:pt>
                <c:pt idx="293">
                  <c:v>-5.1067000521131956</c:v>
                </c:pt>
                <c:pt idx="294">
                  <c:v>-5.3058369171462711</c:v>
                </c:pt>
                <c:pt idx="295">
                  <c:v>-5.504945567412376</c:v>
                </c:pt>
                <c:pt idx="296">
                  <c:v>-5.7040241263183846</c:v>
                </c:pt>
                <c:pt idx="297">
                  <c:v>-5.9030706546993237</c:v>
                </c:pt>
                <c:pt idx="298">
                  <c:v>-6.102083146834028</c:v>
                </c:pt>
                <c:pt idx="299">
                  <c:v>-6.30105952633114</c:v>
                </c:pt>
                <c:pt idx="300">
                  <c:v>-6.4999976418778216</c:v>
                </c:pt>
                <c:pt idx="301">
                  <c:v>-6.6988952628435081</c:v>
                </c:pt>
                <c:pt idx="302">
                  <c:v>-6.8977500747311673</c:v>
                </c:pt>
                <c:pt idx="303">
                  <c:v>-7.0965596744669659</c:v>
                </c:pt>
                <c:pt idx="304">
                  <c:v>-7.2953215655208776</c:v>
                </c:pt>
                <c:pt idx="305">
                  <c:v>-7.4940331528494308</c:v>
                </c:pt>
                <c:pt idx="306">
                  <c:v>-7.6926917376515656</c:v>
                </c:pt>
                <c:pt idx="307">
                  <c:v>-7.8912945119287397</c:v>
                </c:pt>
                <c:pt idx="308">
                  <c:v>-8.0898385528404866</c:v>
                </c:pt>
                <c:pt idx="309">
                  <c:v>-8.2883208168452356</c:v>
                </c:pt>
                <c:pt idx="310">
                  <c:v>-8.486738133617326</c:v>
                </c:pt>
                <c:pt idx="311">
                  <c:v>-8.6850871997300612</c:v>
                </c:pt>
                <c:pt idx="312">
                  <c:v>-8.8833645720951218</c:v>
                </c:pt>
                <c:pt idx="313">
                  <c:v>-9.0815666611472228</c:v>
                </c:pt>
                <c:pt idx="314">
                  <c:v>-9.2796897237645322</c:v>
                </c:pt>
                <c:pt idx="315">
                  <c:v>-9.4777298559131431</c:v>
                </c:pt>
                <c:pt idx="316">
                  <c:v>-9.6756829850056061</c:v>
                </c:pt>
                <c:pt idx="317">
                  <c:v>-9.8735448619615998</c:v>
                </c:pt>
                <c:pt idx="318">
                  <c:v>-10.071311052960327</c:v>
                </c:pt>
                <c:pt idx="319">
                  <c:v>-10.268976930872372</c:v>
                </c:pt>
                <c:pt idx="320">
                  <c:v>-10.466537666360294</c:v>
                </c:pt>
                <c:pt idx="321">
                  <c:v>-10.663988218635915</c:v>
                </c:pt>
                <c:pt idx="322">
                  <c:v>-10.861323325862344</c:v>
                </c:pt>
                <c:pt idx="323">
                  <c:v>-11.058537495189835</c:v>
                </c:pt>
                <c:pt idx="324">
                  <c:v>-11.255624992413205</c:v>
                </c:pt>
                <c:pt idx="325">
                  <c:v>-11.452579831238578</c:v>
                </c:pt>
                <c:pt idx="326">
                  <c:v>-11.649395762148895</c:v>
                </c:pt>
                <c:pt idx="327">
                  <c:v>-11.846066260856034</c:v>
                </c:pt>
                <c:pt idx="328">
                  <c:v>-12.042584516328104</c:v>
                </c:pt>
                <c:pt idx="329">
                  <c:v>-12.238943418382007</c:v>
                </c:pt>
                <c:pt idx="330">
                  <c:v>-12.435135544828327</c:v>
                </c:pt>
                <c:pt idx="331">
                  <c:v>-12.631153148160816</c:v>
                </c:pt>
                <c:pt idx="332">
                  <c:v>-12.826988141778351</c:v>
                </c:pt>
                <c:pt idx="333">
                  <c:v>-13.022632085732441</c:v>
                </c:pt>
                <c:pt idx="334">
                  <c:v>-13.218076171989125</c:v>
                </c:pt>
                <c:pt idx="335">
                  <c:v>-13.413311209199959</c:v>
                </c:pt>
                <c:pt idx="336">
                  <c:v>-13.60832760697372</c:v>
                </c:pt>
                <c:pt idx="337">
                  <c:v>-13.803115359644124</c:v>
                </c:pt>
                <c:pt idx="338">
                  <c:v>-13.997664029528247</c:v>
                </c:pt>
                <c:pt idx="339">
                  <c:v>-14.191962729673122</c:v>
                </c:pt>
                <c:pt idx="340">
                  <c:v>-14.386000106088797</c:v>
                </c:pt>
                <c:pt idx="341">
                  <c:v>-14.579764319468744</c:v>
                </c:pt>
                <c:pt idx="342">
                  <c:v>-14.77324302639828</c:v>
                </c:pt>
                <c:pt idx="343">
                  <c:v>-14.96642336005651</c:v>
                </c:pt>
                <c:pt idx="344">
                  <c:v>-15.159291910419393</c:v>
                </c:pt>
                <c:pt idx="345">
                  <c:v>-15.351834703970979</c:v>
                </c:pt>
                <c:pt idx="346">
                  <c:v>-15.544037182937377</c:v>
                </c:pt>
                <c:pt idx="347">
                  <c:v>-15.735884184057703</c:v>
                </c:pt>
                <c:pt idx="348">
                  <c:v>-15.927359916911708</c:v>
                </c:pt>
                <c:pt idx="349">
                  <c:v>-16.118447941826449</c:v>
                </c:pt>
                <c:pt idx="350">
                  <c:v>-16.309131147389071</c:v>
                </c:pt>
                <c:pt idx="351">
                  <c:v>-16.499391727597402</c:v>
                </c:pt>
                <c:pt idx="352">
                  <c:v>-16.689211158683133</c:v>
                </c:pt>
                <c:pt idx="353">
                  <c:v>-16.878570175651063</c:v>
                </c:pt>
                <c:pt idx="354">
                  <c:v>-17.06744874857954</c:v>
                </c:pt>
                <c:pt idx="355">
                  <c:v>-17.255826058734328</c:v>
                </c:pt>
                <c:pt idx="356">
                  <c:v>-17.443680474557077</c:v>
                </c:pt>
                <c:pt idx="357">
                  <c:v>-17.630989527591371</c:v>
                </c:pt>
                <c:pt idx="358">
                  <c:v>-17.817729888420487</c:v>
                </c:pt>
                <c:pt idx="359">
                  <c:v>-18.003877342696057</c:v>
                </c:pt>
                <c:pt idx="360">
                  <c:v>-18.189406767345034</c:v>
                </c:pt>
                <c:pt idx="361">
                  <c:v>-18.374292107051545</c:v>
                </c:pt>
                <c:pt idx="362">
                  <c:v>-18.558506351116101</c:v>
                </c:pt>
                <c:pt idx="363">
                  <c:v>-18.742021510806161</c:v>
                </c:pt>
                <c:pt idx="364">
                  <c:v>-18.924808597318098</c:v>
                </c:pt>
                <c:pt idx="365">
                  <c:v>-19.106837600482134</c:v>
                </c:pt>
                <c:pt idx="366">
                  <c:v>-19.288077468348767</c:v>
                </c:pt>
                <c:pt idx="367">
                  <c:v>-19.468496087806372</c:v>
                </c:pt>
                <c:pt idx="368">
                  <c:v>-19.648060266386899</c:v>
                </c:pt>
                <c:pt idx="369">
                  <c:v>-19.826735715427468</c:v>
                </c:pt>
                <c:pt idx="370">
                  <c:v>-20.004487034763162</c:v>
                </c:pt>
                <c:pt idx="371">
                  <c:v>-20.1812776991353</c:v>
                </c:pt>
                <c:pt idx="372">
                  <c:v>-20.357070046507808</c:v>
                </c:pt>
                <c:pt idx="373">
                  <c:v>-20.531825268491136</c:v>
                </c:pt>
                <c:pt idx="374">
                  <c:v>-20.705503403079987</c:v>
                </c:pt>
                <c:pt idx="375">
                  <c:v>-20.878063329917214</c:v>
                </c:pt>
                <c:pt idx="376">
                  <c:v>-21.049462768301069</c:v>
                </c:pt>
                <c:pt idx="377">
                  <c:v>-21.2196582781548</c:v>
                </c:pt>
                <c:pt idx="378">
                  <c:v>-21.388605264181592</c:v>
                </c:pt>
                <c:pt idx="379">
                  <c:v>-21.556257983427262</c:v>
                </c:pt>
                <c:pt idx="380">
                  <c:v>-21.722569556470074</c:v>
                </c:pt>
                <c:pt idx="381">
                  <c:v>-21.887491982456417</c:v>
                </c:pt>
                <c:pt idx="382">
                  <c:v>-22.050976158191595</c:v>
                </c:pt>
                <c:pt idx="383">
                  <c:v>-22.212971901489539</c:v>
                </c:pt>
                <c:pt idx="384">
                  <c:v>-22.373427978972487</c:v>
                </c:pt>
                <c:pt idx="385">
                  <c:v>-22.532292138498722</c:v>
                </c:pt>
                <c:pt idx="386">
                  <c:v>-22.689511146379196</c:v>
                </c:pt>
                <c:pt idx="387">
                  <c:v>-22.845030829525037</c:v>
                </c:pt>
                <c:pt idx="388">
                  <c:v>-22.99879612264494</c:v>
                </c:pt>
                <c:pt idx="389">
                  <c:v>-23.150751120585554</c:v>
                </c:pt>
                <c:pt idx="390">
                  <c:v>-23.300839135878974</c:v>
                </c:pt>
                <c:pt idx="391">
                  <c:v>-23.44900276153183</c:v>
                </c:pt>
                <c:pt idx="392">
                  <c:v>-23.595183939053133</c:v>
                </c:pt>
                <c:pt idx="393">
                  <c:v>-23.73932403168395</c:v>
                </c:pt>
                <c:pt idx="394">
                  <c:v>-23.881363902751104</c:v>
                </c:pt>
                <c:pt idx="395">
                  <c:v>-24.02124399902775</c:v>
                </c:pt>
                <c:pt idx="396">
                  <c:v>-24.158904438939715</c:v>
                </c:pt>
                <c:pt idx="397">
                  <c:v>-24.294285105415344</c:v>
                </c:pt>
                <c:pt idx="398">
                  <c:v>-24.427325743131441</c:v>
                </c:pt>
                <c:pt idx="399">
                  <c:v>-24.557966059866501</c:v>
                </c:pt>
                <c:pt idx="400">
                  <c:v>-24.686145831629172</c:v>
                </c:pt>
                <c:pt idx="401">
                  <c:v>-24.811805011191254</c:v>
                </c:pt>
                <c:pt idx="402">
                  <c:v>-24.93488383961591</c:v>
                </c:pt>
                <c:pt idx="403">
                  <c:v>-25.055322960339524</c:v>
                </c:pt>
                <c:pt idx="404">
                  <c:v>-25.173063535334563</c:v>
                </c:pt>
                <c:pt idx="405">
                  <c:v>-25.288047362857931</c:v>
                </c:pt>
                <c:pt idx="406">
                  <c:v>-25.400216996269336</c:v>
                </c:pt>
                <c:pt idx="407">
                  <c:v>-25.509515863393808</c:v>
                </c:pt>
                <c:pt idx="408">
                  <c:v>-25.615888385896454</c:v>
                </c:pt>
                <c:pt idx="409">
                  <c:v>-25.719280098141223</c:v>
                </c:pt>
                <c:pt idx="410">
                  <c:v>-25.819637765015887</c:v>
                </c:pt>
                <c:pt idx="411">
                  <c:v>-25.916909498225507</c:v>
                </c:pt>
                <c:pt idx="412">
                  <c:v>-26.011044870582847</c:v>
                </c:pt>
                <c:pt idx="413">
                  <c:v>-26.101995027861484</c:v>
                </c:pt>
                <c:pt idx="414">
                  <c:v>-26.189712797819389</c:v>
                </c:pt>
                <c:pt idx="415">
                  <c:v>-26.27415279605383</c:v>
                </c:pt>
                <c:pt idx="416">
                  <c:v>-26.355271528403669</c:v>
                </c:pt>
                <c:pt idx="417">
                  <c:v>-26.433027489681194</c:v>
                </c:pt>
                <c:pt idx="418">
                  <c:v>-26.507381258582864</c:v>
                </c:pt>
                <c:pt idx="419">
                  <c:v>-26.578295588700254</c:v>
                </c:pt>
                <c:pt idx="420">
                  <c:v>-26.645735495628614</c:v>
                </c:pt>
                <c:pt idx="421">
                  <c:v>-26.709668340244413</c:v>
                </c:pt>
                <c:pt idx="422">
                  <c:v>-26.770063908299612</c:v>
                </c:pt>
                <c:pt idx="423">
                  <c:v>-26.826894486554412</c:v>
                </c:pt>
                <c:pt idx="424">
                  <c:v>-26.880134935738624</c:v>
                </c:pt>
                <c:pt idx="425">
                  <c:v>-26.929762760700207</c:v>
                </c:pt>
                <c:pt idx="426">
                  <c:v>-26.975758178157893</c:v>
                </c:pt>
                <c:pt idx="427">
                  <c:v>-27.01810418252829</c:v>
                </c:pt>
                <c:pt idx="428">
                  <c:v>-27.056786610343465</c:v>
                </c:pt>
                <c:pt idx="429">
                  <c:v>-27.091794203812242</c:v>
                </c:pt>
                <c:pt idx="430">
                  <c:v>-27.123118674104884</c:v>
                </c:pt>
                <c:pt idx="431">
                  <c:v>-27.1507547649611</c:v>
                </c:pt>
                <c:pt idx="432">
                  <c:v>-27.174700317228538</c:v>
                </c:pt>
                <c:pt idx="433">
                  <c:v>-27.194956334940642</c:v>
                </c:pt>
                <c:pt idx="434">
                  <c:v>-27.21152705353208</c:v>
                </c:pt>
                <c:pt idx="435">
                  <c:v>-27.224420010775354</c:v>
                </c:pt>
                <c:pt idx="436">
                  <c:v>-27.233646120995921</c:v>
                </c:pt>
                <c:pt idx="437">
                  <c:v>-27.23921975309533</c:v>
                </c:pt>
                <c:pt idx="438">
                  <c:v>-27.241158812874588</c:v>
                </c:pt>
                <c:pt idx="439">
                  <c:v>-27.239484830113231</c:v>
                </c:pt>
                <c:pt idx="440">
                  <c:v>-27.234223050816162</c:v>
                </c:pt>
                <c:pt idx="441">
                  <c:v>-27.225402534999354</c:v>
                </c:pt>
                <c:pt idx="442">
                  <c:v>-27.213056260341336</c:v>
                </c:pt>
                <c:pt idx="443">
                  <c:v>-27.197221231985115</c:v>
                </c:pt>
                <c:pt idx="444">
                  <c:v>-27.177938598736212</c:v>
                </c:pt>
                <c:pt idx="445">
                  <c:v>-27.155253775860736</c:v>
                </c:pt>
                <c:pt idx="446">
                  <c:v>-27.129216574654006</c:v>
                </c:pt>
                <c:pt idx="447">
                  <c:v>-27.099881338912667</c:v>
                </c:pt>
                <c:pt idx="448">
                  <c:v>-27.067307088412459</c:v>
                </c:pt>
                <c:pt idx="449">
                  <c:v>-27.031557669457364</c:v>
                </c:pt>
                <c:pt idx="450">
                  <c:v>-26.992701912533214</c:v>
                </c:pt>
                <c:pt idx="451">
                  <c:v>-26.95081379706</c:v>
                </c:pt>
                <c:pt idx="452">
                  <c:v>-26.905972623188887</c:v>
                </c:pt>
                <c:pt idx="453">
                  <c:v>-26.85826319053886</c:v>
                </c:pt>
                <c:pt idx="454">
                  <c:v>-26.807775983696231</c:v>
                </c:pt>
                <c:pt idx="455">
                  <c:v>-26.75460736421428</c:v>
                </c:pt>
                <c:pt idx="456">
                  <c:v>-26.698859768739869</c:v>
                </c:pt>
                <c:pt idx="457">
                  <c:v>-26.640641912756394</c:v>
                </c:pt>
                <c:pt idx="458">
                  <c:v>-26.580068999259773</c:v>
                </c:pt>
                <c:pt idx="459">
                  <c:v>-26.517262931471262</c:v>
                </c:pt>
                <c:pt idx="460">
                  <c:v>-26.452352528434005</c:v>
                </c:pt>
                <c:pt idx="461">
                  <c:v>-26.385473742031277</c:v>
                </c:pt>
                <c:pt idx="462">
                  <c:v>-26.316769873594751</c:v>
                </c:pt>
                <c:pt idx="463">
                  <c:v>-26.246391787845798</c:v>
                </c:pt>
                <c:pt idx="464">
                  <c:v>-26.174498121416157</c:v>
                </c:pt>
                <c:pt idx="465">
                  <c:v>-26.101255482632734</c:v>
                </c:pt>
                <c:pt idx="466">
                  <c:v>-26.026838638619534</c:v>
                </c:pt>
                <c:pt idx="467">
                  <c:v>-25.951430685073724</c:v>
                </c:pt>
                <c:pt idx="468">
                  <c:v>-25.87522319331384</c:v>
                </c:pt>
                <c:pt idx="469">
                  <c:v>-25.798416328390847</c:v>
                </c:pt>
                <c:pt idx="470">
                  <c:v>-25.721218931204501</c:v>
                </c:pt>
                <c:pt idx="471">
                  <c:v>-25.643848556707095</c:v>
                </c:pt>
                <c:pt idx="472">
                  <c:v>-25.566531459421608</c:v>
                </c:pt>
                <c:pt idx="473">
                  <c:v>-25.489502516690333</c:v>
                </c:pt>
                <c:pt idx="474">
                  <c:v>-25.413005079343058</c:v>
                </c:pt>
                <c:pt idx="475">
                  <c:v>-25.337290738876344</c:v>
                </c:pt>
                <c:pt idx="476">
                  <c:v>-25.262618999829062</c:v>
                </c:pt>
                <c:pt idx="477">
                  <c:v>-25.189256845880625</c:v>
                </c:pt>
                <c:pt idx="478">
                  <c:v>-25.117478188360526</c:v>
                </c:pt>
                <c:pt idx="479">
                  <c:v>-25.047563186407054</c:v>
                </c:pt>
                <c:pt idx="480">
                  <c:v>-24.979797429023304</c:v>
                </c:pt>
                <c:pt idx="481">
                  <c:v>-24.914470970812047</c:v>
                </c:pt>
                <c:pt idx="482">
                  <c:v>-24.851877215284063</c:v>
                </c:pt>
                <c:pt idx="483">
                  <c:v>-24.792311642362513</c:v>
                </c:pt>
                <c:pt idx="484">
                  <c:v>-24.736070380067126</c:v>
                </c:pt>
                <c:pt idx="485">
                  <c:v>-24.683448624331771</c:v>
                </c:pt>
                <c:pt idx="486">
                  <c:v>-24.634738915441595</c:v>
                </c:pt>
                <c:pt idx="487">
                  <c:v>-24.59022928456649</c:v>
                </c:pt>
                <c:pt idx="488">
                  <c:v>-24.550201289171994</c:v>
                </c:pt>
                <c:pt idx="489">
                  <c:v>-24.514927961523959</c:v>
                </c:pt>
                <c:pt idx="490">
                  <c:v>-24.484671699821394</c:v>
                </c:pt>
                <c:pt idx="491">
                  <c:v>-24.459682136438282</c:v>
                </c:pt>
                <c:pt idx="492">
                  <c:v>-24.440194022028141</c:v>
                </c:pt>
                <c:pt idx="493">
                  <c:v>-24.426425167556516</c:v>
                </c:pt>
                <c:pt idx="494">
                  <c:v>-24.418574488395066</c:v>
                </c:pt>
                <c:pt idx="495">
                  <c:v>-24.416820195196681</c:v>
                </c:pt>
                <c:pt idx="496">
                  <c:v>-24.421318175205894</c:v>
                </c:pt>
                <c:pt idx="497">
                  <c:v>-24.432200604842535</c:v>
                </c:pt>
                <c:pt idx="498">
                  <c:v>-24.449574829843151</c:v>
                </c:pt>
                <c:pt idx="499">
                  <c:v>-24.473522543072352</c:v>
                </c:pt>
                <c:pt idx="500">
                  <c:v>-24.504099282542477</c:v>
                </c:pt>
                <c:pt idx="501">
                  <c:v>-24.541334263531613</c:v>
                </c:pt>
                <c:pt idx="502">
                  <c:v>-24.5852305493625</c:v>
                </c:pt>
                <c:pt idx="503">
                  <c:v>-24.635765555846394</c:v>
                </c:pt>
                <c:pt idx="504">
                  <c:v>-24.692891875071027</c:v>
                </c:pt>
                <c:pt idx="505">
                  <c:v>-24.756538395570352</c:v>
                </c:pt>
                <c:pt idx="506">
                  <c:v>-24.826611688349658</c:v>
                </c:pt>
                <c:pt idx="507">
                  <c:v>-24.90299762208128</c:v>
                </c:pt>
                <c:pt idx="508">
                  <c:v>-24.985563166245655</c:v>
                </c:pt>
                <c:pt idx="509">
                  <c:v>-25.074158338201087</c:v>
                </c:pt>
                <c:pt idx="510">
                  <c:v>-25.168618249118101</c:v>
                </c:pt>
                <c:pt idx="511">
                  <c:v>-25.268765204329512</c:v>
                </c:pt>
                <c:pt idx="512">
                  <c:v>-25.3744108157439</c:v>
                </c:pt>
                <c:pt idx="513">
                  <c:v>-25.485358087315003</c:v>
                </c:pt>
                <c:pt idx="514">
                  <c:v>-25.601403438867962</c:v>
                </c:pt>
                <c:pt idx="515">
                  <c:v>-25.722338638567376</c:v>
                </c:pt>
                <c:pt idx="516">
                  <c:v>-25.847952619676185</c:v>
                </c:pt>
                <c:pt idx="517">
                  <c:v>-25.978033162727925</c:v>
                </c:pt>
                <c:pt idx="518">
                  <c:v>-26.112368429589473</c:v>
                </c:pt>
                <c:pt idx="519">
                  <c:v>-26.250748340932258</c:v>
                </c:pt>
                <c:pt idx="520">
                  <c:v>-26.392965793207477</c:v>
                </c:pt>
                <c:pt idx="521">
                  <c:v>-26.53881771524679</c:v>
                </c:pt>
                <c:pt idx="522">
                  <c:v>-26.688105968020473</c:v>
                </c:pt>
                <c:pt idx="523">
                  <c:v>-26.840638093866115</c:v>
                </c:pt>
                <c:pt idx="524">
                  <c:v>-26.996227923663881</c:v>
                </c:pt>
                <c:pt idx="525">
                  <c:v>-27.15469605201789</c:v>
                </c:pt>
                <c:pt idx="526">
                  <c:v>-27.31587019156127</c:v>
                </c:pt>
                <c:pt idx="527">
                  <c:v>-27.47958541809599</c:v>
                </c:pt>
                <c:pt idx="528">
                  <c:v>-27.645684318480015</c:v>
                </c:pt>
                <c:pt idx="529">
                  <c:v>-27.814017053055508</c:v>
                </c:pt>
                <c:pt idx="530">
                  <c:v>-27.984441344030124</c:v>
                </c:pt>
                <c:pt idx="531">
                  <c:v>-28.156822400655997</c:v>
                </c:pt>
                <c:pt idx="532">
                  <c:v>-28.331032791339403</c:v>
                </c:pt>
                <c:pt idx="533">
                  <c:v>-28.506952272013283</c:v>
                </c:pt>
                <c:pt idx="534">
                  <c:v>-28.684467579254395</c:v>
                </c:pt>
                <c:pt idx="535">
                  <c:v>-28.863472195759662</c:v>
                </c:pt>
                <c:pt idx="536">
                  <c:v>-29.043866094934423</c:v>
                </c:pt>
                <c:pt idx="537">
                  <c:v>-29.225555470519122</c:v>
                </c:pt>
                <c:pt idx="538">
                  <c:v>-29.408452456387543</c:v>
                </c:pt>
                <c:pt idx="539">
                  <c:v>-29.592474840921327</c:v>
                </c:pt>
                <c:pt idx="540">
                  <c:v>-29.777545779684871</c:v>
                </c:pt>
                <c:pt idx="541">
                  <c:v>-29.963593509515789</c:v>
                </c:pt>
              </c:numCache>
            </c:numRef>
          </c:yVal>
          <c:smooth val="1"/>
          <c:extLst>
            <c:ext xmlns:c16="http://schemas.microsoft.com/office/drawing/2014/chart" uri="{C3380CC4-5D6E-409C-BE32-E72D297353CC}">
              <c16:uniqueId val="{00000000-E7F3-4DBE-81B4-F0413043E366}"/>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-2.564692162623214</c:v>
                </c:pt>
                <c:pt idx="1">
                  <c:v>-2.6243488381112252</c:v>
                </c:pt>
                <c:pt idx="2">
                  <c:v>-2.685389193195038</c:v>
                </c:pt>
                <c:pt idx="3">
                  <c:v>-2.7478450369940721</c:v>
                </c:pt>
                <c:pt idx="4">
                  <c:v>-2.8117488896057936</c:v>
                </c:pt>
                <c:pt idx="5">
                  <c:v>-2.8771339965429443</c:v>
                </c:pt>
                <c:pt idx="6">
                  <c:v>-2.9440343433573051</c:v>
                </c:pt>
                <c:pt idx="7">
                  <c:v>-3.0124846704442496</c:v>
                </c:pt>
                <c:pt idx="8">
                  <c:v>-3.0825204880207075</c:v>
                </c:pt>
                <c:pt idx="9">
                  <c:v>-3.1541780912690038</c:v>
                </c:pt>
                <c:pt idx="10">
                  <c:v>-3.2274945756376554</c:v>
                </c:pt>
                <c:pt idx="11">
                  <c:v>-3.3025078522890716</c:v>
                </c:pt>
                <c:pt idx="12">
                  <c:v>-3.3792566636832477</c:v>
                </c:pt>
                <c:pt idx="13">
                  <c:v>-3.45778059928513</c:v>
                </c:pt>
                <c:pt idx="14">
                  <c:v>-3.538120111381688</c:v>
                </c:pt>
                <c:pt idx="15">
                  <c:v>-3.6203165309944296</c:v>
                </c:pt>
                <c:pt idx="16">
                  <c:v>-3.7044120838696295</c:v>
                </c:pt>
                <c:pt idx="17">
                  <c:v>-3.7904499065290085</c:v>
                </c:pt>
                <c:pt idx="18">
                  <c:v>-3.8784740623604828</c:v>
                </c:pt>
                <c:pt idx="19">
                  <c:v>-3.9685295577269115</c:v>
                </c:pt>
                <c:pt idx="20">
                  <c:v>-4.0606623580694281</c:v>
                </c:pt>
                <c:pt idx="21">
                  <c:v>-4.1549194039789423</c:v>
                </c:pt>
                <c:pt idx="22">
                  <c:v>-4.2513486272072853</c:v>
                </c:pt>
                <c:pt idx="23">
                  <c:v>-4.3499989665881182</c:v>
                </c:pt>
                <c:pt idx="24">
                  <c:v>-4.4509203838326732</c:v>
                </c:pt>
                <c:pt idx="25">
                  <c:v>-4.5541638791659196</c:v>
                </c:pt>
                <c:pt idx="26">
                  <c:v>-4.6597815067620703</c:v>
                </c:pt>
                <c:pt idx="27">
                  <c:v>-4.7678263899385867</c:v>
                </c:pt>
                <c:pt idx="28">
                  <c:v>-4.8783527360621415</c:v>
                </c:pt>
                <c:pt idx="29">
                  <c:v>-4.9914158511172415</c:v>
                </c:pt>
                <c:pt idx="30">
                  <c:v>-5.1070721538845802</c:v>
                </c:pt>
                <c:pt idx="31">
                  <c:v>-5.2253791896719042</c:v>
                </c:pt>
                <c:pt idx="32">
                  <c:v>-5.3463956435355202</c:v>
                </c:pt>
                <c:pt idx="33">
                  <c:v>-5.4701813529268799</c:v>
                </c:pt>
                <c:pt idx="34">
                  <c:v>-5.5967973196931791</c:v>
                </c:pt>
                <c:pt idx="35">
                  <c:v>-5.7263057213557689</c:v>
                </c:pt>
                <c:pt idx="36">
                  <c:v>-5.8587699215854663</c:v>
                </c:pt>
                <c:pt idx="37">
                  <c:v>-5.9942544797873358</c:v>
                </c:pt>
                <c:pt idx="38">
                  <c:v>-6.1328251597020715</c:v>
                </c:pt>
                <c:pt idx="39">
                  <c:v>-6.2745489369250533</c:v>
                </c:pt>
                <c:pt idx="40">
                  <c:v>-6.4194940052357747</c:v>
                </c:pt>
                <c:pt idx="41">
                  <c:v>-6.56772978162671</c:v>
                </c:pt>
                <c:pt idx="42">
                  <c:v>-6.7193269099094639</c:v>
                </c:pt>
                <c:pt idx="43">
                  <c:v>-6.8743572627711877</c:v>
                </c:pt>
                <c:pt idx="44">
                  <c:v>-7.0328939421455186</c:v>
                </c:pt>
                <c:pt idx="45">
                  <c:v>-7.1950112777530553</c:v>
                </c:pt>
                <c:pt idx="46">
                  <c:v>-7.3607848236585713</c:v>
                </c:pt>
                <c:pt idx="47">
                  <c:v>-7.5302913526834603</c:v>
                </c:pt>
                <c:pt idx="48">
                  <c:v>-7.7036088485004566</c:v>
                </c:pt>
                <c:pt idx="49">
                  <c:v>-7.8808164952313513</c:v>
                </c:pt>
                <c:pt idx="50">
                  <c:v>-8.0619946643543567</c:v>
                </c:pt>
                <c:pt idx="51">
                  <c:v>-8.2472248987211128</c:v>
                </c:pt>
                <c:pt idx="52">
                  <c:v>-8.4365898934690389</c:v>
                </c:pt>
                <c:pt idx="53">
                  <c:v>-8.6301734736082025</c:v>
                </c:pt>
                <c:pt idx="54">
                  <c:v>-8.8280605680459132</c:v>
                </c:pt>
                <c:pt idx="55">
                  <c:v>-9.0303371798047234</c:v>
                </c:pt>
                <c:pt idx="56">
                  <c:v>-9.237090352176665</c:v>
                </c:pt>
                <c:pt idx="57">
                  <c:v>-9.4484081305436227</c:v>
                </c:pt>
                <c:pt idx="58">
                  <c:v>-9.6643795195864666</c:v>
                </c:pt>
                <c:pt idx="59">
                  <c:v>-9.885094435588444</c:v>
                </c:pt>
                <c:pt idx="60">
                  <c:v>-10.110643653531604</c:v>
                </c:pt>
                <c:pt idx="61">
                  <c:v>-10.341118748672836</c:v>
                </c:pt>
                <c:pt idx="62">
                  <c:v>-10.576612032273733</c:v>
                </c:pt>
                <c:pt idx="63">
                  <c:v>-10.817216481151604</c:v>
                </c:pt>
                <c:pt idx="64">
                  <c:v>-11.063025660706304</c:v>
                </c:pt>
                <c:pt idx="65">
                  <c:v>-11.314133641071665</c:v>
                </c:pt>
                <c:pt idx="66">
                  <c:v>-11.570634906031126</c:v>
                </c:pt>
                <c:pt idx="67">
                  <c:v>-11.83262425433124</c:v>
                </c:pt>
                <c:pt idx="68">
                  <c:v>-12.100196693022934</c:v>
                </c:pt>
                <c:pt idx="69">
                  <c:v>-12.373447322454428</c:v>
                </c:pt>
                <c:pt idx="70">
                  <c:v>-12.652471212542942</c:v>
                </c:pt>
                <c:pt idx="71">
                  <c:v>-12.937363269947664</c:v>
                </c:pt>
                <c:pt idx="72">
                  <c:v>-13.228218095774773</c:v>
                </c:pt>
                <c:pt idx="73">
                  <c:v>-13.525129833449926</c:v>
                </c:pt>
                <c:pt idx="74">
                  <c:v>-13.828192006401654</c:v>
                </c:pt>
                <c:pt idx="75">
                  <c:v>-14.137497345214831</c:v>
                </c:pt>
                <c:pt idx="76">
                  <c:v>-14.453137603928132</c:v>
                </c:pt>
                <c:pt idx="77">
                  <c:v>-14.775203365173953</c:v>
                </c:pt>
                <c:pt idx="78">
                  <c:v>-15.103783833880762</c:v>
                </c:pt>
                <c:pt idx="79">
                  <c:v>-15.438966619293975</c:v>
                </c:pt>
                <c:pt idx="80">
                  <c:v>-15.780837505106538</c:v>
                </c:pt>
                <c:pt idx="81">
                  <c:v>-16.129480207532207</c:v>
                </c:pt>
                <c:pt idx="82">
                  <c:v>-16.48497612120666</c:v>
                </c:pt>
                <c:pt idx="83">
                  <c:v>-16.847404052857154</c:v>
                </c:pt>
                <c:pt idx="84">
                  <c:v>-17.216839942744553</c:v>
                </c:pt>
                <c:pt idx="85">
                  <c:v>-17.59335657395393</c:v>
                </c:pt>
                <c:pt idx="86">
                  <c:v>-17.9770232696902</c:v>
                </c:pt>
                <c:pt idx="87">
                  <c:v>-18.367905578820864</c:v>
                </c:pt>
                <c:pt idx="88">
                  <c:v>-18.766064950007273</c:v>
                </c:pt>
                <c:pt idx="89">
                  <c:v>-19.171558394868349</c:v>
                </c:pt>
                <c:pt idx="90">
                  <c:v>-19.584438140735028</c:v>
                </c:pt>
                <c:pt idx="91">
                  <c:v>-20.004751273677279</c:v>
                </c:pt>
                <c:pt idx="92">
                  <c:v>-20.432539372612208</c:v>
                </c:pt>
                <c:pt idx="93">
                  <c:v>-20.867838135445453</c:v>
                </c:pt>
                <c:pt idx="94">
                  <c:v>-21.31067699833886</c:v>
                </c:pt>
                <c:pt idx="95">
                  <c:v>-21.761078749353448</c:v>
                </c:pt>
                <c:pt idx="96">
                  <c:v>-22.219059137872637</c:v>
                </c:pt>
                <c:pt idx="97">
                  <c:v>-22.684626481375112</c:v>
                </c:pt>
                <c:pt idx="98">
                  <c:v>-23.157781271292997</c:v>
                </c:pt>
                <c:pt idx="99">
                  <c:v>-23.638515779857826</c:v>
                </c:pt>
                <c:pt idx="100">
                  <c:v>-24.12681367000447</c:v>
                </c:pt>
                <c:pt idx="101">
                  <c:v>-24.622649610571678</c:v>
                </c:pt>
                <c:pt idx="102">
                  <c:v>-25.125988899194489</c:v>
                </c:pt>
                <c:pt idx="103">
                  <c:v>-25.636787095441132</c:v>
                </c:pt>
                <c:pt idx="104">
                  <c:v>-26.154989666888905</c:v>
                </c:pt>
                <c:pt idx="105">
                  <c:v>-26.680531650967467</c:v>
                </c:pt>
                <c:pt idx="106">
                  <c:v>-27.213337335507717</c:v>
                </c:pt>
                <c:pt idx="107">
                  <c:v>-27.753319961037704</c:v>
                </c:pt>
                <c:pt idx="108">
                  <c:v>-28.300381447932381</c:v>
                </c:pt>
                <c:pt idx="109">
                  <c:v>-28.854412151579297</c:v>
                </c:pt>
                <c:pt idx="110">
                  <c:v>-29.41529064873226</c:v>
                </c:pt>
                <c:pt idx="111">
                  <c:v>-29.98288355821947</c:v>
                </c:pt>
                <c:pt idx="112">
                  <c:v>-30.557045399115399</c:v>
                </c:pt>
                <c:pt idx="113">
                  <c:v>-31.137618489404186</c:v>
                </c:pt>
                <c:pt idx="114">
                  <c:v>-31.724432888031952</c:v>
                </c:pt>
                <c:pt idx="115">
                  <c:v>-32.317306383078275</c:v>
                </c:pt>
                <c:pt idx="116">
                  <c:v>-32.916044528562821</c:v>
                </c:pt>
                <c:pt idx="117">
                  <c:v>-33.520440732151421</c:v>
                </c:pt>
                <c:pt idx="118">
                  <c:v>-34.130276395722127</c:v>
                </c:pt>
                <c:pt idx="119">
                  <c:v>-34.745321110417152</c:v>
                </c:pt>
                <c:pt idx="120">
                  <c:v>-35.365332907419351</c:v>
                </c:pt>
                <c:pt idx="121">
                  <c:v>-35.990058565281664</c:v>
                </c:pt>
                <c:pt idx="122">
                  <c:v>-36.619233974177952</c:v>
                </c:pt>
                <c:pt idx="123">
                  <c:v>-37.252584556968451</c:v>
                </c:pt>
                <c:pt idx="124">
                  <c:v>-37.889825746470244</c:v>
                </c:pt>
                <c:pt idx="125">
                  <c:v>-38.530663517795787</c:v>
                </c:pt>
                <c:pt idx="126">
                  <c:v>-39.174794974099363</c:v>
                </c:pt>
                <c:pt idx="127">
                  <c:v>-39.821908983531827</c:v>
                </c:pt>
                <c:pt idx="128">
                  <c:v>-40.471686864675007</c:v>
                </c:pt>
                <c:pt idx="129">
                  <c:v>-41.123803117228448</c:v>
                </c:pt>
                <c:pt idx="130">
                  <c:v>-41.777926194197512</c:v>
                </c:pt>
                <c:pt idx="131">
                  <c:v>-42.43371931141025</c:v>
                </c:pt>
                <c:pt idx="132">
                  <c:v>-43.090841289734875</c:v>
                </c:pt>
                <c:pt idx="133">
                  <c:v>-43.748947425010918</c:v>
                </c:pt>
                <c:pt idx="134">
                  <c:v>-44.407690380383784</c:v>
                </c:pt>
                <c:pt idx="135">
                  <c:v>-45.06672109545638</c:v>
                </c:pt>
                <c:pt idx="136">
                  <c:v>-45.725689706490371</c:v>
                </c:pt>
                <c:pt idx="137">
                  <c:v>-46.384246471738209</c:v>
                </c:pt>
                <c:pt idx="138">
                  <c:v>-47.042042695935692</c:v>
                </c:pt>
                <c:pt idx="139">
                  <c:v>-47.698731648005051</c:v>
                </c:pt>
                <c:pt idx="140">
                  <c:v>-48.353969466068641</c:v>
                </c:pt>
                <c:pt idx="141">
                  <c:v>-49.007416044063611</c:v>
                </c:pt>
                <c:pt idx="142">
                  <c:v>-49.658735894434223</c:v>
                </c:pt>
                <c:pt idx="143">
                  <c:v>-50.30759898167863</c:v>
                </c:pt>
                <c:pt idx="144">
                  <c:v>-50.953681521854314</c:v>
                </c:pt>
                <c:pt idx="145">
                  <c:v>-51.596666743547168</c:v>
                </c:pt>
                <c:pt idx="146">
                  <c:v>-52.236245606228799</c:v>
                </c:pt>
                <c:pt idx="147">
                  <c:v>-52.872117472411077</c:v>
                </c:pt>
                <c:pt idx="148">
                  <c:v>-53.503990730496575</c:v>
                </c:pt>
                <c:pt idx="149">
                  <c:v>-54.131583365748163</c:v>
                </c:pt>
                <c:pt idx="150">
                  <c:v>-54.754623477324692</c:v>
                </c:pt>
                <c:pt idx="151">
                  <c:v>-55.37284973987208</c:v>
                </c:pt>
                <c:pt idx="152">
                  <c:v>-55.986011808679592</c:v>
                </c:pt>
                <c:pt idx="153">
                  <c:v>-56.593870667934233</c:v>
                </c:pt>
                <c:pt idx="154">
                  <c:v>-57.196198922100571</c:v>
                </c:pt>
                <c:pt idx="155">
                  <c:v>-57.792781030926641</c:v>
                </c:pt>
                <c:pt idx="156">
                  <c:v>-58.383413489022587</c:v>
                </c:pt>
                <c:pt idx="157">
                  <c:v>-58.967904951361575</c:v>
                </c:pt>
                <c:pt idx="158">
                  <c:v>-59.546076306425874</c:v>
                </c:pt>
                <c:pt idx="159">
                  <c:v>-60.117760699048794</c:v>
                </c:pt>
                <c:pt idx="160">
                  <c:v>-60.682803505289932</c:v>
                </c:pt>
                <c:pt idx="161">
                  <c:v>-61.241062261925507</c:v>
                </c:pt>
                <c:pt idx="162">
                  <c:v>-61.79240655333151</c:v>
                </c:pt>
                <c:pt idx="163">
                  <c:v>-62.336717858702528</c:v>
                </c:pt>
                <c:pt idx="164">
                  <c:v>-62.873889362654367</c:v>
                </c:pt>
                <c:pt idx="165">
                  <c:v>-63.403825732344544</c:v>
                </c:pt>
                <c:pt idx="166">
                  <c:v>-63.926442864280006</c:v>
                </c:pt>
                <c:pt idx="167">
                  <c:v>-64.441667603982722</c:v>
                </c:pt>
                <c:pt idx="168">
                  <c:v>-64.949437441665651</c:v>
                </c:pt>
                <c:pt idx="169">
                  <c:v>-65.449700187007934</c:v>
                </c:pt>
                <c:pt idx="170">
                  <c:v>-65.942413626044086</c:v>
                </c:pt>
                <c:pt idx="171">
                  <c:v>-66.427545163077397</c:v>
                </c:pt>
                <c:pt idx="172">
                  <c:v>-66.905071450408713</c:v>
                </c:pt>
                <c:pt idx="173">
                  <c:v>-67.374978008537724</c:v>
                </c:pt>
                <c:pt idx="174">
                  <c:v>-67.837258839345694</c:v>
                </c:pt>
                <c:pt idx="175">
                  <c:v>-68.291916034611233</c:v>
                </c:pt>
                <c:pt idx="176">
                  <c:v>-68.738959382052371</c:v>
                </c:pt>
                <c:pt idx="177">
                  <c:v>-69.17840597091606</c:v>
                </c:pt>
                <c:pt idx="178">
                  <c:v>-69.610279798973522</c:v>
                </c:pt>
                <c:pt idx="179">
                  <c:v>-70.034611382608176</c:v>
                </c:pt>
                <c:pt idx="180">
                  <c:v>-70.451437371520441</c:v>
                </c:pt>
                <c:pt idx="181">
                  <c:v>-70.860800169409316</c:v>
                </c:pt>
                <c:pt idx="182">
                  <c:v>-71.262747561835965</c:v>
                </c:pt>
                <c:pt idx="183">
                  <c:v>-71.657332352322044</c:v>
                </c:pt>
                <c:pt idx="184">
                  <c:v>-72.044612007593869</c:v>
                </c:pt>
                <c:pt idx="185">
                  <c:v>-72.424648312744793</c:v>
                </c:pt>
                <c:pt idx="186">
                  <c:v>-72.797507036961434</c:v>
                </c:pt>
                <c:pt idx="187">
                  <c:v>-73.163257610340267</c:v>
                </c:pt>
                <c:pt idx="188">
                  <c:v>-73.521972812207935</c:v>
                </c:pt>
                <c:pt idx="189">
                  <c:v>-73.873728471257266</c:v>
                </c:pt>
                <c:pt idx="190">
                  <c:v>-74.218603177718833</c:v>
                </c:pt>
                <c:pt idx="191">
                  <c:v>-74.556678007697357</c:v>
                </c:pt>
                <c:pt idx="192">
                  <c:v>-74.888036259730626</c:v>
                </c:pt>
                <c:pt idx="193">
                  <c:v>-75.212763203555212</c:v>
                </c:pt>
                <c:pt idx="194">
                  <c:v>-75.530945841004154</c:v>
                </c:pt>
                <c:pt idx="195">
                  <c:v>-75.842672678903284</c:v>
                </c:pt>
                <c:pt idx="196">
                  <c:v>-76.148033513790807</c:v>
                </c:pt>
                <c:pt idx="197">
                  <c:v>-76.447119228237995</c:v>
                </c:pt>
                <c:pt idx="198">
                  <c:v>-76.74002159851608</c:v>
                </c:pt>
                <c:pt idx="199">
                  <c:v>-77.026833113324003</c:v>
                </c:pt>
                <c:pt idx="200">
                  <c:v>-77.307646803267147</c:v>
                </c:pt>
                <c:pt idx="201">
                  <c:v>-77.582556080755168</c:v>
                </c:pt>
                <c:pt idx="202">
                  <c:v>-77.851654589974828</c:v>
                </c:pt>
                <c:pt idx="203">
                  <c:v>-78.115036066577005</c:v>
                </c:pt>
                <c:pt idx="204">
                  <c:v>-78.372794206711873</c:v>
                </c:pt>
                <c:pt idx="205">
                  <c:v>-78.625022545039883</c:v>
                </c:pt>
                <c:pt idx="206">
                  <c:v>-78.871814341342045</c:v>
                </c:pt>
                <c:pt idx="207">
                  <c:v>-79.113262475354901</c:v>
                </c:pt>
                <c:pt idx="208">
                  <c:v>-79.349459349455273</c:v>
                </c:pt>
                <c:pt idx="209">
                  <c:v>-79.580496798825394</c:v>
                </c:pt>
                <c:pt idx="210">
                  <c:v>-79.806466008732755</c:v>
                </c:pt>
                <c:pt idx="211">
                  <c:v>-80.027457438567055</c:v>
                </c:pt>
                <c:pt idx="212">
                  <c:v>-80.243560752283216</c:v>
                </c:pt>
                <c:pt idx="213">
                  <c:v>-80.454864754909394</c:v>
                </c:pt>
                <c:pt idx="214">
                  <c:v>-80.661457334787443</c:v>
                </c:pt>
                <c:pt idx="215">
                  <c:v>-80.86342541122437</c:v>
                </c:pt>
                <c:pt idx="216">
                  <c:v>-81.060854887243266</c:v>
                </c:pt>
                <c:pt idx="217">
                  <c:v>-81.253830607133978</c:v>
                </c:pt>
                <c:pt idx="218">
                  <c:v>-81.442436318514495</c:v>
                </c:pt>
                <c:pt idx="219">
                  <c:v>-81.626754638625698</c:v>
                </c:pt>
                <c:pt idx="220">
                  <c:v>-81.806867024593458</c:v>
                </c:pt>
                <c:pt idx="221">
                  <c:v>-81.982853747404263</c:v>
                </c:pt>
                <c:pt idx="222">
                  <c:v>-82.154793869350314</c:v>
                </c:pt>
                <c:pt idx="223">
                  <c:v>-82.322765224713692</c:v>
                </c:pt>
                <c:pt idx="224">
                  <c:v>-82.486844403467558</c:v>
                </c:pt>
                <c:pt idx="225">
                  <c:v>-82.64710673778535</c:v>
                </c:pt>
                <c:pt idx="226">
                  <c:v>-82.803626291159077</c:v>
                </c:pt>
                <c:pt idx="227">
                  <c:v>-82.956475849935984</c:v>
                </c:pt>
                <c:pt idx="228">
                  <c:v>-83.105726917096717</c:v>
                </c:pt>
                <c:pt idx="229">
                  <c:v>-83.25144970810463</c:v>
                </c:pt>
                <c:pt idx="230">
                  <c:v>-83.393713148665611</c:v>
                </c:pt>
                <c:pt idx="231">
                  <c:v>-83.532584874248684</c:v>
                </c:pt>
                <c:pt idx="232">
                  <c:v>-83.668131231223796</c:v>
                </c:pt>
                <c:pt idx="233">
                  <c:v>-83.800417279483511</c:v>
                </c:pt>
                <c:pt idx="234">
                  <c:v>-83.929506796421563</c:v>
                </c:pt>
                <c:pt idx="235">
                  <c:v>-84.055462282150401</c:v>
                </c:pt>
                <c:pt idx="236">
                  <c:v>-84.178344965845156</c:v>
                </c:pt>
                <c:pt idx="237">
                  <c:v>-84.298214813111301</c:v>
                </c:pt>
                <c:pt idx="238">
                  <c:v>-84.415130534275434</c:v>
                </c:pt>
                <c:pt idx="239">
                  <c:v>-84.529149593510098</c:v>
                </c:pt>
                <c:pt idx="240">
                  <c:v>-84.640328218704127</c:v>
                </c:pt>
                <c:pt idx="241">
                  <c:v>-84.748721412001188</c:v>
                </c:pt>
                <c:pt idx="242">
                  <c:v>-84.85438296092849</c:v>
                </c:pt>
                <c:pt idx="243">
                  <c:v>-84.957365450047661</c:v>
                </c:pt>
                <c:pt idx="244">
                  <c:v>-85.057720273062841</c:v>
                </c:pt>
                <c:pt idx="245">
                  <c:v>-85.155497645323692</c:v>
                </c:pt>
                <c:pt idx="246">
                  <c:v>-85.250746616668422</c:v>
                </c:pt>
                <c:pt idx="247">
                  <c:v>-85.343515084553744</c:v>
                </c:pt>
                <c:pt idx="248">
                  <c:v>-85.433849807422988</c:v>
                </c:pt>
                <c:pt idx="249">
                  <c:v>-85.521796418267968</c:v>
                </c:pt>
                <c:pt idx="250">
                  <c:v>-85.607399438341986</c:v>
                </c:pt>
                <c:pt idx="251">
                  <c:v>-85.690702290985925</c:v>
                </c:pt>
                <c:pt idx="252">
                  <c:v>-85.771747315532011</c:v>
                </c:pt>
                <c:pt idx="253">
                  <c:v>-85.850575781251663</c:v>
                </c:pt>
                <c:pt idx="254">
                  <c:v>-85.927227901317764</c:v>
                </c:pt>
                <c:pt idx="255">
                  <c:v>-86.001742846754141</c:v>
                </c:pt>
                <c:pt idx="256">
                  <c:v>-86.074158760345085</c:v>
                </c:pt>
                <c:pt idx="257">
                  <c:v>-86.144512770483843</c:v>
                </c:pt>
                <c:pt idx="258">
                  <c:v>-86.212841004937161</c:v>
                </c:pt>
                <c:pt idx="259">
                  <c:v>-86.279178604507592</c:v>
                </c:pt>
                <c:pt idx="260">
                  <c:v>-86.343559736575685</c:v>
                </c:pt>
                <c:pt idx="261">
                  <c:v>-86.40601760850609</c:v>
                </c:pt>
                <c:pt idx="262">
                  <c:v>-86.466584480904089</c:v>
                </c:pt>
                <c:pt idx="263">
                  <c:v>-86.525291680709103</c:v>
                </c:pt>
                <c:pt idx="264">
                  <c:v>-86.582169614114278</c:v>
                </c:pt>
                <c:pt idx="265">
                  <c:v>-86.637247779302257</c:v>
                </c:pt>
                <c:pt idx="266">
                  <c:v>-86.690554778988428</c:v>
                </c:pt>
                <c:pt idx="267">
                  <c:v>-86.742118332763923</c:v>
                </c:pt>
                <c:pt idx="268">
                  <c:v>-86.791965289232351</c:v>
                </c:pt>
                <c:pt idx="269">
                  <c:v>-86.840121637934786</c:v>
                </c:pt>
                <c:pt idx="270">
                  <c:v>-86.886612521058922</c:v>
                </c:pt>
                <c:pt idx="271">
                  <c:v>-86.931462244928824</c:v>
                </c:pt>
                <c:pt idx="272">
                  <c:v>-86.974694291273167</c:v>
                </c:pt>
                <c:pt idx="273">
                  <c:v>-87.016331328270297</c:v>
                </c:pt>
                <c:pt idx="274">
                  <c:v>-87.056395221369741</c:v>
                </c:pt>
                <c:pt idx="275">
                  <c:v>-87.094907043890146</c:v>
                </c:pt>
                <c:pt idx="276">
                  <c:v>-87.131887087394773</c:v>
                </c:pt>
                <c:pt idx="277">
                  <c:v>-87.167354871846413</c:v>
                </c:pt>
                <c:pt idx="278">
                  <c:v>-87.201329155544229</c:v>
                </c:pt>
                <c:pt idx="279">
                  <c:v>-87.233827944845814</c:v>
                </c:pt>
                <c:pt idx="280">
                  <c:v>-87.264868503678898</c:v>
                </c:pt>
                <c:pt idx="281">
                  <c:v>-87.294467362847072</c:v>
                </c:pt>
                <c:pt idx="282">
                  <c:v>-87.322640329135581</c:v>
                </c:pt>
                <c:pt idx="283">
                  <c:v>-87.349402494223213</c:v>
                </c:pt>
                <c:pt idx="284">
                  <c:v>-87.374768243407843</c:v>
                </c:pt>
                <c:pt idx="285">
                  <c:v>-87.398751264153091</c:v>
                </c:pt>
                <c:pt idx="286">
                  <c:v>-87.421364554465072</c:v>
                </c:pt>
                <c:pt idx="287">
                  <c:v>-87.442620431108878</c:v>
                </c:pt>
                <c:pt idx="288">
                  <c:v>-87.462530537675065</c:v>
                </c:pt>
                <c:pt idx="289">
                  <c:v>-87.481105852507397</c:v>
                </c:pt>
                <c:pt idx="290">
                  <c:v>-87.498356696504061</c:v>
                </c:pt>
                <c:pt idx="291">
                  <c:v>-87.514292740805757</c:v>
                </c:pt>
                <c:pt idx="292">
                  <c:v>-87.528923014384418</c:v>
                </c:pt>
                <c:pt idx="293">
                  <c:v>-87.542255911548139</c:v>
                </c:pt>
                <c:pt idx="294">
                  <c:v>-87.554299199378306</c:v>
                </c:pt>
                <c:pt idx="295">
                  <c:v>-87.565060025116793</c:v>
                </c:pt>
                <c:pt idx="296">
                  <c:v>-87.574544923521501</c:v>
                </c:pt>
                <c:pt idx="297">
                  <c:v>-87.582759824210569</c:v>
                </c:pt>
                <c:pt idx="298">
                  <c:v>-87.589710059016568</c:v>
                </c:pt>
                <c:pt idx="299">
                  <c:v>-87.59540036937328</c:v>
                </c:pt>
                <c:pt idx="300">
                  <c:v>-87.599834913759906</c:v>
                </c:pt>
                <c:pt idx="301">
                  <c:v>-87.603017275228268</c:v>
                </c:pt>
                <c:pt idx="302">
                  <c:v>-87.604950469040944</c:v>
                </c:pt>
                <c:pt idx="303">
                  <c:v>-87.60563695045002</c:v>
                </c:pt>
                <c:pt idx="304">
                  <c:v>-87.605078622647838</c:v>
                </c:pt>
                <c:pt idx="305">
                  <c:v>-87.60327684492357</c:v>
                </c:pt>
                <c:pt idx="306">
                  <c:v>-87.60023244106128</c:v>
                </c:pt>
                <c:pt idx="307">
                  <c:v>-87.595945708017695</c:v>
                </c:pt>
                <c:pt idx="308">
                  <c:v>-87.59041642492069</c:v>
                </c:pt>
                <c:pt idx="309">
                  <c:v>-87.583643862431202</c:v>
                </c:pt>
                <c:pt idx="310">
                  <c:v>-87.575626792515251</c:v>
                </c:pt>
                <c:pt idx="311">
                  <c:v>-87.566363498675059</c:v>
                </c:pt>
                <c:pt idx="312">
                  <c:v>-87.555851786691107</c:v>
                </c:pt>
                <c:pt idx="313">
                  <c:v>-87.544088995931375</c:v>
                </c:pt>
                <c:pt idx="314">
                  <c:v>-87.531072011286483</c:v>
                </c:pt>
                <c:pt idx="315">
                  <c:v>-87.516797275793508</c:v>
                </c:pt>
                <c:pt idx="316">
                  <c:v>-87.501260804015857</c:v>
                </c:pt>
                <c:pt idx="317">
                  <c:v>-87.48445819624942</c:v>
                </c:pt>
                <c:pt idx="318">
                  <c:v>-87.466384653631195</c:v>
                </c:pt>
                <c:pt idx="319">
                  <c:v>-87.447034994229838</c:v>
                </c:pt>
                <c:pt idx="320">
                  <c:v>-87.426403670203555</c:v>
                </c:pt>
                <c:pt idx="321">
                  <c:v>-87.404484786115177</c:v>
                </c:pt>
                <c:pt idx="322">
                  <c:v>-87.381272118500178</c:v>
                </c:pt>
                <c:pt idx="323">
                  <c:v>-87.356759136788725</c:v>
                </c:pt>
                <c:pt idx="324">
                  <c:v>-87.330939025689077</c:v>
                </c:pt>
                <c:pt idx="325">
                  <c:v>-87.303804709145936</c:v>
                </c:pt>
                <c:pt idx="326">
                  <c:v>-87.275348875993586</c:v>
                </c:pt>
                <c:pt idx="327">
                  <c:v>-87.245564007430872</c:v>
                </c:pt>
                <c:pt idx="328">
                  <c:v>-87.214442406451752</c:v>
                </c:pt>
                <c:pt idx="329">
                  <c:v>-87.181976229373333</c:v>
                </c:pt>
                <c:pt idx="330">
                  <c:v>-87.148157519609967</c:v>
                </c:pt>
                <c:pt idx="331">
                  <c:v>-87.112978243850677</c:v>
                </c:pt>
                <c:pt idx="332">
                  <c:v>-87.076430330805763</c:v>
                </c:pt>
                <c:pt idx="333">
                  <c:v>-87.038505712695198</c:v>
                </c:pt>
                <c:pt idx="334">
                  <c:v>-86.999196369662826</c:v>
                </c:pt>
                <c:pt idx="335">
                  <c:v>-86.958494377306849</c:v>
                </c:pt>
                <c:pt idx="336">
                  <c:v>-86.916391957527651</c:v>
                </c:pt>
                <c:pt idx="337">
                  <c:v>-86.872881532903094</c:v>
                </c:pt>
                <c:pt idx="338">
                  <c:v>-86.827955784809944</c:v>
                </c:pt>
                <c:pt idx="339">
                  <c:v>-86.781607715521574</c:v>
                </c:pt>
                <c:pt idx="340">
                  <c:v>-86.733830714518746</c:v>
                </c:pt>
                <c:pt idx="341">
                  <c:v>-86.684618629262332</c:v>
                </c:pt>
                <c:pt idx="342">
                  <c:v>-86.633965840684994</c:v>
                </c:pt>
                <c:pt idx="343">
                  <c:v>-86.581867343667795</c:v>
                </c:pt>
                <c:pt idx="344">
                  <c:v>-86.528318832776776</c:v>
                </c:pt>
                <c:pt idx="345">
                  <c:v>-86.473316793543418</c:v>
                </c:pt>
                <c:pt idx="346">
                  <c:v>-86.416858599580081</c:v>
                </c:pt>
                <c:pt idx="347">
                  <c:v>-86.358942615829292</c:v>
                </c:pt>
                <c:pt idx="348">
                  <c:v>-86.299568308251352</c:v>
                </c:pt>
                <c:pt idx="349">
                  <c:v>-86.238736360261768</c:v>
                </c:pt>
                <c:pt idx="350">
                  <c:v>-86.176448796232123</c:v>
                </c:pt>
                <c:pt idx="351">
                  <c:v>-86.112709112373082</c:v>
                </c:pt>
                <c:pt idx="352">
                  <c:v>-86.047522415317388</c:v>
                </c:pt>
                <c:pt idx="353">
                  <c:v>-85.980895568722261</c:v>
                </c:pt>
                <c:pt idx="354">
                  <c:v>-85.912837348205827</c:v>
                </c:pt>
                <c:pt idx="355">
                  <c:v>-85.843358604929733</c:v>
                </c:pt>
                <c:pt idx="356">
                  <c:v>-85.772472438129071</c:v>
                </c:pt>
                <c:pt idx="357">
                  <c:v>-85.700194376883204</c:v>
                </c:pt>
                <c:pt idx="358">
                  <c:v>-85.626542571404499</c:v>
                </c:pt>
                <c:pt idx="359">
                  <c:v>-85.551537994105985</c:v>
                </c:pt>
                <c:pt idx="360">
                  <c:v>-85.475204650685342</c:v>
                </c:pt>
                <c:pt idx="361">
                  <c:v>-85.397569801436035</c:v>
                </c:pt>
                <c:pt idx="362">
                  <c:v>-85.318664192967574</c:v>
                </c:pt>
                <c:pt idx="363">
                  <c:v>-85.238522300475793</c:v>
                </c:pt>
                <c:pt idx="364">
                  <c:v>-85.157182580664383</c:v>
                </c:pt>
                <c:pt idx="365">
                  <c:v>-85.074687735369423</c:v>
                </c:pt>
                <c:pt idx="366">
                  <c:v>-84.991084985881869</c:v>
                </c:pt>
                <c:pt idx="367">
                  <c:v>-84.906426357900969</c:v>
                </c:pt>
                <c:pt idx="368">
                  <c:v>-84.820768976982578</c:v>
                </c:pt>
                <c:pt idx="369">
                  <c:v>-84.734175374265249</c:v>
                </c:pt>
                <c:pt idx="370">
                  <c:v>-84.646713802174347</c:v>
                </c:pt>
                <c:pt idx="371">
                  <c:v>-84.558458559707205</c:v>
                </c:pt>
                <c:pt idx="372">
                  <c:v>-84.469490326800042</c:v>
                </c:pt>
                <c:pt idx="373">
                  <c:v>-84.379896507165427</c:v>
                </c:pt>
                <c:pt idx="374">
                  <c:v>-84.289771578869207</c:v>
                </c:pt>
                <c:pt idx="375">
                  <c:v>-84.199217451783753</c:v>
                </c:pt>
                <c:pt idx="376">
                  <c:v>-84.108343830920347</c:v>
                </c:pt>
                <c:pt idx="377">
                  <c:v>-84.017268584494218</c:v>
                </c:pt>
                <c:pt idx="378">
                  <c:v>-83.926118115425851</c:v>
                </c:pt>
                <c:pt idx="379">
                  <c:v>-83.835027734818752</c:v>
                </c:pt>
                <c:pt idx="380">
                  <c:v>-83.744142035791754</c:v>
                </c:pt>
                <c:pt idx="381">
                  <c:v>-83.653615265870727</c:v>
                </c:pt>
                <c:pt idx="382">
                  <c:v>-83.563611695972966</c:v>
                </c:pt>
                <c:pt idx="383">
                  <c:v>-83.474305983842115</c:v>
                </c:pt>
                <c:pt idx="384">
                  <c:v>-83.385883529616351</c:v>
                </c:pt>
                <c:pt idx="385">
                  <c:v>-83.298540821042678</c:v>
                </c:pt>
                <c:pt idx="386">
                  <c:v>-83.212485765680881</c:v>
                </c:pt>
                <c:pt idx="387">
                  <c:v>-83.127938007283817</c:v>
                </c:pt>
                <c:pt idx="388">
                  <c:v>-83.045129223391939</c:v>
                </c:pt>
                <c:pt idx="389">
                  <c:v>-82.964303401044816</c:v>
                </c:pt>
                <c:pt idx="390">
                  <c:v>-82.885717087397254</c:v>
                </c:pt>
                <c:pt idx="391">
                  <c:v>-82.809639611929626</c:v>
                </c:pt>
                <c:pt idx="392">
                  <c:v>-82.736353276871625</c:v>
                </c:pt>
                <c:pt idx="393">
                  <c:v>-82.66615351241424</c:v>
                </c:pt>
                <c:pt idx="394">
                  <c:v>-82.599348993273665</c:v>
                </c:pt>
                <c:pt idx="395">
                  <c:v>-82.536261713193298</c:v>
                </c:pt>
                <c:pt idx="396">
                  <c:v>-82.477227014033758</c:v>
                </c:pt>
                <c:pt idx="397">
                  <c:v>-82.422593566203119</c:v>
                </c:pt>
                <c:pt idx="398">
                  <c:v>-82.372723297330012</c:v>
                </c:pt>
                <c:pt idx="399">
                  <c:v>-82.327991266276655</c:v>
                </c:pt>
                <c:pt idx="400">
                  <c:v>-82.288785479833322</c:v>
                </c:pt>
                <c:pt idx="401">
                  <c:v>-82.255506649730947</c:v>
                </c:pt>
                <c:pt idx="402">
                  <c:v>-82.228567887951513</c:v>
                </c:pt>
                <c:pt idx="403">
                  <c:v>-82.208394338710235</c:v>
                </c:pt>
                <c:pt idx="404">
                  <c:v>-82.195422745926678</c:v>
                </c:pt>
                <c:pt idx="405">
                  <c:v>-82.190100955489399</c:v>
                </c:pt>
                <c:pt idx="406">
                  <c:v>-82.192887352150478</c:v>
                </c:pt>
                <c:pt idx="407">
                  <c:v>-82.204250231456726</c:v>
                </c:pt>
                <c:pt idx="408">
                  <c:v>-82.224667107726646</c:v>
                </c:pt>
                <c:pt idx="409">
                  <c:v>-82.254623959714692</c:v>
                </c:pt>
                <c:pt idx="410">
                  <c:v>-82.294614416253978</c:v>
                </c:pt>
                <c:pt idx="411">
                  <c:v>-82.345138884832892</c:v>
                </c:pt>
                <c:pt idx="412">
                  <c:v>-82.406703626729609</c:v>
                </c:pt>
                <c:pt idx="413">
                  <c:v>-82.479819782991015</c:v>
                </c:pt>
                <c:pt idx="414">
                  <c:v>-82.565002356190817</c:v>
                </c:pt>
                <c:pt idx="415">
                  <c:v>-82.662769153530434</c:v>
                </c:pt>
                <c:pt idx="416">
                  <c:v>-82.773639697433154</c:v>
                </c:pt>
                <c:pt idx="417">
                  <c:v>-82.898134110339797</c:v>
                </c:pt>
                <c:pt idx="418">
                  <c:v>-83.036771980902657</c:v>
                </c:pt>
                <c:pt idx="419">
                  <c:v>-83.190071219224123</c:v>
                </c:pt>
                <c:pt idx="420">
                  <c:v>-83.358546909149609</c:v>
                </c:pt>
                <c:pt idx="421">
                  <c:v>-83.542710165921704</c:v>
                </c:pt>
                <c:pt idx="422">
                  <c:v>-83.743067007722885</c:v>
                </c:pt>
                <c:pt idx="423">
                  <c:v>-83.960117249758142</c:v>
                </c:pt>
                <c:pt idx="424">
                  <c:v>-84.194353429573923</c:v>
                </c:pt>
                <c:pt idx="425">
                  <c:v>-84.44625977225401</c:v>
                </c:pt>
                <c:pt idx="426">
                  <c:v>-84.716311203992603</c:v>
                </c:pt>
                <c:pt idx="427">
                  <c:v>-85.004972422298138</c:v>
                </c:pt>
                <c:pt idx="428">
                  <c:v>-85.312697030754549</c:v>
                </c:pt>
                <c:pt idx="429">
                  <c:v>-85.639926745836135</c:v>
                </c:pt>
                <c:pt idx="430">
                  <c:v>-85.98709068275565</c:v>
                </c:pt>
                <c:pt idx="431">
                  <c:v>-86.354604726727274</c:v>
                </c:pt>
                <c:pt idx="432">
                  <c:v>-86.742870995334144</c:v>
                </c:pt>
                <c:pt idx="433">
                  <c:v>-87.152277396930188</c:v>
                </c:pt>
                <c:pt idx="434">
                  <c:v>-87.583197289165412</c:v>
                </c:pt>
                <c:pt idx="435">
                  <c:v>-88.035989240816889</c:v>
                </c:pt>
                <c:pt idx="436">
                  <c:v>-88.510996899136146</c:v>
                </c:pt>
                <c:pt idx="437">
                  <c:v>-89.008548963895677</c:v>
                </c:pt>
                <c:pt idx="438">
                  <c:v>-89.528959268231844</c:v>
                </c:pt>
                <c:pt idx="439">
                  <c:v>-90.072526965254468</c:v>
                </c:pt>
                <c:pt idx="440">
                  <c:v>-90.639536818215674</c:v>
                </c:pt>
                <c:pt idx="441">
                  <c:v>-91.23025959082814</c:v>
                </c:pt>
                <c:pt idx="442">
                  <c:v>-91.844952533067286</c:v>
                </c:pt>
                <c:pt idx="443">
                  <c:v>-92.483859956532783</c:v>
                </c:pt>
                <c:pt idx="444">
                  <c:v>-93.147213892144563</c:v>
                </c:pt>
                <c:pt idx="445">
                  <c:v>-93.835234821634145</c:v>
                </c:pt>
                <c:pt idx="446">
                  <c:v>-94.548132472965605</c:v>
                </c:pt>
                <c:pt idx="447">
                  <c:v>-95.286106668486482</c:v>
                </c:pt>
                <c:pt idx="448">
                  <c:v>-96.049348213249999</c:v>
                </c:pt>
                <c:pt idx="449">
                  <c:v>-96.838039809626494</c:v>
                </c:pt>
                <c:pt idx="450">
                  <c:v>-97.652356982952639</c:v>
                </c:pt>
                <c:pt idx="451">
                  <c:v>-98.492469001649837</c:v>
                </c:pt>
                <c:pt idx="452">
                  <c:v>-99.358539773909285</c:v>
                </c:pt>
                <c:pt idx="453">
                  <c:v>-100.25072870174492</c:v>
                </c:pt>
                <c:pt idx="454">
                  <c:v>-101.16919147193113</c:v>
                </c:pt>
                <c:pt idx="455">
                  <c:v>-102.11408076211397</c:v>
                </c:pt>
                <c:pt idx="456">
                  <c:v>-103.0855468391901</c:v>
                </c:pt>
                <c:pt idx="457">
                  <c:v>-104.08373802592894</c:v>
                </c:pt>
                <c:pt idx="458">
                  <c:v>-105.10880101077558</c:v>
                </c:pt>
                <c:pt idx="459">
                  <c:v>-106.16088097485137</c:v>
                </c:pt>
                <c:pt idx="460">
                  <c:v>-107.24012150938242</c:v>
                </c:pt>
                <c:pt idx="461">
                  <c:v>-108.34666429618187</c:v>
                </c:pt>
                <c:pt idx="462">
                  <c:v>-109.48064852344886</c:v>
                </c:pt>
                <c:pt idx="463">
                  <c:v>-110.64221000904705</c:v>
                </c:pt>
                <c:pt idx="464">
                  <c:v>-111.8314800036902</c:v>
                </c:pt>
                <c:pt idx="465">
                  <c:v>-113.04858364717296</c:v>
                </c:pt>
                <c:pt idx="466">
                  <c:v>-114.29363805199257</c:v>
                </c:pt>
                <c:pt idx="467">
                  <c:v>-115.56674999056139</c:v>
                </c:pt>
                <c:pt idx="468">
                  <c:v>-116.86801316481483</c:v>
                </c:pt>
                <c:pt idx="469">
                  <c:v>-118.19750504047575</c:v>
                </c:pt>
                <c:pt idx="470">
                  <c:v>-119.55528323271095</c:v>
                </c:pt>
                <c:pt idx="471">
                  <c:v>-120.94138143551972</c:v>
                </c:pt>
                <c:pt idx="472">
                  <c:v>-122.35580489406819</c:v>
                </c:pt>
                <c:pt idx="473">
                  <c:v>-123.79852542743994</c:v>
                </c:pt>
                <c:pt idx="474">
                  <c:v>-125.26947601901097</c:v>
                </c:pt>
                <c:pt idx="475">
                  <c:v>-126.76854500292372</c:v>
                </c:pt>
                <c:pt idx="476">
                  <c:v>-128.2955698879546</c:v>
                </c:pt>
                <c:pt idx="477">
                  <c:v>-129.85033087434979</c:v>
                </c:pt>
                <c:pt idx="478">
                  <c:v>-131.43254413482614</c:v>
                </c:pt>
                <c:pt idx="479">
                  <c:v>-133.04185494761725</c:v>
                </c:pt>
                <c:pt idx="480">
                  <c:v>-134.67783078682197</c:v>
                </c:pt>
                <c:pt idx="481">
                  <c:v>-136.33995449287275</c:v>
                </c:pt>
                <c:pt idx="482">
                  <c:v>-138.02761766302493</c:v>
                </c:pt>
                <c:pt idx="483">
                  <c:v>-139.74011441757006</c:v>
                </c:pt>
                <c:pt idx="484">
                  <c:v>-141.47663571111786</c:v>
                </c:pt>
                <c:pt idx="485">
                  <c:v>-143.23626436867355</c:v>
                </c:pt>
                <c:pt idx="486">
                  <c:v>-145.01797103237678</c:v>
                </c:pt>
                <c:pt idx="487">
                  <c:v>-146.82061120550705</c:v>
                </c:pt>
                <c:pt idx="488">
                  <c:v>-148.64292357474426</c:v>
                </c:pt>
                <c:pt idx="489">
                  <c:v>-150.4835297788853</c:v>
                </c:pt>
                <c:pt idx="490">
                  <c:v>-152.34093577162616</c:v>
                </c:pt>
                <c:pt idx="491">
                  <c:v>-154.21353489748316</c:v>
                </c:pt>
                <c:pt idx="492">
                  <c:v>-156.09961276360238</c:v>
                </c:pt>
                <c:pt idx="493">
                  <c:v>-157.99735394685129</c:v>
                </c:pt>
                <c:pt idx="494">
                  <c:v>-159.90485052642589</c:v>
                </c:pt>
                <c:pt idx="495">
                  <c:v>-161.82011237898564</c:v>
                </c:pt>
                <c:pt idx="496">
                  <c:v>-163.74107911828028</c:v>
                </c:pt>
                <c:pt idx="497">
                  <c:v>-165.66563350685902</c:v>
                </c:pt>
                <c:pt idx="498">
                  <c:v>-167.59161611651214</c:v>
                </c:pt>
                <c:pt idx="499">
                  <c:v>-169.51684096928093</c:v>
                </c:pt>
                <c:pt idx="500">
                  <c:v>-171.43911185471035</c:v>
                </c:pt>
                <c:pt idx="501">
                  <c:v>-173.35623899358086</c:v>
                </c:pt>
                <c:pt idx="502">
                  <c:v>-175.26605570517515</c:v>
                </c:pt>
                <c:pt idx="503">
                  <c:v>-177.16643473497925</c:v>
                </c:pt>
                <c:pt idx="504">
                  <c:v>-179.05530391258591</c:v>
                </c:pt>
                <c:pt idx="505">
                  <c:v>179.06933916529874</c:v>
                </c:pt>
                <c:pt idx="506">
                  <c:v>177.20941369598705</c:v>
                </c:pt>
                <c:pt idx="507">
                  <c:v>175.36674370081712</c:v>
                </c:pt>
                <c:pt idx="508">
                  <c:v>173.54304769810329</c:v>
                </c:pt>
                <c:pt idx="509">
                  <c:v>171.73993013903174</c:v>
                </c:pt>
                <c:pt idx="510">
                  <c:v>169.95887467170027</c:v>
                </c:pt>
                <c:pt idx="511">
                  <c:v>168.20123924555676</c:v>
                </c:pt>
                <c:pt idx="512">
                  <c:v>166.4682530195596</c:v>
                </c:pt>
                <c:pt idx="513">
                  <c:v>164.76101499425252</c:v>
                </c:pt>
                <c:pt idx="514">
                  <c:v>163.08049425182276</c:v>
                </c:pt>
                <c:pt idx="515">
                  <c:v>161.4275316598482</c:v>
                </c:pt>
                <c:pt idx="516">
                  <c:v>159.80284287399758</c:v>
                </c:pt>
                <c:pt idx="517">
                  <c:v>158.20702246227472</c:v>
                </c:pt>
                <c:pt idx="518">
                  <c:v>156.64054896785558</c:v>
                </c:pt>
                <c:pt idx="519">
                  <c:v>155.10379072836847</c:v>
                </c:pt>
                <c:pt idx="520">
                  <c:v>153.59701227558276</c:v>
                </c:pt>
                <c:pt idx="521">
                  <c:v>152.12038114984074</c:v>
                </c:pt>
                <c:pt idx="522">
                  <c:v>150.67397497710351</c:v>
                </c:pt>
                <c:pt idx="523">
                  <c:v>149.25778867215118</c:v>
                </c:pt>
                <c:pt idx="524">
                  <c:v>147.87174164837961</c:v>
                </c:pt>
                <c:pt idx="525">
                  <c:v>146.51568493195751</c:v>
                </c:pt>
                <c:pt idx="526">
                  <c:v>145.18940809518563</c:v>
                </c:pt>
                <c:pt idx="527">
                  <c:v>143.8926459402519</c:v>
                </c:pt>
                <c:pt idx="528">
                  <c:v>142.62508487979196</c:v>
                </c:pt>
                <c:pt idx="529">
                  <c:v>141.38636897449885</c:v>
                </c:pt>
                <c:pt idx="530">
                  <c:v>140.1761056003721</c:v>
                </c:pt>
                <c:pt idx="531">
                  <c:v>138.99387072889041</c:v>
                </c:pt>
                <c:pt idx="532">
                  <c:v>137.83921381258887</c:v>
                </c:pt>
                <c:pt idx="533">
                  <c:v>136.71166227613895</c:v>
                </c:pt>
                <c:pt idx="534">
                  <c:v>135.61072561928455</c:v>
                </c:pt>
                <c:pt idx="535">
                  <c:v>134.53589914292169</c:v>
                </c:pt>
                <c:pt idx="536">
                  <c:v>133.48666731340998</c:v>
                </c:pt>
                <c:pt idx="537">
                  <c:v>132.46250678299174</c:v>
                </c:pt>
                <c:pt idx="538">
                  <c:v>131.46288908612328</c:v>
                </c:pt>
                <c:pt idx="539">
                  <c:v>130.48728303271062</c:v>
                </c:pt>
                <c:pt idx="540">
                  <c:v>129.53515681983097</c:v>
                </c:pt>
                <c:pt idx="541">
                  <c:v>128.60597988361269</c:v>
                </c:pt>
              </c:numCache>
            </c:numRef>
          </c:yVal>
          <c:smooth val="1"/>
          <c:extLst>
            <c:ext xmlns:c16="http://schemas.microsoft.com/office/drawing/2014/chart" uri="{C3380CC4-5D6E-409C-BE32-E72D297353CC}">
              <c16:uniqueId val="{00000001-E7F3-4DBE-81B4-F0413043E366}"/>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30.611562688707224</c:v>
                </c:pt>
                <c:pt idx="1">
                  <c:v>30.411584034531991</c:v>
                </c:pt>
                <c:pt idx="2">
                  <c:v>30.211606386240998</c:v>
                </c:pt>
                <c:pt idx="3">
                  <c:v>30.011629791229247</c:v>
                </c:pt>
                <c:pt idx="4">
                  <c:v>29.811654299124108</c:v>
                </c:pt>
                <c:pt idx="5">
                  <c:v>29.611679961890964</c:v>
                </c:pt>
                <c:pt idx="6">
                  <c:v>29.411706833942706</c:v>
                </c:pt>
                <c:pt idx="7">
                  <c:v>29.211734972255478</c:v>
                </c:pt>
                <c:pt idx="8">
                  <c:v>29.011764436488832</c:v>
                </c:pt>
                <c:pt idx="9">
                  <c:v>28.811795289112577</c:v>
                </c:pt>
                <c:pt idx="10">
                  <c:v>28.61182759553866</c:v>
                </c:pt>
                <c:pt idx="11">
                  <c:v>28.411861424259772</c:v>
                </c:pt>
                <c:pt idx="12">
                  <c:v>28.211896846994442</c:v>
                </c:pt>
                <c:pt idx="13">
                  <c:v>28.011933938838638</c:v>
                </c:pt>
                <c:pt idx="14">
                  <c:v>27.811972778425023</c:v>
                </c:pt>
                <c:pt idx="15">
                  <c:v>27.612013448089062</c:v>
                </c:pt>
                <c:pt idx="16">
                  <c:v>27.412056034043424</c:v>
                </c:pt>
                <c:pt idx="17">
                  <c:v>27.212100626560392</c:v>
                </c:pt>
                <c:pt idx="18">
                  <c:v>27.012147320162722</c:v>
                </c:pt>
                <c:pt idx="19">
                  <c:v>26.81219621382381</c:v>
                </c:pt>
                <c:pt idx="20">
                  <c:v>26.612247411176835</c:v>
                </c:pt>
                <c:pt idx="21">
                  <c:v>26.412301020734063</c:v>
                </c:pt>
                <c:pt idx="22">
                  <c:v>26.212357156116198</c:v>
                </c:pt>
                <c:pt idx="23">
                  <c:v>26.012415936292612</c:v>
                </c:pt>
                <c:pt idx="24">
                  <c:v>25.812477485833071</c:v>
                </c:pt>
                <c:pt idx="25">
                  <c:v>25.612541935170622</c:v>
                </c:pt>
                <c:pt idx="26">
                  <c:v>25.412609420877537</c:v>
                </c:pt>
                <c:pt idx="27">
                  <c:v>25.212680085953604</c:v>
                </c:pt>
                <c:pt idx="28">
                  <c:v>25.012754080128691</c:v>
                </c:pt>
                <c:pt idx="29">
                  <c:v>24.812831560178317</c:v>
                </c:pt>
                <c:pt idx="30">
                  <c:v>24.612912690255335</c:v>
                </c:pt>
                <c:pt idx="31">
                  <c:v>24.412997642236057</c:v>
                </c:pt>
                <c:pt idx="32">
                  <c:v>24.213086596083059</c:v>
                </c:pt>
                <c:pt idx="33">
                  <c:v>24.01317974022529</c:v>
                </c:pt>
                <c:pt idx="34">
                  <c:v>23.813277271955243</c:v>
                </c:pt>
                <c:pt idx="35">
                  <c:v>23.613379397845264</c:v>
                </c:pt>
                <c:pt idx="36">
                  <c:v>23.41348633418302</c:v>
                </c:pt>
                <c:pt idx="37">
                  <c:v>23.21359830742745</c:v>
                </c:pt>
                <c:pt idx="38">
                  <c:v>23.013715554686065</c:v>
                </c:pt>
                <c:pt idx="39">
                  <c:v>22.813838324214544</c:v>
                </c:pt>
                <c:pt idx="40">
                  <c:v>22.613966875939354</c:v>
                </c:pt>
                <c:pt idx="41">
                  <c:v>22.414101482005137</c:v>
                </c:pt>
                <c:pt idx="42">
                  <c:v>22.214242427347472</c:v>
                </c:pt>
                <c:pt idx="43">
                  <c:v>22.014390010292168</c:v>
                </c:pt>
                <c:pt idx="44">
                  <c:v>21.814544543183136</c:v>
                </c:pt>
                <c:pt idx="45">
                  <c:v>21.614706353038109</c:v>
                </c:pt>
                <c:pt idx="46">
                  <c:v>21.414875782236788</c:v>
                </c:pt>
                <c:pt idx="47">
                  <c:v>21.215053189239352</c:v>
                </c:pt>
                <c:pt idx="48">
                  <c:v>21.015238949338965</c:v>
                </c:pt>
                <c:pt idx="49">
                  <c:v>20.815433455449664</c:v>
                </c:pt>
                <c:pt idx="50">
                  <c:v>20.615637118929946</c:v>
                </c:pt>
                <c:pt idx="51">
                  <c:v>20.415850370445689</c:v>
                </c:pt>
                <c:pt idx="52">
                  <c:v>20.216073660871373</c:v>
                </c:pt>
                <c:pt idx="53">
                  <c:v>20.016307462235204</c:v>
                </c:pt>
                <c:pt idx="54">
                  <c:v>19.816552268705994</c:v>
                </c:pt>
                <c:pt idx="55">
                  <c:v>19.61680859762691</c:v>
                </c:pt>
                <c:pt idx="56">
                  <c:v>19.417076990596502</c:v>
                </c:pt>
                <c:pt idx="57">
                  <c:v>19.217358014599611</c:v>
                </c:pt>
                <c:pt idx="58">
                  <c:v>19.017652263190399</c:v>
                </c:pt>
                <c:pt idx="59">
                  <c:v>18.81796035773019</c:v>
                </c:pt>
                <c:pt idx="60">
                  <c:v>18.618282948681731</c:v>
                </c:pt>
                <c:pt idx="61">
                  <c:v>18.418620716963318</c:v>
                </c:pt>
                <c:pt idx="62">
                  <c:v>18.218974375364954</c:v>
                </c:pt>
                <c:pt idx="63">
                  <c:v>18.019344670029117</c:v>
                </c:pt>
                <c:pt idx="64">
                  <c:v>17.819732381999863</c:v>
                </c:pt>
                <c:pt idx="65">
                  <c:v>17.620138328842128</c:v>
                </c:pt>
                <c:pt idx="66">
                  <c:v>17.420563366335497</c:v>
                </c:pt>
                <c:pt idx="67">
                  <c:v>17.221008390244442</c:v>
                </c:pt>
                <c:pt idx="68">
                  <c:v>17.021474338170005</c:v>
                </c:pt>
                <c:pt idx="69">
                  <c:v>16.821962191484555</c:v>
                </c:pt>
                <c:pt idx="70">
                  <c:v>16.622472977355031</c:v>
                </c:pt>
                <c:pt idx="71">
                  <c:v>16.423007770857382</c:v>
                </c:pt>
                <c:pt idx="72">
                  <c:v>16.223567697186358</c:v>
                </c:pt>
                <c:pt idx="73">
                  <c:v>16.024153933965174</c:v>
                </c:pt>
                <c:pt idx="74">
                  <c:v>15.824767713658785</c:v>
                </c:pt>
                <c:pt idx="75">
                  <c:v>15.62541032609545</c:v>
                </c:pt>
                <c:pt idx="76">
                  <c:v>15.42608312110119</c:v>
                </c:pt>
                <c:pt idx="77">
                  <c:v>15.226787511251638</c:v>
                </c:pt>
                <c:pt idx="78">
                  <c:v>15.027524974746662</c:v>
                </c:pt>
                <c:pt idx="79">
                  <c:v>14.828297058412197</c:v>
                </c:pt>
                <c:pt idx="80">
                  <c:v>14.629105380835284</c:v>
                </c:pt>
                <c:pt idx="81">
                  <c:v>14.429951635637153</c:v>
                </c:pt>
                <c:pt idx="82">
                  <c:v>14.230837594890115</c:v>
                </c:pt>
                <c:pt idx="83">
                  <c:v>14.031765112684544</c:v>
                </c:pt>
                <c:pt idx="84">
                  <c:v>13.832736128851337</c:v>
                </c:pt>
                <c:pt idx="85">
                  <c:v>13.633752672845995</c:v>
                </c:pt>
                <c:pt idx="86">
                  <c:v>13.434816867801395</c:v>
                </c:pt>
                <c:pt idx="87">
                  <c:v>13.235930934755043</c:v>
                </c:pt>
                <c:pt idx="88">
                  <c:v>13.037097197057705</c:v>
                </c:pt>
                <c:pt idx="89">
                  <c:v>12.838318084970661</c:v>
                </c:pt>
                <c:pt idx="90">
                  <c:v>12.639596140458185</c:v>
                </c:pt>
                <c:pt idx="91">
                  <c:v>12.440934022182685</c:v>
                </c:pt>
                <c:pt idx="92">
                  <c:v>12.24233451070986</c:v>
                </c:pt>
                <c:pt idx="93">
                  <c:v>12.043800513931446</c:v>
                </c:pt>
                <c:pt idx="94">
                  <c:v>11.845335072713148</c:v>
                </c:pt>
                <c:pt idx="95">
                  <c:v>11.646941366775591</c:v>
                </c:pt>
                <c:pt idx="96">
                  <c:v>11.448622720816253</c:v>
                </c:pt>
                <c:pt idx="97">
                  <c:v>11.250382610880209</c:v>
                </c:pt>
                <c:pt idx="98">
                  <c:v>11.052224670987986</c:v>
                </c:pt>
                <c:pt idx="99">
                  <c:v>10.854152700028459</c:v>
                </c:pt>
                <c:pt idx="100">
                  <c:v>10.656170668925192</c:v>
                </c:pt>
                <c:pt idx="101">
                  <c:v>10.458282728084068</c:v>
                </c:pt>
                <c:pt idx="102">
                  <c:v>10.26049321513057</c:v>
                </c:pt>
                <c:pt idx="103">
                  <c:v>10.062806662944663</c:v>
                </c:pt>
                <c:pt idx="104">
                  <c:v>9.8652278080011655</c:v>
                </c:pt>
                <c:pt idx="105">
                  <c:v>9.6677615990233718</c:v>
                </c:pt>
                <c:pt idx="106">
                  <c:v>9.4704132059577404</c:v>
                </c:pt>
                <c:pt idx="107">
                  <c:v>9.2731880292765645</c:v>
                </c:pt>
                <c:pt idx="108">
                  <c:v>9.0760917096155982</c:v>
                </c:pt>
                <c:pt idx="109">
                  <c:v>8.8791301377536254</c:v>
                </c:pt>
                <c:pt idx="110">
                  <c:v>8.682309464939415</c:v>
                </c:pt>
                <c:pt idx="111">
                  <c:v>8.4856361135718927</c:v>
                </c:pt>
                <c:pt idx="112">
                  <c:v>8.2891167882387649</c:v>
                </c:pt>
                <c:pt idx="113">
                  <c:v>8.0927584871163614</c:v>
                </c:pt>
                <c:pt idx="114">
                  <c:v>7.8965685137353319</c:v>
                </c:pt>
                <c:pt idx="115">
                  <c:v>7.7005544891140234</c:v>
                </c:pt>
                <c:pt idx="116">
                  <c:v>7.5047243642596682</c:v>
                </c:pt>
                <c:pt idx="117">
                  <c:v>7.3090864330384751</c:v>
                </c:pt>
                <c:pt idx="118">
                  <c:v>7.1136493454124405</c:v>
                </c:pt>
                <c:pt idx="119">
                  <c:v>6.9184221210393551</c:v>
                </c:pt>
                <c:pt idx="120">
                  <c:v>6.7234141632319648</c:v>
                </c:pt>
                <c:pt idx="121">
                  <c:v>6.5286352732680761</c:v>
                </c:pt>
                <c:pt idx="122">
                  <c:v>6.3340956650440496</c:v>
                </c:pt>
                <c:pt idx="123">
                  <c:v>6.1398059800591733</c:v>
                </c:pt>
                <c:pt idx="124">
                  <c:v>5.9457773027167251</c:v>
                </c:pt>
                <c:pt idx="125">
                  <c:v>5.7520211759265818</c:v>
                </c:pt>
                <c:pt idx="126">
                  <c:v>5.5585496169866051</c:v>
                </c:pt>
                <c:pt idx="127">
                  <c:v>5.3653751337221998</c:v>
                </c:pt>
                <c:pt idx="128">
                  <c:v>5.1725107408552082</c:v>
                </c:pt>
                <c:pt idx="129">
                  <c:v>4.9799699765721819</c:v>
                </c:pt>
                <c:pt idx="130">
                  <c:v>4.7877669192558461</c:v>
                </c:pt>
                <c:pt idx="131">
                  <c:v>4.595916204341373</c:v>
                </c:pt>
                <c:pt idx="132">
                  <c:v>4.4044330412513704</c:v>
                </c:pt>
                <c:pt idx="133">
                  <c:v>4.2133332303602833</c:v>
                </c:pt>
                <c:pt idx="134">
                  <c:v>4.022633179932984</c:v>
                </c:pt>
                <c:pt idx="135">
                  <c:v>3.8323499229750824</c:v>
                </c:pt>
                <c:pt idx="136">
                  <c:v>3.642501133928719</c:v>
                </c:pt>
                <c:pt idx="137">
                  <c:v>3.453105145138085</c:v>
                </c:pt>
                <c:pt idx="138">
                  <c:v>3.2641809630044434</c:v>
                </c:pt>
                <c:pt idx="139">
                  <c:v>3.0757482837417598</c:v>
                </c:pt>
                <c:pt idx="140">
                  <c:v>2.8878275086370837</c:v>
                </c:pt>
                <c:pt idx="141">
                  <c:v>2.7004397587116418</c:v>
                </c:pt>
                <c:pt idx="142">
                  <c:v>2.5136068886713208</c:v>
                </c:pt>
                <c:pt idx="143">
                  <c:v>2.3273515000259826</c:v>
                </c:pt>
                <c:pt idx="144">
                  <c:v>2.1416969532496353</c:v>
                </c:pt>
                <c:pt idx="145">
                  <c:v>1.956667378843697</c:v>
                </c:pt>
                <c:pt idx="146">
                  <c:v>1.7722876871599067</c:v>
                </c:pt>
                <c:pt idx="147">
                  <c:v>1.5885835768266294</c:v>
                </c:pt>
                <c:pt idx="148">
                  <c:v>1.4055815416183433</c:v>
                </c:pt>
                <c:pt idx="149">
                  <c:v>1.2233088755982466</c:v>
                </c:pt>
                <c:pt idx="150">
                  <c:v>1.0417936763548965</c:v>
                </c:pt>
                <c:pt idx="151">
                  <c:v>0.86106484615050827</c:v>
                </c:pt>
                <c:pt idx="152">
                  <c:v>0.68115209078678718</c:v>
                </c:pt>
                <c:pt idx="153">
                  <c:v>0.50208591599519414</c:v>
                </c:pt>
                <c:pt idx="154">
                  <c:v>0.32389762114567056</c:v>
                </c:pt>
                <c:pt idx="155">
                  <c:v>0.14661929007317256</c:v>
                </c:pt>
                <c:pt idx="156">
                  <c:v>-2.9716221188585121E-2</c:v>
                </c:pt>
                <c:pt idx="157">
                  <c:v>-0.20507529997224325</c:v>
                </c:pt>
                <c:pt idx="158">
                  <c:v>-0.379423596048439</c:v>
                </c:pt>
                <c:pt idx="159">
                  <c:v>-0.55272604440723827</c:v>
                </c:pt>
                <c:pt idx="160">
                  <c:v>-0.72494689194820583</c:v>
                </c:pt>
                <c:pt idx="161">
                  <c:v>-0.89604972827010365</c:v>
                </c:pt>
                <c:pt idx="162">
                  <c:v>-1.0659975207404977</c:v>
                </c:pt>
                <c:pt idx="163">
                  <c:v>-1.2347526540137652</c:v>
                </c:pt>
                <c:pt idx="164">
                  <c:v>-1.4022769741482359</c:v>
                </c:pt>
                <c:pt idx="165">
                  <c:v>-1.5685318374563153</c:v>
                </c:pt>
                <c:pt idx="166">
                  <c:v>-1.7334781641966623</c:v>
                </c:pt>
                <c:pt idx="167">
                  <c:v>-1.897076497194095</c:v>
                </c:pt>
                <c:pt idx="168">
                  <c:v>-2.0592870654419952</c:v>
                </c:pt>
                <c:pt idx="169">
                  <c:v>-2.2200698527103855</c:v>
                </c:pt>
                <c:pt idx="170">
                  <c:v>-2.3793846711463651</c:v>
                </c:pt>
                <c:pt idx="171">
                  <c:v>-2.5371912398149981</c:v>
                </c:pt>
                <c:pt idx="172">
                  <c:v>-2.6934492680859261</c:v>
                </c:pt>
                <c:pt idx="173">
                  <c:v>-2.8481185437257004</c:v>
                </c:pt>
                <c:pt idx="174">
                  <c:v>-3.0011590255088292</c:v>
                </c:pt>
                <c:pt idx="175">
                  <c:v>-3.1525309401100636</c:v>
                </c:pt>
                <c:pt idx="176">
                  <c:v>-3.3021948829890695</c:v>
                </c:pt>
                <c:pt idx="177">
                  <c:v>-3.4501119229266712</c:v>
                </c:pt>
                <c:pt idx="178">
                  <c:v>-3.5962437098180851</c:v>
                </c:pt>
                <c:pt idx="179">
                  <c:v>-3.7405525852764838</c:v>
                </c:pt>
                <c:pt idx="180">
                  <c:v>-3.8830016955483231</c:v>
                </c:pt>
                <c:pt idx="181">
                  <c:v>-4.0235551061921067</c:v>
                </c:pt>
                <c:pt idx="182">
                  <c:v>-4.162177917925959</c:v>
                </c:pt>
                <c:pt idx="183">
                  <c:v>-4.2988363830046135</c:v>
                </c:pt>
                <c:pt idx="184">
                  <c:v>-4.4334980214494282</c:v>
                </c:pt>
                <c:pt idx="185">
                  <c:v>-4.5661317364209593</c:v>
                </c:pt>
                <c:pt idx="186">
                  <c:v>-4.6967079279962505</c:v>
                </c:pt>
                <c:pt idx="187">
                  <c:v>-4.8251986045941528</c:v>
                </c:pt>
                <c:pt idx="188">
                  <c:v>-4.9515774912799211</c:v>
                </c:pt>
                <c:pt idx="189">
                  <c:v>-5.0758201341760945</c:v>
                </c:pt>
                <c:pt idx="190">
                  <c:v>-5.197904000213307</c:v>
                </c:pt>
                <c:pt idx="191">
                  <c:v>-5.3178085714694472</c:v>
                </c:pt>
                <c:pt idx="192">
                  <c:v>-5.4355154333693232</c:v>
                </c:pt>
                <c:pt idx="193">
                  <c:v>-5.5510083560521526</c:v>
                </c:pt>
                <c:pt idx="194">
                  <c:v>-5.6642733682571151</c:v>
                </c:pt>
                <c:pt idx="195">
                  <c:v>-5.7752988231302247</c:v>
                </c:pt>
                <c:pt idx="196">
                  <c:v>-5.8840754554167853</c:v>
                </c:pt>
                <c:pt idx="197">
                  <c:v>-5.990596429573003</c:v>
                </c:pt>
                <c:pt idx="198">
                  <c:v>-6.0948573784059406</c:v>
                </c:pt>
                <c:pt idx="199">
                  <c:v>-6.1968564319338979</c:v>
                </c:pt>
                <c:pt idx="200">
                  <c:v>-6.2965942362449656</c:v>
                </c:pt>
                <c:pt idx="201">
                  <c:v>-6.3940739622226079</c:v>
                </c:pt>
                <c:pt idx="202">
                  <c:v>-6.4893013040992189</c:v>
                </c:pt>
                <c:pt idx="203">
                  <c:v>-6.5822844678910357</c:v>
                </c:pt>
                <c:pt idx="204">
                  <c:v>-6.6730341498615111</c:v>
                </c:pt>
                <c:pt idx="205">
                  <c:v>-6.7615635052488852</c:v>
                </c:pt>
                <c:pt idx="206">
                  <c:v>-6.8478881075809914</c:v>
                </c:pt>
                <c:pt idx="207">
                  <c:v>-6.9320258989831789</c:v>
                </c:pt>
                <c:pt idx="208">
                  <c:v>-7.0139971319583738</c:v>
                </c:pt>
                <c:pt idx="209">
                  <c:v>-7.0938243031911528</c:v>
                </c:pt>
                <c:pt idx="210">
                  <c:v>-7.1715320799847024</c:v>
                </c:pt>
                <c:pt idx="211">
                  <c:v>-7.2471472199953881</c:v>
                </c:pt>
                <c:pt idx="212">
                  <c:v>-7.3206984849696148</c:v>
                </c:pt>
                <c:pt idx="213">
                  <c:v>-7.3922165492253766</c:v>
                </c:pt>
                <c:pt idx="214">
                  <c:v>-7.4617339036412034</c:v>
                </c:pt>
                <c:pt idx="215">
                  <c:v>-7.5292847559328422</c:v>
                </c:pt>
                <c:pt idx="216">
                  <c:v>-7.5949049280017231</c:v>
                </c:pt>
                <c:pt idx="217">
                  <c:v>-7.6586317511361548</c:v>
                </c:pt>
                <c:pt idx="218">
                  <c:v>-7.7205039598335921</c:v>
                </c:pt>
                <c:pt idx="219">
                  <c:v>-7.7805615849924168</c:v>
                </c:pt>
                <c:pt idx="220">
                  <c:v>-7.8388458471949818</c:v>
                </c:pt>
                <c:pt idx="221">
                  <c:v>-7.8953990507683489</c:v>
                </c:pt>
                <c:pt idx="222">
                  <c:v>-7.9502644792722865</c:v>
                </c:pt>
                <c:pt idx="223">
                  <c:v>-8.0034862930182182</c:v>
                </c:pt>
                <c:pt idx="224">
                  <c:v>-8.05510942917779</c:v>
                </c:pt>
                <c:pt idx="225">
                  <c:v>-8.1051795049866708</c:v>
                </c:pt>
                <c:pt idx="226">
                  <c:v>-8.1537427244992706</c:v>
                </c:pt>
                <c:pt idx="227">
                  <c:v>-8.2008457892967073</c:v>
                </c:pt>
                <c:pt idx="228">
                  <c:v>-8.246535813495349</c:v>
                </c:pt>
                <c:pt idx="229">
                  <c:v>-8.290860243350199</c:v>
                </c:pt>
                <c:pt idx="230">
                  <c:v>-8.3338667816981342</c:v>
                </c:pt>
                <c:pt idx="231">
                  <c:v>-8.3756033174301585</c:v>
                </c:pt>
                <c:pt idx="232">
                  <c:v>-8.416117860138284</c:v>
                </c:pt>
                <c:pt idx="233">
                  <c:v>-8.4554584800321031</c:v>
                </c:pt>
                <c:pt idx="234">
                  <c:v>-8.4936732531805159</c:v>
                </c:pt>
                <c:pt idx="235">
                  <c:v>-8.5308102120903442</c:v>
                </c:pt>
                <c:pt idx="236">
                  <c:v>-8.5669173015971563</c:v>
                </c:pt>
                <c:pt idx="237">
                  <c:v>-8.6020423400108594</c:v>
                </c:pt>
                <c:pt idx="238">
                  <c:v>-8.6362329854247193</c:v>
                </c:pt>
                <c:pt idx="239">
                  <c:v>-8.6695367070714706</c:v>
                </c:pt>
                <c:pt idx="240">
                  <c:v>-8.70200076158401</c:v>
                </c:pt>
                <c:pt idx="241">
                  <c:v>-8.7336721739963572</c:v>
                </c:pt>
                <c:pt idx="242">
                  <c:v>-8.764597723303762</c:v>
                </c:pt>
                <c:pt idx="243">
                  <c:v>-8.7948239323819379</c:v>
                </c:pt>
                <c:pt idx="244">
                  <c:v>-8.8243970620545813</c:v>
                </c:pt>
                <c:pt idx="245">
                  <c:v>-8.8533631090861871</c:v>
                </c:pt>
                <c:pt idx="246">
                  <c:v>-8.8817678078671278</c:v>
                </c:pt>
                <c:pt idx="247">
                  <c:v>-8.9096566355525812</c:v>
                </c:pt>
                <c:pt idx="248">
                  <c:v>-8.9370748204103538</c:v>
                </c:pt>
                <c:pt idx="249">
                  <c:v>-8.9640673531277386</c:v>
                </c:pt>
                <c:pt idx="250">
                  <c:v>-8.9906790008270114</c:v>
                </c:pt>
                <c:pt idx="251">
                  <c:v>-9.0169543235338345</c:v>
                </c:pt>
                <c:pt idx="252">
                  <c:v>-9.0429376928460758</c:v>
                </c:pt>
                <c:pt idx="253">
                  <c:v>-9.0686733125444814</c:v>
                </c:pt>
                <c:pt idx="254">
                  <c:v>-9.0942052408927552</c:v>
                </c:pt>
                <c:pt idx="255">
                  <c:v>-9.1195774143699655</c:v>
                </c:pt>
                <c:pt idx="256">
                  <c:v>-9.1448336725811892</c:v>
                </c:pt>
                <c:pt idx="257">
                  <c:v>-9.1700177840923196</c:v>
                </c:pt>
                <c:pt idx="258">
                  <c:v>-9.1951734729351049</c:v>
                </c:pt>
                <c:pt idx="259">
                  <c:v>-9.2203444455296832</c:v>
                </c:pt>
                <c:pt idx="260">
                  <c:v>-9.2455744177711612</c:v>
                </c:pt>
                <c:pt idx="261">
                  <c:v>-9.2709071420281202</c:v>
                </c:pt>
                <c:pt idx="262">
                  <c:v>-9.2963864337998512</c:v>
                </c:pt>
                <c:pt idx="263">
                  <c:v>-9.3220561977791334</c:v>
                </c:pt>
                <c:pt idx="264">
                  <c:v>-9.3479604530673335</c:v>
                </c:pt>
                <c:pt idx="265">
                  <c:v>-9.3741433572880553</c:v>
                </c:pt>
                <c:pt idx="266">
                  <c:v>-9.4006492293440118</c:v>
                </c:pt>
                <c:pt idx="267">
                  <c:v>-9.4275225705629691</c:v>
                </c:pt>
                <c:pt idx="268">
                  <c:v>-9.4548080839769035</c:v>
                </c:pt>
                <c:pt idx="269">
                  <c:v>-9.4825506914786928</c:v>
                </c:pt>
                <c:pt idx="270">
                  <c:v>-9.5107955486017239</c:v>
                </c:pt>
                <c:pt idx="271">
                  <c:v>-9.5395880566674265</c:v>
                </c:pt>
                <c:pt idx="272">
                  <c:v>-9.5689738720492894</c:v>
                </c:pt>
                <c:pt idx="273">
                  <c:v>-9.5989989123019299</c:v>
                </c:pt>
                <c:pt idx="274">
                  <c:v>-9.6297093589102207</c:v>
                </c:pt>
                <c:pt idx="275">
                  <c:v>-9.6611516564164006</c:v>
                </c:pt>
                <c:pt idx="276">
                  <c:v>-9.6933725076917217</c:v>
                </c:pt>
                <c:pt idx="277">
                  <c:v>-9.7264188651255026</c:v>
                </c:pt>
                <c:pt idx="278">
                  <c:v>-9.7603379175168641</c:v>
                </c:pt>
                <c:pt idx="279">
                  <c:v>-9.7951770724664993</c:v>
                </c:pt>
                <c:pt idx="280">
                  <c:v>-9.8309839340800789</c:v>
                </c:pt>
                <c:pt idx="281">
                  <c:v>-9.8678062758148695</c:v>
                </c:pt>
                <c:pt idx="282">
                  <c:v>-9.9056920083197202</c:v>
                </c:pt>
                <c:pt idx="283">
                  <c:v>-9.9446891421428205</c:v>
                </c:pt>
                <c:pt idx="284">
                  <c:v>-9.9848457452104249</c:v>
                </c:pt>
                <c:pt idx="285">
                  <c:v>-10.026209895006577</c:v>
                </c:pt>
                <c:pt idx="286">
                  <c:v>-10.068829625419069</c:v>
                </c:pt>
                <c:pt idx="287">
                  <c:v>-10.112752868253256</c:v>
                </c:pt>
                <c:pt idx="288">
                  <c:v>-10.158027389454825</c:v>
                </c:pt>
                <c:pt idx="289">
                  <c:v>-10.204700720125022</c:v>
                </c:pt>
                <c:pt idx="290">
                  <c:v>-10.252820082457157</c:v>
                </c:pt>
                <c:pt idx="291">
                  <c:v>-10.302432310771945</c:v>
                </c:pt>
                <c:pt idx="292">
                  <c:v>-10.353583767878931</c:v>
                </c:pt>
                <c:pt idx="293">
                  <c:v>-10.406320257042429</c:v>
                </c:pt>
                <c:pt idx="294">
                  <c:v>-10.460686929885448</c:v>
                </c:pt>
                <c:pt idx="295">
                  <c:v>-10.516728190615236</c:v>
                </c:pt>
                <c:pt idx="296">
                  <c:v>-10.574487597011293</c:v>
                </c:pt>
                <c:pt idx="297">
                  <c:v>-10.634007758666433</c:v>
                </c:pt>
                <c:pt idx="298">
                  <c:v>-10.695330233023794</c:v>
                </c:pt>
                <c:pt idx="299">
                  <c:v>-10.758495419800633</c:v>
                </c:pt>
                <c:pt idx="300">
                  <c:v>-10.823542454434143</c:v>
                </c:pt>
                <c:pt idx="301">
                  <c:v>-10.890509101226639</c:v>
                </c:pt>
                <c:pt idx="302">
                  <c:v>-10.959431646900288</c:v>
                </c:pt>
                <c:pt idx="303">
                  <c:v>-11.030344795304423</c:v>
                </c:pt>
                <c:pt idx="304">
                  <c:v>-11.103281564036148</c:v>
                </c:pt>
                <c:pt idx="305">
                  <c:v>-11.178273183754845</c:v>
                </c:pt>
                <c:pt idx="306">
                  <c:v>-11.255349000972672</c:v>
                </c:pt>
                <c:pt idx="307">
                  <c:v>-11.334536385104377</c:v>
                </c:pt>
                <c:pt idx="308">
                  <c:v>-11.415860640545333</c:v>
                </c:pt>
                <c:pt idx="309">
                  <c:v>-11.499344924527152</c:v>
                </c:pt>
                <c:pt idx="310">
                  <c:v>-11.58501017146815</c:v>
                </c:pt>
                <c:pt idx="311">
                  <c:v>-11.672875024495632</c:v>
                </c:pt>
                <c:pt idx="312">
                  <c:v>-11.762955774768329</c:v>
                </c:pt>
                <c:pt idx="313">
                  <c:v>-11.855266309166391</c:v>
                </c:pt>
                <c:pt idx="314">
                  <c:v>-11.949818066852863</c:v>
                </c:pt>
                <c:pt idx="315">
                  <c:v>-12.046620005133715</c:v>
                </c:pt>
                <c:pt idx="316">
                  <c:v>-12.145678574965915</c:v>
                </c:pt>
                <c:pt idx="317">
                  <c:v>-12.246997706375378</c:v>
                </c:pt>
                <c:pt idx="318">
                  <c:v>-12.350578803958586</c:v>
                </c:pt>
                <c:pt idx="319">
                  <c:v>-12.456420752550692</c:v>
                </c:pt>
                <c:pt idx="320">
                  <c:v>-12.564519933047436</c:v>
                </c:pt>
                <c:pt idx="321">
                  <c:v>-12.674870248278268</c:v>
                </c:pt>
                <c:pt idx="322">
                  <c:v>-12.787463158735196</c:v>
                </c:pt>
                <c:pt idx="323">
                  <c:v>-12.902287727874528</c:v>
                </c:pt>
                <c:pt idx="324">
                  <c:v>-13.01933067662514</c:v>
                </c:pt>
                <c:pt idx="325">
                  <c:v>-13.138576446659338</c:v>
                </c:pt>
                <c:pt idx="326">
                  <c:v>-13.260007271909991</c:v>
                </c:pt>
                <c:pt idx="327">
                  <c:v>-13.383603257754771</c:v>
                </c:pt>
                <c:pt idx="328">
                  <c:v>-13.509342467233726</c:v>
                </c:pt>
                <c:pt idx="329">
                  <c:v>-13.637201013616998</c:v>
                </c:pt>
                <c:pt idx="330">
                  <c:v>-13.767153158607959</c:v>
                </c:pt>
                <c:pt idx="331">
                  <c:v>-13.899171415432573</c:v>
                </c:pt>
                <c:pt idx="332">
                  <c:v>-14.03322665605508</c:v>
                </c:pt>
                <c:pt idx="333">
                  <c:v>-14.169288221746353</c:v>
                </c:pt>
                <c:pt idx="334">
                  <c:v>-14.307324036234284</c:v>
                </c:pt>
                <c:pt idx="335">
                  <c:v>-14.44730072067552</c:v>
                </c:pt>
                <c:pt idx="336">
                  <c:v>-14.589183709703573</c:v>
                </c:pt>
                <c:pt idx="337">
                  <c:v>-14.732937367834626</c:v>
                </c:pt>
                <c:pt idx="338">
                  <c:v>-14.878525105543428</c:v>
                </c:pt>
                <c:pt idx="339">
                  <c:v>-15.025909494357272</c:v>
                </c:pt>
                <c:pt idx="340">
                  <c:v>-15.175052380362079</c:v>
                </c:pt>
                <c:pt idx="341">
                  <c:v>-15.325914995555106</c:v>
                </c:pt>
                <c:pt idx="342">
                  <c:v>-15.478458066532561</c:v>
                </c:pt>
                <c:pt idx="343">
                  <c:v>-15.632641920048878</c:v>
                </c:pt>
                <c:pt idx="344">
                  <c:v>-15.788426585036543</c:v>
                </c:pt>
                <c:pt idx="345">
                  <c:v>-15.94577189073248</c:v>
                </c:pt>
                <c:pt idx="346">
                  <c:v>-16.104637560602278</c:v>
                </c:pt>
                <c:pt idx="347">
                  <c:v>-16.264983301813373</c:v>
                </c:pt>
                <c:pt idx="348">
                  <c:v>-16.426768890052635</c:v>
                </c:pt>
                <c:pt idx="349">
                  <c:v>-16.589954249536433</c:v>
                </c:pt>
                <c:pt idx="350">
                  <c:v>-16.754499528102752</c:v>
                </c:pt>
                <c:pt idx="351">
                  <c:v>-16.92036516732378</c:v>
                </c:pt>
                <c:pt idx="352">
                  <c:v>-17.08751196761192</c:v>
                </c:pt>
                <c:pt idx="353">
                  <c:v>-17.255901148332896</c:v>
                </c:pt>
                <c:pt idx="354">
                  <c:v>-17.42549440297185</c:v>
                </c:pt>
                <c:pt idx="355">
                  <c:v>-17.596253949428494</c:v>
                </c:pt>
                <c:pt idx="356">
                  <c:v>-17.768142575543806</c:v>
                </c:pt>
                <c:pt idx="357">
                  <c:v>-17.941123679985594</c:v>
                </c:pt>
                <c:pt idx="358">
                  <c:v>-18.115161308638296</c:v>
                </c:pt>
                <c:pt idx="359">
                  <c:v>-18.29022018666079</c:v>
                </c:pt>
                <c:pt idx="360">
                  <c:v>-18.466265746389077</c:v>
                </c:pt>
                <c:pt idx="361">
                  <c:v>-18.643264151271989</c:v>
                </c:pt>
                <c:pt idx="362">
                  <c:v>-18.821182316037294</c:v>
                </c:pt>
                <c:pt idx="363">
                  <c:v>-18.999987923288735</c:v>
                </c:pt>
                <c:pt idx="364">
                  <c:v>-19.179649436742217</c:v>
                </c:pt>
                <c:pt idx="365">
                  <c:v>-19.360136111307142</c:v>
                </c:pt>
                <c:pt idx="366">
                  <c:v>-19.5414180002225</c:v>
                </c:pt>
                <c:pt idx="367">
                  <c:v>-19.723465959451119</c:v>
                </c:pt>
                <c:pt idx="368">
                  <c:v>-19.906251649537275</c:v>
                </c:pt>
                <c:pt idx="369">
                  <c:v>-20.089747535124101</c:v>
                </c:pt>
                <c:pt idx="370">
                  <c:v>-20.273926882324751</c:v>
                </c:pt>
                <c:pt idx="371">
                  <c:v>-20.458763754133926</c:v>
                </c:pt>
                <c:pt idx="372">
                  <c:v>-20.644233004059522</c:v>
                </c:pt>
                <c:pt idx="373">
                  <c:v>-20.830310268146274</c:v>
                </c:pt>
                <c:pt idx="374">
                  <c:v>-21.016971955556709</c:v>
                </c:pt>
                <c:pt idx="375">
                  <c:v>-21.204195237864699</c:v>
                </c:pt>
                <c:pt idx="376">
                  <c:v>-21.391958037210607</c:v>
                </c:pt>
                <c:pt idx="377">
                  <c:v>-21.580239013456076</c:v>
                </c:pt>
                <c:pt idx="378">
                  <c:v>-21.76901755047048</c:v>
                </c:pt>
                <c:pt idx="379">
                  <c:v>-21.958273741671487</c:v>
                </c:pt>
                <c:pt idx="380">
                  <c:v>-22.147988374933433</c:v>
                </c:pt>
                <c:pt idx="381">
                  <c:v>-22.338142916969915</c:v>
                </c:pt>
                <c:pt idx="382">
                  <c:v>-22.5287194972897</c:v>
                </c:pt>
                <c:pt idx="383">
                  <c:v>-22.71970089181519</c:v>
                </c:pt>
                <c:pt idx="384">
                  <c:v>-22.91107050624786</c:v>
                </c:pt>
                <c:pt idx="385">
                  <c:v>-23.102812359257385</c:v>
                </c:pt>
                <c:pt idx="386">
                  <c:v>-23.29491106556204</c:v>
                </c:pt>
                <c:pt idx="387">
                  <c:v>-23.487351818966861</c:v>
                </c:pt>
                <c:pt idx="388">
                  <c:v>-23.680120375413413</c:v>
                </c:pt>
                <c:pt idx="389">
                  <c:v>-23.873203036095912</c:v>
                </c:pt>
                <c:pt idx="390">
                  <c:v>-24.066586630687002</c:v>
                </c:pt>
                <c:pt idx="391">
                  <c:v>-24.260258500716855</c:v>
                </c:pt>
                <c:pt idx="392">
                  <c:v>-24.454206483140936</c:v>
                </c:pt>
                <c:pt idx="393">
                  <c:v>-24.648418894128611</c:v>
                </c:pt>
                <c:pt idx="394">
                  <c:v>-24.842884513101037</c:v>
                </c:pt>
                <c:pt idx="395">
                  <c:v>-25.037592567043106</c:v>
                </c:pt>
                <c:pt idx="396">
                  <c:v>-25.232532715109475</c:v>
                </c:pt>
                <c:pt idx="397">
                  <c:v>-25.427695033543433</c:v>
                </c:pt>
                <c:pt idx="398">
                  <c:v>-25.623070000922773</c:v>
                </c:pt>
                <c:pt idx="399">
                  <c:v>-25.818648483745214</c:v>
                </c:pt>
                <c:pt idx="400">
                  <c:v>-26.014421722363124</c:v>
                </c:pt>
                <c:pt idx="401">
                  <c:v>-26.210381317274791</c:v>
                </c:pt>
                <c:pt idx="402">
                  <c:v>-26.40651921577799</c:v>
                </c:pt>
                <c:pt idx="403">
                  <c:v>-26.602827698989579</c:v>
                </c:pt>
                <c:pt idx="404">
                  <c:v>-26.79929936923331</c:v>
                </c:pt>
                <c:pt idx="405">
                  <c:v>-26.995927137795693</c:v>
                </c:pt>
                <c:pt idx="406">
                  <c:v>-27.192704213050401</c:v>
                </c:pt>
                <c:pt idx="407">
                  <c:v>-27.389624088948366</c:v>
                </c:pt>
                <c:pt idx="408">
                  <c:v>-27.586680533871078</c:v>
                </c:pt>
                <c:pt idx="409">
                  <c:v>-27.783867579843111</c:v>
                </c:pt>
                <c:pt idx="410">
                  <c:v>-27.981179512099679</c:v>
                </c:pt>
                <c:pt idx="411">
                  <c:v>-28.178610859003037</c:v>
                </c:pt>
                <c:pt idx="412">
                  <c:v>-28.376156382303101</c:v>
                </c:pt>
                <c:pt idx="413">
                  <c:v>-28.573811067734184</c:v>
                </c:pt>
                <c:pt idx="414">
                  <c:v>-28.77157011594317</c:v>
                </c:pt>
                <c:pt idx="415">
                  <c:v>-28.969428933739486</c:v>
                </c:pt>
                <c:pt idx="416">
                  <c:v>-29.167383125662035</c:v>
                </c:pt>
                <c:pt idx="417">
                  <c:v>-29.365428485852789</c:v>
                </c:pt>
                <c:pt idx="418">
                  <c:v>-29.563560990231114</c:v>
                </c:pt>
                <c:pt idx="419">
                  <c:v>-29.761776788959942</c:v>
                </c:pt>
                <c:pt idx="420">
                  <c:v>-29.960072199195608</c:v>
                </c:pt>
                <c:pt idx="421">
                  <c:v>-30.158443698113647</c:v>
                </c:pt>
                <c:pt idx="422">
                  <c:v>-30.356887916202492</c:v>
                </c:pt>
                <c:pt idx="423">
                  <c:v>-30.555401630815432</c:v>
                </c:pt>
                <c:pt idx="424">
                  <c:v>-30.753981759975701</c:v>
                </c:pt>
                <c:pt idx="425">
                  <c:v>-30.952625356423219</c:v>
                </c:pt>
                <c:pt idx="426">
                  <c:v>-31.151329601897871</c:v>
                </c:pt>
                <c:pt idx="427">
                  <c:v>-31.35009180164953</c:v>
                </c:pt>
                <c:pt idx="428">
                  <c:v>-31.548909379168819</c:v>
                </c:pt>
                <c:pt idx="429">
                  <c:v>-31.747779871128824</c:v>
                </c:pt>
                <c:pt idx="430">
                  <c:v>-31.946700922533214</c:v>
                </c:pt>
                <c:pt idx="431">
                  <c:v>-32.145670282060685</c:v>
                </c:pt>
                <c:pt idx="432">
                  <c:v>-32.344685797600285</c:v>
                </c:pt>
                <c:pt idx="433">
                  <c:v>-32.543745411970797</c:v>
                </c:pt>
                <c:pt idx="434">
                  <c:v>-32.742847158815607</c:v>
                </c:pt>
                <c:pt idx="435">
                  <c:v>-32.941989158669116</c:v>
                </c:pt>
                <c:pt idx="436">
                  <c:v>-33.141169615185795</c:v>
                </c:pt>
                <c:pt idx="437">
                  <c:v>-33.340386811527893</c:v>
                </c:pt>
                <c:pt idx="438">
                  <c:v>-33.539639106903294</c:v>
                </c:pt>
                <c:pt idx="439">
                  <c:v>-33.73892493325026</c:v>
                </c:pt>
                <c:pt idx="440">
                  <c:v>-33.938242792061018</c:v>
                </c:pt>
                <c:pt idx="441">
                  <c:v>-34.137591251340936</c:v>
                </c:pt>
                <c:pt idx="442">
                  <c:v>-34.336968942696267</c:v>
                </c:pt>
                <c:pt idx="443">
                  <c:v>-34.536374558545234</c:v>
                </c:pt>
                <c:pt idx="444">
                  <c:v>-34.735806849449347</c:v>
                </c:pt>
                <c:pt idx="445">
                  <c:v>-34.935264621558574</c:v>
                </c:pt>
                <c:pt idx="446">
                  <c:v>-35.134746734165077</c:v>
                </c:pt>
                <c:pt idx="447">
                  <c:v>-35.334252097364043</c:v>
                </c:pt>
                <c:pt idx="448">
                  <c:v>-35.533779669813313</c:v>
                </c:pt>
                <c:pt idx="449">
                  <c:v>-35.733328456591266</c:v>
                </c:pt>
                <c:pt idx="450">
                  <c:v>-35.93289750714667</c:v>
                </c:pt>
                <c:pt idx="451">
                  <c:v>-36.132485913336822</c:v>
                </c:pt>
                <c:pt idx="452">
                  <c:v>-36.332092807552655</c:v>
                </c:pt>
                <c:pt idx="453">
                  <c:v>-36.531717360922876</c:v>
                </c:pt>
                <c:pt idx="454">
                  <c:v>-36.731358781598914</c:v>
                </c:pt>
                <c:pt idx="455">
                  <c:v>-36.931016313112686</c:v>
                </c:pt>
                <c:pt idx="456">
                  <c:v>-37.130689232806986</c:v>
                </c:pt>
                <c:pt idx="457">
                  <c:v>-37.330376850334531</c:v>
                </c:pt>
                <c:pt idx="458">
                  <c:v>-37.530078506222885</c:v>
                </c:pt>
                <c:pt idx="459">
                  <c:v>-37.72979357050118</c:v>
                </c:pt>
                <c:pt idx="460">
                  <c:v>-37.929521441389163</c:v>
                </c:pt>
                <c:pt idx="461">
                  <c:v>-38.129261544041789</c:v>
                </c:pt>
                <c:pt idx="462">
                  <c:v>-38.329013329350644</c:v>
                </c:pt>
                <c:pt idx="463">
                  <c:v>-38.528776272797188</c:v>
                </c:pt>
                <c:pt idx="464">
                  <c:v>-38.728549873357032</c:v>
                </c:pt>
                <c:pt idx="465">
                  <c:v>-38.928333652452309</c:v>
                </c:pt>
                <c:pt idx="466">
                  <c:v>-39.128127152950832</c:v>
                </c:pt>
                <c:pt idx="467">
                  <c:v>-39.327929938208733</c:v>
                </c:pt>
                <c:pt idx="468">
                  <c:v>-39.527741591155923</c:v>
                </c:pt>
                <c:pt idx="469">
                  <c:v>-39.727561713422482</c:v>
                </c:pt>
                <c:pt idx="470">
                  <c:v>-39.92738992450257</c:v>
                </c:pt>
                <c:pt idx="471">
                  <c:v>-40.127225860956628</c:v>
                </c:pt>
                <c:pt idx="472">
                  <c:v>-40.327069175648319</c:v>
                </c:pt>
                <c:pt idx="473">
                  <c:v>-40.526919537015559</c:v>
                </c:pt>
                <c:pt idx="474">
                  <c:v>-40.726776628373983</c:v>
                </c:pt>
                <c:pt idx="475">
                  <c:v>-40.926640147251007</c:v>
                </c:pt>
                <c:pt idx="476">
                  <c:v>-41.12650980475027</c:v>
                </c:pt>
                <c:pt idx="477">
                  <c:v>-41.326385324943509</c:v>
                </c:pt>
                <c:pt idx="478">
                  <c:v>-41.526266444290044</c:v>
                </c:pt>
                <c:pt idx="479">
                  <c:v>-41.726152911082011</c:v>
                </c:pt>
                <c:pt idx="480">
                  <c:v>-41.926044484914357</c:v>
                </c:pt>
                <c:pt idx="481">
                  <c:v>-42.12594093617809</c:v>
                </c:pt>
                <c:pt idx="482">
                  <c:v>-42.325842045577183</c:v>
                </c:pt>
                <c:pt idx="483">
                  <c:v>-42.525747603665316</c:v>
                </c:pt>
                <c:pt idx="484">
                  <c:v>-42.725657410405077</c:v>
                </c:pt>
                <c:pt idx="485">
                  <c:v>-42.925571274745835</c:v>
                </c:pt>
                <c:pt idx="486">
                  <c:v>-43.125489014220662</c:v>
                </c:pt>
                <c:pt idx="487">
                  <c:v>-43.325410454561307</c:v>
                </c:pt>
                <c:pt idx="488">
                  <c:v>-43.525335429330418</c:v>
                </c:pt>
                <c:pt idx="489">
                  <c:v>-43.725263779570291</c:v>
                </c:pt>
                <c:pt idx="490">
                  <c:v>-43.925195353467153</c:v>
                </c:pt>
                <c:pt idx="491">
                  <c:v>-44.125130006030425</c:v>
                </c:pt>
                <c:pt idx="492">
                  <c:v>-44.325067598786617</c:v>
                </c:pt>
                <c:pt idx="493">
                  <c:v>-44.525007999486746</c:v>
                </c:pt>
                <c:pt idx="494">
                  <c:v>-44.724951081826838</c:v>
                </c:pt>
                <c:pt idx="495">
                  <c:v>-44.924896725180972</c:v>
                </c:pt>
                <c:pt idx="496">
                  <c:v>-45.124844814346218</c:v>
                </c:pt>
                <c:pt idx="497">
                  <c:v>-45.324795239299512</c:v>
                </c:pt>
                <c:pt idx="498">
                  <c:v>-45.524747894964364</c:v>
                </c:pt>
                <c:pt idx="499">
                  <c:v>-45.724702680989118</c:v>
                </c:pt>
                <c:pt idx="500">
                  <c:v>-45.924659501534599</c:v>
                </c:pt>
                <c:pt idx="501">
                  <c:v>-46.124618265071291</c:v>
                </c:pt>
                <c:pt idx="502">
                  <c:v>-46.324578884185698</c:v>
                </c:pt>
                <c:pt idx="503">
                  <c:v>-46.52454127539567</c:v>
                </c:pt>
                <c:pt idx="504">
                  <c:v>-46.724505358973147</c:v>
                </c:pt>
                <c:pt idx="505">
                  <c:v>-46.924471058776184</c:v>
                </c:pt>
                <c:pt idx="506">
                  <c:v>-47.124438302087135</c:v>
                </c:pt>
                <c:pt idx="507">
                  <c:v>-47.324407019459272</c:v>
                </c:pt>
                <c:pt idx="508">
                  <c:v>-47.524377144569321</c:v>
                </c:pt>
                <c:pt idx="509">
                  <c:v>-47.724348614077378</c:v>
                </c:pt>
                <c:pt idx="510">
                  <c:v>-47.924321367492517</c:v>
                </c:pt>
                <c:pt idx="511">
                  <c:v>-48.124295347044921</c:v>
                </c:pt>
                <c:pt idx="512">
                  <c:v>-48.32427049756356</c:v>
                </c:pt>
                <c:pt idx="513">
                  <c:v>-48.52424676635912</c:v>
                </c:pt>
                <c:pt idx="514">
                  <c:v>-48.724224103112796</c:v>
                </c:pt>
                <c:pt idx="515">
                  <c:v>-48.924202459769084</c:v>
                </c:pt>
                <c:pt idx="516">
                  <c:v>-49.124181790434747</c:v>
                </c:pt>
                <c:pt idx="517">
                  <c:v>-49.324162051281036</c:v>
                </c:pt>
                <c:pt idx="518">
                  <c:v>-49.52414320045105</c:v>
                </c:pt>
                <c:pt idx="519">
                  <c:v>-49.724125197971119</c:v>
                </c:pt>
                <c:pt idx="520">
                  <c:v>-49.924108005665957</c:v>
                </c:pt>
                <c:pt idx="521">
                  <c:v>-50.124091587077871</c:v>
                </c:pt>
                <c:pt idx="522">
                  <c:v>-50.324075907389542</c:v>
                </c:pt>
                <c:pt idx="523">
                  <c:v>-50.524060933350114</c:v>
                </c:pt>
                <c:pt idx="524">
                  <c:v>-50.724046633204793</c:v>
                </c:pt>
                <c:pt idx="525">
                  <c:v>-50.924032976627728</c:v>
                </c:pt>
                <c:pt idx="526">
                  <c:v>-51.12401993465739</c:v>
                </c:pt>
                <c:pt idx="527">
                  <c:v>-51.324007479635512</c:v>
                </c:pt>
                <c:pt idx="528">
                  <c:v>-51.523995585148413</c:v>
                </c:pt>
                <c:pt idx="529">
                  <c:v>-51.723984225970582</c:v>
                </c:pt>
                <c:pt idx="530">
                  <c:v>-51.9239733780121</c:v>
                </c:pt>
                <c:pt idx="531">
                  <c:v>-52.123963018266593</c:v>
                </c:pt>
                <c:pt idx="532">
                  <c:v>-52.323953124763236</c:v>
                </c:pt>
                <c:pt idx="533">
                  <c:v>-52.5239436765196</c:v>
                </c:pt>
                <c:pt idx="534">
                  <c:v>-52.723934653497587</c:v>
                </c:pt>
                <c:pt idx="535">
                  <c:v>-52.923926036560843</c:v>
                </c:pt>
                <c:pt idx="536">
                  <c:v>-53.123917807433983</c:v>
                </c:pt>
                <c:pt idx="537">
                  <c:v>-53.323909948664188</c:v>
                </c:pt>
                <c:pt idx="538">
                  <c:v>-53.52390244358395</c:v>
                </c:pt>
                <c:pt idx="539">
                  <c:v>-53.723895276275698</c:v>
                </c:pt>
                <c:pt idx="540">
                  <c:v>-53.923888431538359</c:v>
                </c:pt>
                <c:pt idx="541">
                  <c:v>-54.123881894854662</c:v>
                </c:pt>
              </c:numCache>
            </c:numRef>
          </c:yVal>
          <c:smooth val="1"/>
          <c:extLst>
            <c:ext xmlns:c16="http://schemas.microsoft.com/office/drawing/2014/chart" uri="{C3380CC4-5D6E-409C-BE32-E72D297353CC}">
              <c16:uniqueId val="{00000000-1374-400D-8554-410A69D7D362}"/>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90.547098702356749</c:v>
                </c:pt>
                <c:pt idx="1">
                  <c:v>90.559841280848147</c:v>
                </c:pt>
                <c:pt idx="2">
                  <c:v>90.572880601513134</c:v>
                </c:pt>
                <c:pt idx="3">
                  <c:v>90.586223571315756</c:v>
                </c:pt>
                <c:pt idx="4">
                  <c:v>90.599877257742932</c:v>
                </c:pt>
                <c:pt idx="5">
                  <c:v>90.613848892517638</c:v>
                </c:pt>
                <c:pt idx="6">
                  <c:v>90.628145875396839</c:v>
                </c:pt>
                <c:pt idx="7">
                  <c:v>90.642775778055935</c:v>
                </c:pt>
                <c:pt idx="8">
                  <c:v>90.657746348061366</c:v>
                </c:pt>
                <c:pt idx="9">
                  <c:v>90.673065512933832</c:v>
                </c:pt>
                <c:pt idx="10">
                  <c:v>90.688741384303313</c:v>
                </c:pt>
                <c:pt idx="11">
                  <c:v>90.704782262158602</c:v>
                </c:pt>
                <c:pt idx="12">
                  <c:v>90.721196639192897</c:v>
                </c:pt>
                <c:pt idx="13">
                  <c:v>90.737993205247577</c:v>
                </c:pt>
                <c:pt idx="14">
                  <c:v>90.755180851856394</c:v>
                </c:pt>
                <c:pt idx="15">
                  <c:v>90.772768676892056</c:v>
                </c:pt>
                <c:pt idx="16">
                  <c:v>90.790765989317251</c:v>
                </c:pt>
                <c:pt idx="17">
                  <c:v>90.809182314042587</c:v>
                </c:pt>
                <c:pt idx="18">
                  <c:v>90.828027396893276</c:v>
                </c:pt>
                <c:pt idx="19">
                  <c:v>90.847311209687206</c:v>
                </c:pt>
                <c:pt idx="20">
                  <c:v>90.867043955426197</c:v>
                </c:pt>
                <c:pt idx="21">
                  <c:v>90.887236073603205</c:v>
                </c:pt>
                <c:pt idx="22">
                  <c:v>90.907898245627479</c:v>
                </c:pt>
                <c:pt idx="23">
                  <c:v>90.929041400370195</c:v>
                </c:pt>
                <c:pt idx="24">
                  <c:v>90.950676719832728</c:v>
                </c:pt>
                <c:pt idx="25">
                  <c:v>90.972815644940383</c:v>
                </c:pt>
                <c:pt idx="26">
                  <c:v>90.995469881463535</c:v>
                </c:pt>
                <c:pt idx="27">
                  <c:v>91.018651406068912</c:v>
                </c:pt>
                <c:pt idx="28">
                  <c:v>91.042372472503516</c:v>
                </c:pt>
                <c:pt idx="29">
                  <c:v>91.066645617913437</c:v>
                </c:pt>
                <c:pt idx="30">
                  <c:v>91.091483669300246</c:v>
                </c:pt>
                <c:pt idx="31">
                  <c:v>91.116899750117639</c:v>
                </c:pt>
                <c:pt idx="32">
                  <c:v>91.142907287010345</c:v>
                </c:pt>
                <c:pt idx="33">
                  <c:v>91.169520016698385</c:v>
                </c:pt>
                <c:pt idx="34">
                  <c:v>91.196751993008959</c:v>
                </c:pt>
                <c:pt idx="35">
                  <c:v>91.224617594058415</c:v>
                </c:pt>
                <c:pt idx="36">
                  <c:v>91.25313152958708</c:v>
                </c:pt>
                <c:pt idx="37">
                  <c:v>91.282308848449162</c:v>
                </c:pt>
                <c:pt idx="38">
                  <c:v>91.312164946260665</c:v>
                </c:pt>
                <c:pt idx="39">
                  <c:v>91.342715573207258</c:v>
                </c:pt>
                <c:pt idx="40">
                  <c:v>91.373976842014983</c:v>
                </c:pt>
                <c:pt idx="41">
                  <c:v>91.405965236086089</c:v>
                </c:pt>
                <c:pt idx="42">
                  <c:v>91.438697617802333</c:v>
                </c:pt>
                <c:pt idx="43">
                  <c:v>91.472191236998157</c:v>
                </c:pt>
                <c:pt idx="44">
                  <c:v>91.50646373960592</c:v>
                </c:pt>
                <c:pt idx="45">
                  <c:v>91.541533176475667</c:v>
                </c:pt>
                <c:pt idx="46">
                  <c:v>91.57741801237114</c:v>
                </c:pt>
                <c:pt idx="47">
                  <c:v>91.614137135144546</c:v>
                </c:pt>
                <c:pt idx="48">
                  <c:v>91.651709865091689</c:v>
                </c:pt>
                <c:pt idx="49">
                  <c:v>91.690155964489634</c:v>
                </c:pt>
                <c:pt idx="50">
                  <c:v>91.729495647318288</c:v>
                </c:pt>
                <c:pt idx="51">
                  <c:v>91.769749589167731</c:v>
                </c:pt>
                <c:pt idx="52">
                  <c:v>91.810938937332836</c:v>
                </c:pt>
                <c:pt idx="53">
                  <c:v>91.853085321095918</c:v>
                </c:pt>
                <c:pt idx="54">
                  <c:v>91.896210862199396</c:v>
                </c:pt>
                <c:pt idx="55">
                  <c:v>91.94033818550821</c:v>
                </c:pt>
                <c:pt idx="56">
                  <c:v>91.985490429863788</c:v>
                </c:pt>
                <c:pt idx="57">
                  <c:v>92.031691259129104</c:v>
                </c:pt>
                <c:pt idx="58">
                  <c:v>92.078964873425448</c:v>
                </c:pt>
                <c:pt idx="59">
                  <c:v>92.127336020560406</c:v>
                </c:pt>
                <c:pt idx="60">
                  <c:v>92.176830007646942</c:v>
                </c:pt>
                <c:pt idx="61">
                  <c:v>92.227472712912288</c:v>
                </c:pt>
                <c:pt idx="62">
                  <c:v>92.279290597695692</c:v>
                </c:pt>
                <c:pt idx="63">
                  <c:v>92.332310718633266</c:v>
                </c:pt>
                <c:pt idx="64">
                  <c:v>92.386560740027974</c:v>
                </c:pt>
                <c:pt idx="65">
                  <c:v>92.442068946401605</c:v>
                </c:pt>
                <c:pt idx="66">
                  <c:v>92.498864255226366</c:v>
                </c:pt>
                <c:pt idx="67">
                  <c:v>92.556976229831591</c:v>
                </c:pt>
                <c:pt idx="68">
                  <c:v>92.616435092481709</c:v>
                </c:pt>
                <c:pt idx="69">
                  <c:v>92.677271737620018</c:v>
                </c:pt>
                <c:pt idx="70">
                  <c:v>92.73951774527292</c:v>
                </c:pt>
                <c:pt idx="71">
                  <c:v>92.803205394607346</c:v>
                </c:pt>
                <c:pt idx="72">
                  <c:v>92.868367677634623</c:v>
                </c:pt>
                <c:pt idx="73">
                  <c:v>92.93503831305182</c:v>
                </c:pt>
                <c:pt idx="74">
                  <c:v>93.003251760211469</c:v>
                </c:pt>
                <c:pt idx="75">
                  <c:v>93.073043233209219</c:v>
                </c:pt>
                <c:pt idx="76">
                  <c:v>93.144448715077473</c:v>
                </c:pt>
                <c:pt idx="77">
                  <c:v>93.217504972072575</c:v>
                </c:pt>
                <c:pt idx="78">
                  <c:v>93.292249568041044</c:v>
                </c:pt>
                <c:pt idx="79">
                  <c:v>93.36872087884926</c:v>
                </c:pt>
                <c:pt idx="80">
                  <c:v>93.446958106859597</c:v>
                </c:pt>
                <c:pt idx="81">
                  <c:v>93.52700129543399</c:v>
                </c:pt>
                <c:pt idx="82">
                  <c:v>93.608891343444483</c:v>
                </c:pt>
                <c:pt idx="83">
                  <c:v>93.692670019768229</c:v>
                </c:pt>
                <c:pt idx="84">
                  <c:v>93.778379977742603</c:v>
                </c:pt>
                <c:pt idx="85">
                  <c:v>93.866064769553574</c:v>
                </c:pt>
                <c:pt idx="86">
                  <c:v>93.955768860528693</c:v>
                </c:pt>
                <c:pt idx="87">
                  <c:v>94.04753764330296</c:v>
                </c:pt>
                <c:pt idx="88">
                  <c:v>94.141417451823884</c:v>
                </c:pt>
                <c:pt idx="89">
                  <c:v>94.237455575158847</c:v>
                </c:pt>
                <c:pt idx="90">
                  <c:v>94.335700271064781</c:v>
                </c:pt>
                <c:pt idx="91">
                  <c:v>94.436200779277456</c:v>
                </c:pt>
                <c:pt idx="92">
                  <c:v>94.539007334474022</c:v>
                </c:pt>
                <c:pt idx="93">
                  <c:v>94.644171178858741</c:v>
                </c:pt>
                <c:pt idx="94">
                  <c:v>94.751744574318394</c:v>
                </c:pt>
                <c:pt idx="95">
                  <c:v>94.861780814089428</c:v>
                </c:pt>
                <c:pt idx="96">
                  <c:v>94.974334233874842</c:v>
                </c:pt>
                <c:pt idx="97">
                  <c:v>95.089460222344414</c:v>
                </c:pt>
                <c:pt idx="98">
                  <c:v>95.207215230946559</c:v>
                </c:pt>
                <c:pt idx="99">
                  <c:v>95.327656782955629</c:v>
                </c:pt>
                <c:pt idx="100">
                  <c:v>95.450843481672464</c:v>
                </c:pt>
                <c:pt idx="101">
                  <c:v>95.576835017691053</c:v>
                </c:pt>
                <c:pt idx="102">
                  <c:v>95.705692175137798</c:v>
                </c:pt>
                <c:pt idx="103">
                  <c:v>95.83747683678267</c:v>
                </c:pt>
                <c:pt idx="104">
                  <c:v>95.972251987917616</c:v>
                </c:pt>
                <c:pt idx="105">
                  <c:v>96.110081718886875</c:v>
                </c:pt>
                <c:pt idx="106">
                  <c:v>96.251031226149863</c:v>
                </c:pt>
                <c:pt idx="107">
                  <c:v>96.395166811747458</c:v>
                </c:pt>
                <c:pt idx="108">
                  <c:v>96.542555881036407</c:v>
                </c:pt>
                <c:pt idx="109">
                  <c:v>96.69326693854579</c:v>
                </c:pt>
                <c:pt idx="110">
                  <c:v>96.847369581803022</c:v>
                </c:pt>
                <c:pt idx="111">
                  <c:v>97.00493449296701</c:v>
                </c:pt>
                <c:pt idx="112">
                  <c:v>97.166033428095716</c:v>
                </c:pt>
                <c:pt idx="113">
                  <c:v>97.330739203868163</c:v>
                </c:pt>
                <c:pt idx="114">
                  <c:v>97.499125681567008</c:v>
                </c:pt>
                <c:pt idx="115">
                  <c:v>97.671267748121835</c:v>
                </c:pt>
                <c:pt idx="116">
                  <c:v>97.847241293998636</c:v>
                </c:pt>
                <c:pt idx="117">
                  <c:v>98.027123187713642</c:v>
                </c:pt>
                <c:pt idx="118">
                  <c:v>98.21099124673465</c:v>
                </c:pt>
                <c:pt idx="119">
                  <c:v>98.39892420452648</c:v>
                </c:pt>
                <c:pt idx="120">
                  <c:v>98.591001673479781</c:v>
                </c:pt>
                <c:pt idx="121">
                  <c:v>98.787304103457686</c:v>
                </c:pt>
                <c:pt idx="122">
                  <c:v>98.987912735676446</c:v>
                </c:pt>
                <c:pt idx="123">
                  <c:v>99.192909551630834</c:v>
                </c:pt>
                <c:pt idx="124">
                  <c:v>99.40237721675868</c:v>
                </c:pt>
                <c:pt idx="125">
                  <c:v>99.616399018531553</c:v>
                </c:pt>
                <c:pt idx="126">
                  <c:v>99.835058798646614</c:v>
                </c:pt>
                <c:pt idx="127">
                  <c:v>100.05844087898338</c:v>
                </c:pt>
                <c:pt idx="128">
                  <c:v>100.28662998098052</c:v>
                </c:pt>
                <c:pt idx="129">
                  <c:v>100.5197111380823</c:v>
                </c:pt>
                <c:pt idx="130">
                  <c:v>100.75776960088855</c:v>
                </c:pt>
                <c:pt idx="131">
                  <c:v>101.00089073464481</c:v>
                </c:pt>
                <c:pt idx="132">
                  <c:v>101.24915990869718</c:v>
                </c:pt>
                <c:pt idx="133">
                  <c:v>101.50266237753735</c:v>
                </c:pt>
                <c:pt idx="134">
                  <c:v>101.76148315305873</c:v>
                </c:pt>
                <c:pt idx="135">
                  <c:v>102.02570686764722</c:v>
                </c:pt>
                <c:pt idx="136">
                  <c:v>102.29541762773226</c:v>
                </c:pt>
                <c:pt idx="137">
                  <c:v>102.57069885743</c:v>
                </c:pt>
                <c:pt idx="138">
                  <c:v>102.85163313191956</c:v>
                </c:pt>
                <c:pt idx="139">
                  <c:v>103.13830200020648</c:v>
                </c:pt>
                <c:pt idx="140">
                  <c:v>103.43078579694195</c:v>
                </c:pt>
                <c:pt idx="141">
                  <c:v>103.72916344299131</c:v>
                </c:pt>
                <c:pt idx="142">
                  <c:v>104.03351223446498</c:v>
                </c:pt>
                <c:pt idx="143">
                  <c:v>104.34390761996248</c:v>
                </c:pt>
                <c:pt idx="144">
                  <c:v>104.66042296581035</c:v>
                </c:pt>
                <c:pt idx="145">
                  <c:v>104.98312930912167</c:v>
                </c:pt>
                <c:pt idx="146">
                  <c:v>105.31209509855022</c:v>
                </c:pt>
                <c:pt idx="147">
                  <c:v>105.64738592267156</c:v>
                </c:pt>
                <c:pt idx="148">
                  <c:v>105.98906422598223</c:v>
                </c:pt>
                <c:pt idx="149">
                  <c:v>106.33718901258241</c:v>
                </c:pt>
                <c:pt idx="150">
                  <c:v>106.69181553768334</c:v>
                </c:pt>
                <c:pt idx="151">
                  <c:v>107.05299498716953</c:v>
                </c:pt>
                <c:pt idx="152">
                  <c:v>107.42077414553926</c:v>
                </c:pt>
                <c:pt idx="153">
                  <c:v>107.79519505265263</c:v>
                </c:pt>
                <c:pt idx="154">
                  <c:v>108.17629464982711</c:v>
                </c:pt>
                <c:pt idx="155">
                  <c:v>108.56410441594235</c:v>
                </c:pt>
                <c:pt idx="156">
                  <c:v>108.95864999434612</c:v>
                </c:pt>
                <c:pt idx="157">
                  <c:v>109.35995081148992</c:v>
                </c:pt>
                <c:pt idx="158">
                  <c:v>109.76801968836685</c:v>
                </c:pt>
                <c:pt idx="159">
                  <c:v>110.18286244597823</c:v>
                </c:pt>
                <c:pt idx="160">
                  <c:v>110.60447750621157</c:v>
                </c:pt>
                <c:pt idx="161">
                  <c:v>111.03285548967438</c:v>
                </c:pt>
                <c:pt idx="162">
                  <c:v>111.4679788121968</c:v>
                </c:pt>
                <c:pt idx="163">
                  <c:v>111.90982128188185</c:v>
                </c:pt>
                <c:pt idx="164">
                  <c:v>112.35834769874907</c:v>
                </c:pt>
                <c:pt idx="165">
                  <c:v>112.81351345918732</c:v>
                </c:pt>
                <c:pt idx="166">
                  <c:v>113.27526416758991</c:v>
                </c:pt>
                <c:pt idx="167">
                  <c:v>113.74353525770364</c:v>
                </c:pt>
                <c:pt idx="168">
                  <c:v>114.21825162636708</c:v>
                </c:pt>
                <c:pt idx="169">
                  <c:v>114.69932728244547</c:v>
                </c:pt>
                <c:pt idx="170">
                  <c:v>115.18666501389205</c:v>
                </c:pt>
                <c:pt idx="171">
                  <c:v>115.68015607595682</c:v>
                </c:pt>
                <c:pt idx="172">
                  <c:v>116.17967990364573</c:v>
                </c:pt>
                <c:pt idx="173">
                  <c:v>116.68510385158517</c:v>
                </c:pt>
                <c:pt idx="174">
                  <c:v>117.19628296446177</c:v>
                </c:pt>
                <c:pt idx="175">
                  <c:v>117.71305978120712</c:v>
                </c:pt>
                <c:pt idx="176">
                  <c:v>118.23526417604586</c:v>
                </c:pt>
                <c:pt idx="177">
                  <c:v>118.76271323944697</c:v>
                </c:pt>
                <c:pt idx="178">
                  <c:v>119.29521120189385</c:v>
                </c:pt>
                <c:pt idx="179">
                  <c:v>119.83254940322976</c:v>
                </c:pt>
                <c:pt idx="180">
                  <c:v>120.37450631012355</c:v>
                </c:pt>
                <c:pt idx="181">
                  <c:v>120.92084758395576</c:v>
                </c:pt>
                <c:pt idx="182">
                  <c:v>121.4713262011295</c:v>
                </c:pt>
                <c:pt idx="183">
                  <c:v>122.02568262747829</c:v>
                </c:pt>
                <c:pt idx="184">
                  <c:v>122.58364504806507</c:v>
                </c:pt>
                <c:pt idx="185">
                  <c:v>123.1449296532559</c:v>
                </c:pt>
                <c:pt idx="186">
                  <c:v>123.70924098150394</c:v>
                </c:pt>
                <c:pt idx="187">
                  <c:v>124.27627231880254</c:v>
                </c:pt>
                <c:pt idx="188">
                  <c:v>124.84570615426694</c:v>
                </c:pt>
                <c:pt idx="189">
                  <c:v>125.41721469078492</c:v>
                </c:pt>
                <c:pt idx="190">
                  <c:v>125.99046040914672</c:v>
                </c:pt>
                <c:pt idx="191">
                  <c:v>126.56509668353507</c:v>
                </c:pt>
                <c:pt idx="192">
                  <c:v>127.14076844572112</c:v>
                </c:pt>
                <c:pt idx="193">
                  <c:v>127.71711289480774</c:v>
                </c:pt>
                <c:pt idx="194">
                  <c:v>128.29376024885568</c:v>
                </c:pt>
                <c:pt idx="195">
                  <c:v>128.8703345342731</c:v>
                </c:pt>
                <c:pt idx="196">
                  <c:v>129.44645440841833</c:v>
                </c:pt>
                <c:pt idx="197">
                  <c:v>130.02173401048464</c:v>
                </c:pt>
                <c:pt idx="198">
                  <c:v>130.59578383541171</c:v>
                </c:pt>
                <c:pt idx="199">
                  <c:v>131.16821162528984</c:v>
                </c:pt>
                <c:pt idx="200">
                  <c:v>131.73862327252709</c:v>
                </c:pt>
                <c:pt idx="201">
                  <c:v>132.30662372890163</c:v>
                </c:pt>
                <c:pt idx="202">
                  <c:v>132.87181791455905</c:v>
                </c:pt>
                <c:pt idx="203">
                  <c:v>133.43381162101474</c:v>
                </c:pt>
                <c:pt idx="204">
                  <c:v>133.9922124022971</c:v>
                </c:pt>
                <c:pt idx="205">
                  <c:v>134.54663044851003</c:v>
                </c:pt>
                <c:pt idx="206">
                  <c:v>135.09667943631166</c:v>
                </c:pt>
                <c:pt idx="207">
                  <c:v>135.64197735107587</c:v>
                </c:pt>
                <c:pt idx="208">
                  <c:v>136.18214727584089</c:v>
                </c:pt>
                <c:pt idx="209">
                  <c:v>136.71681814253631</c:v>
                </c:pt>
                <c:pt idx="210">
                  <c:v>137.24562544141145</c:v>
                </c:pt>
                <c:pt idx="211">
                  <c:v>137.76821188505676</c:v>
                </c:pt>
                <c:pt idx="212">
                  <c:v>138.28422802391361</c:v>
                </c:pt>
                <c:pt idx="213">
                  <c:v>138.79333281068557</c:v>
                </c:pt>
                <c:pt idx="214">
                  <c:v>139.2951941115945</c:v>
                </c:pt>
                <c:pt idx="215">
                  <c:v>139.78948916297415</c:v>
                </c:pt>
                <c:pt idx="216">
                  <c:v>140.27590497221541</c:v>
                </c:pt>
                <c:pt idx="217">
                  <c:v>140.7541386626126</c:v>
                </c:pt>
                <c:pt idx="218">
                  <c:v>141.2238977621613</c:v>
                </c:pt>
                <c:pt idx="219">
                  <c:v>141.68490043683735</c:v>
                </c:pt>
                <c:pt idx="220">
                  <c:v>142.13687566934797</c:v>
                </c:pt>
                <c:pt idx="221">
                  <c:v>142.57956338475955</c:v>
                </c:pt>
                <c:pt idx="222">
                  <c:v>143.01271452478531</c:v>
                </c:pt>
                <c:pt idx="223">
                  <c:v>143.4360910728679</c:v>
                </c:pt>
                <c:pt idx="224">
                  <c:v>143.84946603247712</c:v>
                </c:pt>
                <c:pt idx="225">
                  <c:v>144.25262336131706</c:v>
                </c:pt>
                <c:pt idx="226">
                  <c:v>144.64535786433035</c:v>
                </c:pt>
                <c:pt idx="227">
                  <c:v>145.02747504857851</c:v>
                </c:pt>
                <c:pt idx="228">
                  <c:v>145.39879094319053</c:v>
                </c:pt>
                <c:pt idx="229">
                  <c:v>145.75913188767592</c:v>
                </c:pt>
                <c:pt idx="230">
                  <c:v>146.10833429193909</c:v>
                </c:pt>
                <c:pt idx="231">
                  <c:v>146.446244371364</c:v>
                </c:pt>
                <c:pt idx="232">
                  <c:v>146.77271786031312</c:v>
                </c:pt>
                <c:pt idx="233">
                  <c:v>147.08761970735398</c:v>
                </c:pt>
                <c:pt idx="234">
                  <c:v>147.39082375545175</c:v>
                </c:pt>
                <c:pt idx="235">
                  <c:v>147.68221241028692</c:v>
                </c:pt>
                <c:pt idx="236">
                  <c:v>147.96167629974161</c:v>
                </c:pt>
                <c:pt idx="237">
                  <c:v>148.22911392748489</c:v>
                </c:pt>
                <c:pt idx="238">
                  <c:v>148.48443132344565</c:v>
                </c:pt>
                <c:pt idx="239">
                  <c:v>148.72754169382571</c:v>
                </c:pt>
                <c:pt idx="240">
                  <c:v>148.95836507314377</c:v>
                </c:pt>
                <c:pt idx="241">
                  <c:v>149.17682798066411</c:v>
                </c:pt>
                <c:pt idx="242">
                  <c:v>149.38286308338479</c:v>
                </c:pt>
                <c:pt idx="243">
                  <c:v>149.57640886762377</c:v>
                </c:pt>
                <c:pt idx="244">
                  <c:v>149.7574093210732</c:v>
                </c:pt>
                <c:pt idx="245">
                  <c:v>149.92581362704135</c:v>
                </c:pt>
                <c:pt idx="246">
                  <c:v>150.08157587245944</c:v>
                </c:pt>
                <c:pt idx="247">
                  <c:v>150.22465477107787</c:v>
                </c:pt>
                <c:pt idx="248">
                  <c:v>150.35501340314622</c:v>
                </c:pt>
                <c:pt idx="249">
                  <c:v>150.47261897273575</c:v>
                </c:pt>
                <c:pt idx="250">
                  <c:v>150.57744258373862</c:v>
                </c:pt>
                <c:pt idx="251">
                  <c:v>150.66945903545954</c:v>
                </c:pt>
                <c:pt idx="252">
                  <c:v>150.74864663860532</c:v>
                </c:pt>
                <c:pt idx="253">
                  <c:v>150.81498705236706</c:v>
                </c:pt>
                <c:pt idx="254">
                  <c:v>150.86846514319424</c:v>
                </c:pt>
                <c:pt idx="255">
                  <c:v>150.90906886576485</c:v>
                </c:pt>
                <c:pt idx="256">
                  <c:v>150.93678916656236</c:v>
                </c:pt>
                <c:pt idx="257">
                  <c:v>150.95161991038762</c:v>
                </c:pt>
                <c:pt idx="258">
                  <c:v>150.95355783005351</c:v>
                </c:pt>
                <c:pt idx="259">
                  <c:v>150.94260249942437</c:v>
                </c:pt>
                <c:pt idx="260">
                  <c:v>150.91875632989024</c:v>
                </c:pt>
                <c:pt idx="261">
                  <c:v>150.88202459028963</c:v>
                </c:pt>
                <c:pt idx="262">
                  <c:v>150.83241545021005</c:v>
                </c:pt>
                <c:pt idx="263">
                  <c:v>150.76994004653051</c:v>
                </c:pt>
                <c:pt idx="264">
                  <c:v>150.69461257297948</c:v>
                </c:pt>
                <c:pt idx="265">
                  <c:v>150.60645039241038</c:v>
                </c:pt>
                <c:pt idx="266">
                  <c:v>150.5054741714026</c:v>
                </c:pt>
                <c:pt idx="267">
                  <c:v>150.39170803671709</c:v>
                </c:pt>
                <c:pt idx="268">
                  <c:v>150.26517975303594</c:v>
                </c:pt>
                <c:pt idx="269">
                  <c:v>150.12592092131703</c:v>
                </c:pt>
                <c:pt idx="270">
                  <c:v>149.9739671969983</c:v>
                </c:pt>
                <c:pt idx="271">
                  <c:v>149.80935852716212</c:v>
                </c:pt>
                <c:pt idx="272">
                  <c:v>149.63213940567002</c:v>
                </c:pt>
                <c:pt idx="273">
                  <c:v>149.44235914513843</c:v>
                </c:pt>
                <c:pt idx="274">
                  <c:v>149.24007216451284</c:v>
                </c:pt>
                <c:pt idx="275">
                  <c:v>149.02533829084368</c:v>
                </c:pt>
                <c:pt idx="276">
                  <c:v>148.79822307374502</c:v>
                </c:pt>
                <c:pt idx="277">
                  <c:v>148.55879811084958</c:v>
                </c:pt>
                <c:pt idx="278">
                  <c:v>148.30714138244394</c:v>
                </c:pt>
                <c:pt idx="279">
                  <c:v>148.04333759328972</c:v>
                </c:pt>
                <c:pt idx="280">
                  <c:v>147.76747851950043</c:v>
                </c:pt>
                <c:pt idx="281">
                  <c:v>147.47966335817441</c:v>
                </c:pt>
                <c:pt idx="282">
                  <c:v>147.17999907733088</c:v>
                </c:pt>
                <c:pt idx="283">
                  <c:v>146.86860076354819</c:v>
                </c:pt>
                <c:pt idx="284">
                  <c:v>146.54559196455324</c:v>
                </c:pt>
                <c:pt idx="285">
                  <c:v>146.21110502387205</c:v>
                </c:pt>
                <c:pt idx="286">
                  <c:v>145.86528140453581</c:v>
                </c:pt>
                <c:pt idx="287">
                  <c:v>145.50827199870974</c:v>
                </c:pt>
                <c:pt idx="288">
                  <c:v>145.14023742003246</c:v>
                </c:pt>
                <c:pt idx="289">
                  <c:v>144.76134827537084</c:v>
                </c:pt>
                <c:pt idx="290">
                  <c:v>144.37178541265283</c:v>
                </c:pt>
                <c:pt idx="291">
                  <c:v>143.97174014141484</c:v>
                </c:pt>
                <c:pt idx="292">
                  <c:v>143.56141442271056</c:v>
                </c:pt>
                <c:pt idx="293">
                  <c:v>143.14102102507397</c:v>
                </c:pt>
                <c:pt idx="294">
                  <c:v>142.71078364330276</c:v>
                </c:pt>
                <c:pt idx="295">
                  <c:v>142.27093697695202</c:v>
                </c:pt>
                <c:pt idx="296">
                  <c:v>141.82172676558199</c:v>
                </c:pt>
                <c:pt idx="297">
                  <c:v>141.36340977800768</c:v>
                </c:pt>
                <c:pt idx="298">
                  <c:v>140.89625375303996</c:v>
                </c:pt>
                <c:pt idx="299">
                  <c:v>140.42053728949512</c:v>
                </c:pt>
                <c:pt idx="300">
                  <c:v>139.93654968357919</c:v>
                </c:pt>
                <c:pt idx="301">
                  <c:v>139.44459071212285</c:v>
                </c:pt>
                <c:pt idx="302">
                  <c:v>138.94497036055074</c:v>
                </c:pt>
                <c:pt idx="303">
                  <c:v>138.43800849491146</c:v>
                </c:pt>
                <c:pt idx="304">
                  <c:v>137.92403447777099</c:v>
                </c:pt>
                <c:pt idx="305">
                  <c:v>137.40338672826897</c:v>
                </c:pt>
                <c:pt idx="306">
                  <c:v>136.87641222715891</c:v>
                </c:pt>
                <c:pt idx="307">
                  <c:v>136.34346596818486</c:v>
                </c:pt>
                <c:pt idx="308">
                  <c:v>135.80491035768404</c:v>
                </c:pt>
                <c:pt idx="309">
                  <c:v>135.26111456484566</c:v>
                </c:pt>
                <c:pt idx="310">
                  <c:v>134.7124538255739</c:v>
                </c:pt>
                <c:pt idx="311">
                  <c:v>134.15930870341893</c:v>
                </c:pt>
                <c:pt idx="312">
                  <c:v>133.60206431151153</c:v>
                </c:pt>
                <c:pt idx="313">
                  <c:v>133.04110949988916</c:v>
                </c:pt>
                <c:pt idx="314">
                  <c:v>132.47683601299067</c:v>
                </c:pt>
                <c:pt idx="315">
                  <c:v>131.90963762247054</c:v>
                </c:pt>
                <c:pt idx="316">
                  <c:v>131.33990924074112</c:v>
                </c:pt>
                <c:pt idx="317">
                  <c:v>130.76804602092878</c:v>
                </c:pt>
                <c:pt idx="318">
                  <c:v>130.19444244905574</c:v>
                </c:pt>
                <c:pt idx="319">
                  <c:v>129.61949143437548</c:v>
                </c:pt>
                <c:pt idx="320">
                  <c:v>129.04358340381893</c:v>
                </c:pt>
                <c:pt idx="321">
                  <c:v>128.46710540643926</c:v>
                </c:pt>
                <c:pt idx="322">
                  <c:v>127.89044023365376</c:v>
                </c:pt>
                <c:pt idx="323">
                  <c:v>127.31396556086875</c:v>
                </c:pt>
                <c:pt idx="324">
                  <c:v>126.73805311584172</c:v>
                </c:pt>
                <c:pt idx="325">
                  <c:v>126.16306787881101</c:v>
                </c:pt>
                <c:pt idx="326">
                  <c:v>125.58936731906412</c:v>
                </c:pt>
                <c:pt idx="327">
                  <c:v>125.01730067219783</c:v>
                </c:pt>
                <c:pt idx="328">
                  <c:v>124.44720826187609</c:v>
                </c:pt>
                <c:pt idx="329">
                  <c:v>123.87942086939458</c:v>
                </c:pt>
                <c:pt idx="330">
                  <c:v>123.31425915386555</c:v>
                </c:pt>
                <c:pt idx="331">
                  <c:v>122.75203312529955</c:v>
                </c:pt>
                <c:pt idx="332">
                  <c:v>122.1930416723357</c:v>
                </c:pt>
                <c:pt idx="333">
                  <c:v>121.63757214583325</c:v>
                </c:pt>
                <c:pt idx="334">
                  <c:v>121.08589999902891</c:v>
                </c:pt>
                <c:pt idx="335">
                  <c:v>120.5382884844381</c:v>
                </c:pt>
                <c:pt idx="336">
                  <c:v>119.99498840721465</c:v>
                </c:pt>
                <c:pt idx="337">
                  <c:v>119.45623793420846</c:v>
                </c:pt>
                <c:pt idx="338">
                  <c:v>118.92226245755364</c:v>
                </c:pt>
                <c:pt idx="339">
                  <c:v>118.39327451121852</c:v>
                </c:pt>
                <c:pt idx="340">
                  <c:v>117.86947373861365</c:v>
                </c:pt>
                <c:pt idx="341">
                  <c:v>117.35104690903722</c:v>
                </c:pt>
                <c:pt idx="342">
                  <c:v>116.8381679804866</c:v>
                </c:pt>
                <c:pt idx="343">
                  <c:v>116.33099820613644</c:v>
                </c:pt>
                <c:pt idx="344">
                  <c:v>115.82968628160819</c:v>
                </c:pt>
                <c:pt idx="345">
                  <c:v>115.3343685300308</c:v>
                </c:pt>
                <c:pt idx="346">
                  <c:v>114.84516912178745</c:v>
                </c:pt>
                <c:pt idx="347">
                  <c:v>114.36220032579538</c:v>
                </c:pt>
                <c:pt idx="348">
                  <c:v>113.88556278914011</c:v>
                </c:pt>
                <c:pt idx="349">
                  <c:v>113.41534584190627</c:v>
                </c:pt>
                <c:pt idx="350">
                  <c:v>112.95162782408168</c:v>
                </c:pt>
                <c:pt idx="351">
                  <c:v>112.49447643148547</c:v>
                </c:pt>
                <c:pt idx="352">
                  <c:v>112.04394907776266</c:v>
                </c:pt>
                <c:pt idx="353">
                  <c:v>111.60009326959933</c:v>
                </c:pt>
                <c:pt idx="354">
                  <c:v>111.16294699243861</c:v>
                </c:pt>
                <c:pt idx="355">
                  <c:v>110.73253910412772</c:v>
                </c:pt>
                <c:pt idx="356">
                  <c:v>110.30888973406714</c:v>
                </c:pt>
                <c:pt idx="357">
                  <c:v>109.8920106856046</c:v>
                </c:pt>
                <c:pt idx="358">
                  <c:v>109.48190583957268</c:v>
                </c:pt>
                <c:pt idx="359">
                  <c:v>109.07857155704311</c:v>
                </c:pt>
                <c:pt idx="360">
                  <c:v>108.68199707953299</c:v>
                </c:pt>
                <c:pt idx="361">
                  <c:v>108.29216492507125</c:v>
                </c:pt>
                <c:pt idx="362">
                  <c:v>107.9090512786907</c:v>
                </c:pt>
                <c:pt idx="363">
                  <c:v>107.53262637607675</c:v>
                </c:pt>
                <c:pt idx="364">
                  <c:v>107.16285487925066</c:v>
                </c:pt>
                <c:pt idx="365">
                  <c:v>106.79969624331974</c:v>
                </c:pt>
                <c:pt idx="366">
                  <c:v>106.44310507346022</c:v>
                </c:pt>
                <c:pt idx="367">
                  <c:v>106.09303147143385</c:v>
                </c:pt>
                <c:pt idx="368">
                  <c:v>105.74942137106129</c:v>
                </c:pt>
                <c:pt idx="369">
                  <c:v>105.41221686219286</c:v>
                </c:pt>
                <c:pt idx="370">
                  <c:v>105.08135650281922</c:v>
                </c:pt>
                <c:pt idx="371">
                  <c:v>104.75677561906845</c:v>
                </c:pt>
                <c:pt idx="372">
                  <c:v>104.43840659291821</c:v>
                </c:pt>
                <c:pt idx="373">
                  <c:v>104.12617913754028</c:v>
                </c:pt>
                <c:pt idx="374">
                  <c:v>103.82002056026018</c:v>
                </c:pt>
                <c:pt idx="375">
                  <c:v>103.51985601318643</c:v>
                </c:pt>
                <c:pt idx="376">
                  <c:v>103.225608731617</c:v>
                </c:pt>
                <c:pt idx="377">
                  <c:v>102.93720026038375</c:v>
                </c:pt>
                <c:pt idx="378">
                  <c:v>102.65455066833944</c:v>
                </c:pt>
                <c:pt idx="379">
                  <c:v>102.37757875122888</c:v>
                </c:pt>
                <c:pt idx="380">
                  <c:v>102.10620222322063</c:v>
                </c:pt>
                <c:pt idx="381">
                  <c:v>101.84033789739915</c:v>
                </c:pt>
                <c:pt idx="382">
                  <c:v>101.57990185554335</c:v>
                </c:pt>
                <c:pt idx="383">
                  <c:v>101.3248096075324</c:v>
                </c:pt>
                <c:pt idx="384">
                  <c:v>101.07497624073473</c:v>
                </c:pt>
                <c:pt idx="385">
                  <c:v>100.8303165597454</c:v>
                </c:pt>
                <c:pt idx="386">
                  <c:v>100.59074521684613</c:v>
                </c:pt>
                <c:pt idx="387">
                  <c:v>100.3561768335623</c:v>
                </c:pt>
                <c:pt idx="388">
                  <c:v>100.12652611369641</c:v>
                </c:pt>
                <c:pt idx="389">
                  <c:v>99.901707948213897</c:v>
                </c:pt>
                <c:pt idx="390">
                  <c:v>99.681637512356872</c:v>
                </c:pt>
                <c:pt idx="391">
                  <c:v>99.46623035535292</c:v>
                </c:pt>
                <c:pt idx="392">
                  <c:v>99.255402483083927</c:v>
                </c:pt>
                <c:pt idx="393">
                  <c:v>99.049070434070643</c:v>
                </c:pt>
                <c:pt idx="394">
                  <c:v>98.847151349119301</c:v>
                </c:pt>
                <c:pt idx="395">
                  <c:v>98.649563034969788</c:v>
                </c:pt>
                <c:pt idx="396">
                  <c:v>98.456224022272735</c:v>
                </c:pt>
                <c:pt idx="397">
                  <c:v>98.267053618213438</c:v>
                </c:pt>
                <c:pt idx="398">
                  <c:v>98.081971954089468</c:v>
                </c:pt>
                <c:pt idx="399">
                  <c:v>97.90090002813659</c:v>
                </c:pt>
                <c:pt idx="400">
                  <c:v>97.723759743888408</c:v>
                </c:pt>
                <c:pt idx="401">
                  <c:v>97.550473944340894</c:v>
                </c:pt>
                <c:pt idx="402">
                  <c:v>97.38096644218372</c:v>
                </c:pt>
                <c:pt idx="403">
                  <c:v>97.215162046347203</c:v>
                </c:pt>
                <c:pt idx="404">
                  <c:v>97.05298658510344</c:v>
                </c:pt>
                <c:pt idx="405">
                  <c:v>96.894366925948361</c:v>
                </c:pt>
                <c:pt idx="406">
                  <c:v>96.739230992480756</c:v>
                </c:pt>
                <c:pt idx="407">
                  <c:v>96.58750777848347</c:v>
                </c:pt>
                <c:pt idx="408">
                  <c:v>96.439127359401198</c:v>
                </c:pt>
                <c:pt idx="409">
                  <c:v>96.294020901400074</c:v>
                </c:pt>
                <c:pt idx="410">
                  <c:v>96.152120668183557</c:v>
                </c:pt>
                <c:pt idx="411">
                  <c:v>96.013360025729227</c:v>
                </c:pt>
                <c:pt idx="412">
                  <c:v>95.877673445103767</c:v>
                </c:pt>
                <c:pt idx="413">
                  <c:v>95.744996503502492</c:v>
                </c:pt>
                <c:pt idx="414">
                  <c:v>95.615265883652611</c:v>
                </c:pt>
                <c:pt idx="415">
                  <c:v>95.488419371710691</c:v>
                </c:pt>
                <c:pt idx="416">
                  <c:v>95.364395853777609</c:v>
                </c:pt>
                <c:pt idx="417">
                  <c:v>95.243135311146247</c:v>
                </c:pt>
                <c:pt idx="418">
                  <c:v>95.124578814390659</c:v>
                </c:pt>
                <c:pt idx="419">
                  <c:v>95.008668516398075</c:v>
                </c:pt>
                <c:pt idx="420">
                  <c:v>94.895347644439624</c:v>
                </c:pt>
                <c:pt idx="421">
                  <c:v>94.784560491368836</c:v>
                </c:pt>
                <c:pt idx="422">
                  <c:v>94.676252406031153</c:v>
                </c:pt>
                <c:pt idx="423">
                  <c:v>94.570369782962885</c:v>
                </c:pt>
                <c:pt idx="424">
                  <c:v>94.46686005145277</c:v>
                </c:pt>
                <c:pt idx="425">
                  <c:v>94.365671664033101</c:v>
                </c:pt>
                <c:pt idx="426">
                  <c:v>94.266754084465177</c:v>
                </c:pt>
                <c:pt idx="427">
                  <c:v>94.170057775276831</c:v>
                </c:pt>
                <c:pt idx="428">
                  <c:v>94.075534184908079</c:v>
                </c:pt>
                <c:pt idx="429">
                  <c:v>93.983135734514619</c:v>
                </c:pt>
                <c:pt idx="430">
                  <c:v>93.892815804478118</c:v>
                </c:pt>
                <c:pt idx="431">
                  <c:v>93.804528720665672</c:v>
                </c:pt>
                <c:pt idx="432">
                  <c:v>93.718229740480524</c:v>
                </c:pt>
                <c:pt idx="433">
                  <c:v>93.633875038740555</c:v>
                </c:pt>
                <c:pt idx="434">
                  <c:v>93.551421693420139</c:v>
                </c:pt>
                <c:pt idx="435">
                  <c:v>93.470827671287452</c:v>
                </c:pt>
                <c:pt idx="436">
                  <c:v>93.392051813466267</c:v>
                </c:pt>
                <c:pt idx="437">
                  <c:v>93.315053820950581</c:v>
                </c:pt>
                <c:pt idx="438">
                  <c:v>93.239794240095975</c:v>
                </c:pt>
                <c:pt idx="439">
                  <c:v>93.166234448111936</c:v>
                </c:pt>
                <c:pt idx="440">
                  <c:v>93.094336638575413</c:v>
                </c:pt>
                <c:pt idx="441">
                  <c:v>93.024063806985026</c:v>
                </c:pt>
                <c:pt idx="442">
                  <c:v>92.955379736374397</c:v>
                </c:pt>
                <c:pt idx="443">
                  <c:v>92.8882489829994</c:v>
                </c:pt>
                <c:pt idx="444">
                  <c:v>92.822636862115175</c:v>
                </c:pt>
                <c:pt idx="445">
                  <c:v>92.758509433855195</c:v>
                </c:pt>
                <c:pt idx="446">
                  <c:v>92.695833489224896</c:v>
                </c:pt>
                <c:pt idx="447">
                  <c:v>92.634576536220948</c:v>
                </c:pt>
                <c:pt idx="448">
                  <c:v>92.57470678608496</c:v>
                </c:pt>
                <c:pt idx="449">
                  <c:v>92.516193139701045</c:v>
                </c:pt>
                <c:pt idx="450">
                  <c:v>92.459005174145318</c:v>
                </c:pt>
                <c:pt idx="451">
                  <c:v>92.403113129392551</c:v>
                </c:pt>
                <c:pt idx="452">
                  <c:v>92.348487895188512</c:v>
                </c:pt>
                <c:pt idx="453">
                  <c:v>92.295100998090675</c:v>
                </c:pt>
                <c:pt idx="454">
                  <c:v>92.242924588683948</c:v>
                </c:pt>
                <c:pt idx="455">
                  <c:v>92.191931428974172</c:v>
                </c:pt>
                <c:pt idx="456">
                  <c:v>92.142094879963153</c:v>
                </c:pt>
                <c:pt idx="457">
                  <c:v>92.093388889408004</c:v>
                </c:pt>
                <c:pt idx="458">
                  <c:v>92.045787979766857</c:v>
                </c:pt>
                <c:pt idx="459">
                  <c:v>91.999267236333125</c:v>
                </c:pt>
                <c:pt idx="460">
                  <c:v>91.953802295559157</c:v>
                </c:pt>
                <c:pt idx="461">
                  <c:v>91.909369333570851</c:v>
                </c:pt>
                <c:pt idx="462">
                  <c:v>91.865945054873308</c:v>
                </c:pt>
                <c:pt idx="463">
                  <c:v>91.823506681248162</c:v>
                </c:pt>
                <c:pt idx="464">
                  <c:v>91.782031940842231</c:v>
                </c:pt>
                <c:pt idx="465">
                  <c:v>91.741499057447541</c:v>
                </c:pt>
                <c:pt idx="466">
                  <c:v>91.701886739971712</c:v>
                </c:pt>
                <c:pt idx="467">
                  <c:v>91.663174172098294</c:v>
                </c:pt>
                <c:pt idx="468">
                  <c:v>91.625341002135727</c:v>
                </c:pt>
                <c:pt idx="469">
                  <c:v>91.588367333053952</c:v>
                </c:pt>
                <c:pt idx="470">
                  <c:v>91.55223371270705</c:v>
                </c:pt>
                <c:pt idx="471">
                  <c:v>91.516921124240454</c:v>
                </c:pt>
                <c:pt idx="472">
                  <c:v>91.482410976681237</c:v>
                </c:pt>
                <c:pt idx="473">
                  <c:v>91.448685095709308</c:v>
                </c:pt>
                <c:pt idx="474">
                  <c:v>91.415725714607746</c:v>
                </c:pt>
                <c:pt idx="475">
                  <c:v>91.383515465390445</c:v>
                </c:pt>
                <c:pt idx="476">
                  <c:v>91.352037370104568</c:v>
                </c:pt>
                <c:pt idx="477">
                  <c:v>91.321274832305861</c:v>
                </c:pt>
                <c:pt idx="478">
                  <c:v>91.291211628704573</c:v>
                </c:pt>
                <c:pt idx="479">
                  <c:v>91.261831900979558</c:v>
                </c:pt>
                <c:pt idx="480">
                  <c:v>91.233120147758086</c:v>
                </c:pt>
                <c:pt idx="481">
                  <c:v>91.205061216759375</c:v>
                </c:pt>
                <c:pt idx="482">
                  <c:v>91.17764029709879</c:v>
                </c:pt>
                <c:pt idx="483">
                  <c:v>91.150842911750743</c:v>
                </c:pt>
                <c:pt idx="484">
                  <c:v>91.124654910167507</c:v>
                </c:pt>
                <c:pt idx="485">
                  <c:v>91.099062461051588</c:v>
                </c:pt>
                <c:pt idx="486">
                  <c:v>91.074052045278876</c:v>
                </c:pt>
                <c:pt idx="487">
                  <c:v>91.049610448970398</c:v>
                </c:pt>
                <c:pt idx="488">
                  <c:v>91.025724756709977</c:v>
                </c:pt>
                <c:pt idx="489">
                  <c:v>91.002382344904959</c:v>
                </c:pt>
                <c:pt idx="490">
                  <c:v>90.979570875288104</c:v>
                </c:pt>
                <c:pt idx="491">
                  <c:v>90.957278288557575</c:v>
                </c:pt>
                <c:pt idx="492">
                  <c:v>90.935492798152723</c:v>
                </c:pt>
                <c:pt idx="493">
                  <c:v>90.914202884163245</c:v>
                </c:pt>
                <c:pt idx="494">
                  <c:v>90.893397287369112</c:v>
                </c:pt>
                <c:pt idx="495">
                  <c:v>90.873065003408911</c:v>
                </c:pt>
                <c:pt idx="496">
                  <c:v>90.853195277073993</c:v>
                </c:pt>
                <c:pt idx="497">
                  <c:v>90.833777596726279</c:v>
                </c:pt>
                <c:pt idx="498">
                  <c:v>90.814801688837122</c:v>
                </c:pt>
                <c:pt idx="499">
                  <c:v>90.7962575126449</c:v>
                </c:pt>
                <c:pt idx="500">
                  <c:v>90.778135254929182</c:v>
                </c:pt>
                <c:pt idx="501">
                  <c:v>90.76042532489879</c:v>
                </c:pt>
                <c:pt idx="502">
                  <c:v>90.743118349191931</c:v>
                </c:pt>
                <c:pt idx="503">
                  <c:v>90.726205166985807</c:v>
                </c:pt>
                <c:pt idx="504">
                  <c:v>90.709676825213648</c:v>
                </c:pt>
                <c:pt idx="505">
                  <c:v>90.693524573886947</c:v>
                </c:pt>
                <c:pt idx="506">
                  <c:v>90.677739861520777</c:v>
                </c:pt>
                <c:pt idx="507">
                  <c:v>90.66231433066001</c:v>
                </c:pt>
                <c:pt idx="508">
                  <c:v>90.647239813504356</c:v>
                </c:pt>
                <c:pt idx="509">
                  <c:v>90.632508327630362</c:v>
                </c:pt>
                <c:pt idx="510">
                  <c:v>90.618112071807928</c:v>
                </c:pt>
                <c:pt idx="511">
                  <c:v>90.60404342190995</c:v>
                </c:pt>
                <c:pt idx="512">
                  <c:v>90.590294926912506</c:v>
                </c:pt>
                <c:pt idx="513">
                  <c:v>90.57685930498414</c:v>
                </c:pt>
                <c:pt idx="514">
                  <c:v>90.563729439662211</c:v>
                </c:pt>
                <c:pt idx="515">
                  <c:v>90.550898376114304</c:v>
                </c:pt>
                <c:pt idx="516">
                  <c:v>90.538359317483213</c:v>
                </c:pt>
                <c:pt idx="517">
                  <c:v>90.526105621313306</c:v>
                </c:pt>
                <c:pt idx="518">
                  <c:v>90.514130796056904</c:v>
                </c:pt>
                <c:pt idx="519">
                  <c:v>90.502428497658727</c:v>
                </c:pt>
                <c:pt idx="520">
                  <c:v>90.490992526216843</c:v>
                </c:pt>
                <c:pt idx="521">
                  <c:v>90.479816822718249</c:v>
                </c:pt>
                <c:pt idx="522">
                  <c:v>90.468895465847766</c:v>
                </c:pt>
                <c:pt idx="523">
                  <c:v>90.458222668868558</c:v>
                </c:pt>
                <c:pt idx="524">
                  <c:v>90.44779277657247</c:v>
                </c:pt>
                <c:pt idx="525">
                  <c:v>90.437600262299043</c:v>
                </c:pt>
                <c:pt idx="526">
                  <c:v>90.427639725021464</c:v>
                </c:pt>
                <c:pt idx="527">
                  <c:v>90.417905886498019</c:v>
                </c:pt>
                <c:pt idx="528">
                  <c:v>90.408393588487627</c:v>
                </c:pt>
                <c:pt idx="529">
                  <c:v>90.399097790028208</c:v>
                </c:pt>
                <c:pt idx="530">
                  <c:v>90.390013564776083</c:v>
                </c:pt>
                <c:pt idx="531">
                  <c:v>90.38113609840552</c:v>
                </c:pt>
                <c:pt idx="532">
                  <c:v>90.372460686066944</c:v>
                </c:pt>
                <c:pt idx="533">
                  <c:v>90.363982729902219</c:v>
                </c:pt>
                <c:pt idx="534">
                  <c:v>90.355697736616321</c:v>
                </c:pt>
                <c:pt idx="535">
                  <c:v>90.34760131510356</c:v>
                </c:pt>
                <c:pt idx="536">
                  <c:v>90.339689174127585</c:v>
                </c:pt>
                <c:pt idx="537">
                  <c:v>90.33195712005363</c:v>
                </c:pt>
                <c:pt idx="538">
                  <c:v>90.324401054632133</c:v>
                </c:pt>
                <c:pt idx="539">
                  <c:v>90.317016972832462</c:v>
                </c:pt>
                <c:pt idx="540">
                  <c:v>90.309800960725511</c:v>
                </c:pt>
                <c:pt idx="541">
                  <c:v>90.302749193414272</c:v>
                </c:pt>
              </c:numCache>
            </c:numRef>
          </c:yVal>
          <c:smooth val="1"/>
          <c:extLst>
            <c:ext xmlns:c16="http://schemas.microsoft.com/office/drawing/2014/chart" uri="{C3380CC4-5D6E-409C-BE32-E72D297353CC}">
              <c16:uniqueId val="{00000001-1374-400D-8554-410A69D7D362}"/>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0D5-448D-8D91-A3BE93830460}"/>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0D5-448D-8D91-A3BE93830460}"/>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37C9-43B7-8D76-5B26FC38F96C}"/>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37C9-43B7-8D76-5B26FC38F96C}"/>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4F6D-4461-AC1E-9D624BC3CCA4}"/>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4F6D-4461-AC1E-9D624BC3CCA4}"/>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550-402D-8D88-8CC9C7061F8E}"/>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550-402D-8D88-8CC9C7061F8E}"/>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3"/>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746760</xdr:colOff>
          <xdr:row>58</xdr:row>
          <xdr:rowOff>0</xdr:rowOff>
        </xdr:from>
        <xdr:to>
          <xdr:col>8</xdr:col>
          <xdr:colOff>15240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13</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13</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zoomScale="115" zoomScaleNormal="115" workbookViewId="0">
      <selection activeCell="H56" sqref="H56"/>
    </sheetView>
  </sheetViews>
  <sheetFormatPr defaultColWidth="8.77734375" defaultRowHeight="14.4" x14ac:dyDescent="0.3"/>
  <cols>
    <col min="1" max="6" width="8.77734375" style="120" customWidth="1"/>
    <col min="7" max="7" width="8.77734375" style="188" customWidth="1"/>
    <col min="8" max="8" width="12" style="120" bestFit="1" customWidth="1"/>
    <col min="9" max="9" width="4.21875" style="120" bestFit="1" customWidth="1"/>
    <col min="10" max="10" width="4.77734375" style="120" customWidth="1"/>
    <col min="11" max="20" width="8.77734375" style="120" customWidth="1"/>
    <col min="21" max="21" width="8.77734375" style="124" customWidth="1"/>
    <col min="22" max="22" width="7.21875" style="120" customWidth="1"/>
    <col min="23" max="26" width="8.77734375" style="120" customWidth="1"/>
    <col min="27" max="27" width="1.77734375" style="189" customWidth="1"/>
    <col min="28" max="16384" width="8.77734375" style="120"/>
  </cols>
  <sheetData>
    <row r="1" spans="1:27" ht="46.8"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12</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10</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1</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2000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10.095000000000001</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10</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81.818181818181827</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55.555555555555557</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50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3.2727272727272729</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2.9234006734006734</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30</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3.8004208754208757</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26.312875146736364</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27</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3.7037037037037042</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0.30864197530864196</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3.3</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1.1180339887498949</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100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27.843749999999996</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1.1180339887498949</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100</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10</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9.9999999999999982</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1000.0000000000001</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7.5</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6.5</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150.49999999999991</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143</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35.75</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13V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16.666666666666668</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10.71</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28.580012227500848</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2.7280000000000002</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3.5906454076470489</v>
      </c>
      <c r="G71" s="212" t="s">
        <v>177</v>
      </c>
      <c r="H71" s="209">
        <v>2.7930000000000001</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53.935238187692867</v>
      </c>
      <c r="G72" s="212" t="s">
        <v>180</v>
      </c>
      <c r="H72" s="209">
        <v>57</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258.48417056815435</v>
      </c>
      <c r="G73" s="213" t="s">
        <v>179</v>
      </c>
      <c r="H73" s="198">
        <v>4100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4.5</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17</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2.7</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3.6</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1.5</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1.6</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1</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700</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746760</xdr:colOff>
                    <xdr:row>58</xdr:row>
                    <xdr:rowOff>0</xdr:rowOff>
                  </from>
                  <to>
                    <xdr:col>8</xdr:col>
                    <xdr:colOff>15240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77734375" customWidth="1"/>
    <col min="2" max="2" width="19.5546875" customWidth="1"/>
    <col min="3" max="3" width="10.77734375" customWidth="1"/>
    <col min="4" max="4" width="10" bestFit="1" customWidth="1"/>
    <col min="5" max="5" width="18.5546875" customWidth="1"/>
    <col min="6" max="6" width="14.77734375" customWidth="1"/>
    <col min="7" max="7" width="15.21875" customWidth="1"/>
    <col min="8" max="8" width="12.5546875" customWidth="1"/>
    <col min="9" max="9" width="12.5546875" style="4" customWidth="1"/>
    <col min="12" max="12" width="12.332031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12</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2000000</v>
      </c>
      <c r="C10" s="4" t="s">
        <v>67</v>
      </c>
      <c r="E10" s="4" t="s">
        <v>68</v>
      </c>
    </row>
    <row r="11" spans="1:17" s="4" customFormat="1" x14ac:dyDescent="0.3">
      <c r="A11" s="4" t="s">
        <v>70</v>
      </c>
      <c r="B11" s="30">
        <f>((2.21*10^10)/Fsw)-955</f>
        <v>10095</v>
      </c>
      <c r="C11" s="2" t="s">
        <v>36</v>
      </c>
      <c r="E11" s="4" t="s">
        <v>71</v>
      </c>
    </row>
    <row r="13" spans="1:17" x14ac:dyDescent="0.3">
      <c r="A13" t="s">
        <v>31</v>
      </c>
      <c r="B13" s="3">
        <f>'Design Converter'!H10</f>
        <v>10</v>
      </c>
      <c r="C13" t="s">
        <v>10</v>
      </c>
      <c r="E13" t="s">
        <v>32</v>
      </c>
    </row>
    <row r="14" spans="1:17" x14ac:dyDescent="0.3">
      <c r="A14" t="s">
        <v>33</v>
      </c>
      <c r="B14" s="3">
        <f>'Design Converter'!H11</f>
        <v>1</v>
      </c>
      <c r="C14" t="s">
        <v>11</v>
      </c>
      <c r="E14" t="s">
        <v>34</v>
      </c>
    </row>
    <row r="15" spans="1:17" x14ac:dyDescent="0.3">
      <c r="A15" t="s">
        <v>35</v>
      </c>
      <c r="B15" s="1">
        <f>VOUT/IOUT</f>
        <v>10</v>
      </c>
      <c r="C15" s="2" t="s">
        <v>36</v>
      </c>
      <c r="E15" t="s">
        <v>41</v>
      </c>
    </row>
    <row r="16" spans="1:17" x14ac:dyDescent="0.3">
      <c r="A16" t="s">
        <v>37</v>
      </c>
      <c r="B16" s="1">
        <f>VOUT*IOUT</f>
        <v>10</v>
      </c>
      <c r="C16" s="2" t="s">
        <v>38</v>
      </c>
      <c r="E16" t="s">
        <v>40</v>
      </c>
    </row>
    <row r="17" spans="1:11" x14ac:dyDescent="0.3">
      <c r="A17" t="s">
        <v>39</v>
      </c>
      <c r="B17" s="21">
        <v>1</v>
      </c>
      <c r="E17" t="s">
        <v>434</v>
      </c>
    </row>
    <row r="19" spans="1:11" x14ac:dyDescent="0.3">
      <c r="A19" t="s">
        <v>42</v>
      </c>
      <c r="B19" s="1">
        <f>(VOUT)/(VIN_min+VOUT)</f>
        <v>0.55555555555555558</v>
      </c>
      <c r="E19" t="s">
        <v>435</v>
      </c>
    </row>
    <row r="20" spans="1:11" s="4" customFormat="1" x14ac:dyDescent="0.3">
      <c r="A20" t="s">
        <v>43</v>
      </c>
      <c r="B20" s="22">
        <f>Constants!B20</f>
        <v>0.81818181818181823</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0.5</v>
      </c>
      <c r="E28" t="s">
        <v>99</v>
      </c>
    </row>
    <row r="29" spans="1:11" s="32" customFormat="1" x14ac:dyDescent="0.3">
      <c r="A29" s="32" t="s">
        <v>94</v>
      </c>
      <c r="B29" s="38">
        <f>(VIN_nom^2)/(2*ILrip*IOUT*Fsw*(VIN_nom+VOUT))</f>
        <v>3.2727272727272729E-6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3.9199999999999997E-6</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2.5599999999999996E-7</v>
      </c>
      <c r="C35" s="32" t="s">
        <v>86</v>
      </c>
      <c r="E35" s="32" t="s">
        <v>449</v>
      </c>
    </row>
    <row r="36" spans="1:5" s="32" customFormat="1" x14ac:dyDescent="0.3">
      <c r="A36" s="32" t="s">
        <v>450</v>
      </c>
      <c r="B36" s="38">
        <f>MIN(B33,B35)</f>
        <v>2.5599999999999996E-7</v>
      </c>
      <c r="C36" s="32" t="s">
        <v>86</v>
      </c>
      <c r="E36" s="32" t="s">
        <v>451</v>
      </c>
    </row>
    <row r="37" spans="1:5" s="32" customFormat="1" x14ac:dyDescent="0.3">
      <c r="B37" s="220"/>
    </row>
    <row r="38" spans="1:5" s="32" customFormat="1" x14ac:dyDescent="0.3">
      <c r="A38" s="32" t="s">
        <v>454</v>
      </c>
      <c r="B38" s="38">
        <f>IF(B21=1,B36,Lopt_2)</f>
        <v>3.2727272727272729E-6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45" customHeight="1" x14ac:dyDescent="0.3">
      <c r="A42" s="32" t="s">
        <v>521</v>
      </c>
      <c r="B42" s="230">
        <f>Lm</f>
        <v>3.2999999999999997E-6</v>
      </c>
      <c r="E42" s="32" t="s">
        <v>522</v>
      </c>
    </row>
    <row r="43" spans="1:5" s="32" customFormat="1" ht="15.45"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0.55555555555555558</v>
      </c>
      <c r="E53" s="32" t="s">
        <v>541</v>
      </c>
    </row>
    <row r="54" spans="1:5" s="32" customFormat="1" x14ac:dyDescent="0.3">
      <c r="B54" s="23">
        <f>B53/Fsw</f>
        <v>2.7777777777777781E-7</v>
      </c>
      <c r="C54" s="32" t="s">
        <v>52</v>
      </c>
      <c r="E54" s="32" t="s">
        <v>276</v>
      </c>
    </row>
    <row r="55" spans="1:5" s="32" customFormat="1" x14ac:dyDescent="0.3">
      <c r="A55" s="231" t="s">
        <v>520</v>
      </c>
      <c r="B55" s="229"/>
    </row>
    <row r="56" spans="1:5" s="32" customFormat="1" x14ac:dyDescent="0.3">
      <c r="A56" s="32" t="s">
        <v>528</v>
      </c>
      <c r="B56" s="29">
        <f>(VOUT*IOUT)/(VIN_min)</f>
        <v>1.25</v>
      </c>
      <c r="C56" s="32" t="s">
        <v>11</v>
      </c>
      <c r="E56" s="32" t="s">
        <v>83</v>
      </c>
    </row>
    <row r="57" spans="1:5" s="32" customFormat="1" x14ac:dyDescent="0.3">
      <c r="A57" s="32" t="s">
        <v>529</v>
      </c>
      <c r="B57" s="28">
        <f>(VIN_min*Dc_VIN_min)/(Lm_A*Fsw)</f>
        <v>0.67340067340067344</v>
      </c>
      <c r="C57" s="32" t="s">
        <v>11</v>
      </c>
      <c r="E57" s="32" t="s">
        <v>97</v>
      </c>
    </row>
    <row r="58" spans="1:5" x14ac:dyDescent="0.3">
      <c r="A58" t="s">
        <v>530</v>
      </c>
      <c r="B58" s="28">
        <f>IF(B52=0,(VIN_min*Dc_VIN_min)/(Lm*Fsw),(ILA_avg_VIN_min/EFF_est)+(ILArip_VINmin/2))</f>
        <v>1.5867003367003367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1</v>
      </c>
      <c r="C61" s="32" t="s">
        <v>11</v>
      </c>
    </row>
    <row r="62" spans="1:5" s="32" customFormat="1" x14ac:dyDescent="0.3">
      <c r="A62" s="32" t="s">
        <v>539</v>
      </c>
      <c r="B62" s="23">
        <f>(VIN_min*Dc_VIN_min)/(Lm*Fsw)</f>
        <v>0.67340067340067344</v>
      </c>
      <c r="C62" s="32" t="s">
        <v>11</v>
      </c>
    </row>
    <row r="63" spans="1:5" s="32" customFormat="1" x14ac:dyDescent="0.3">
      <c r="A63" s="32" t="s">
        <v>540</v>
      </c>
      <c r="B63" s="23">
        <f>B61+B62/2</f>
        <v>1.3367003367003367</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2.9234006734006734</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0.45454545454545453</v>
      </c>
      <c r="E70" s="32" t="s">
        <v>436</v>
      </c>
    </row>
    <row r="71" spans="1:5" s="32" customFormat="1" x14ac:dyDescent="0.3">
      <c r="B71" s="23">
        <f>B70/Fsw</f>
        <v>2.2727272727272726E-7</v>
      </c>
      <c r="C71" s="32" t="s">
        <v>52</v>
      </c>
      <c r="E71" s="32" t="s">
        <v>276</v>
      </c>
    </row>
    <row r="72" spans="1:5" s="32" customFormat="1" x14ac:dyDescent="0.3">
      <c r="A72" s="231" t="s">
        <v>520</v>
      </c>
      <c r="B72" s="229"/>
    </row>
    <row r="73" spans="1:5" s="32" customFormat="1" x14ac:dyDescent="0.3">
      <c r="A73" s="32" t="s">
        <v>531</v>
      </c>
      <c r="B73" s="29">
        <f>(VOUT*IOUT)/(VIN_nom)</f>
        <v>0.83333333333333337</v>
      </c>
      <c r="C73" s="32" t="s">
        <v>11</v>
      </c>
      <c r="E73" s="32" t="s">
        <v>84</v>
      </c>
    </row>
    <row r="74" spans="1:5" x14ac:dyDescent="0.3">
      <c r="A74" s="32" t="s">
        <v>532</v>
      </c>
      <c r="B74" s="28">
        <f>(VIN_nom*Dc_VIN_nom)/(Lm*Fsw)</f>
        <v>0.82644628099173556</v>
      </c>
      <c r="C74" s="32" t="s">
        <v>11</v>
      </c>
      <c r="E74" s="32" t="s">
        <v>100</v>
      </c>
    </row>
    <row r="75" spans="1:5" x14ac:dyDescent="0.3">
      <c r="A75" s="32" t="s">
        <v>533</v>
      </c>
      <c r="B75" s="28">
        <f>IF(B69=0,(VIN_nom*Dc_VIN_nom)/(Lm*Fsw),(ILA_avg_VIN_nom/EFF_est)+(ILArip_VINnom/2))</f>
        <v>1.2465564738292012</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1</v>
      </c>
      <c r="C78" s="32" t="s">
        <v>11</v>
      </c>
      <c r="E78" s="32" t="s">
        <v>552</v>
      </c>
    </row>
    <row r="79" spans="1:5" s="32" customFormat="1" x14ac:dyDescent="0.3">
      <c r="A79" s="32" t="s">
        <v>545</v>
      </c>
      <c r="B79" s="23">
        <f>(VIN_nom*Dc_VIN_nom)/(Lm*Fsw)</f>
        <v>0.82644628099173556</v>
      </c>
      <c r="C79" s="32" t="s">
        <v>11</v>
      </c>
    </row>
    <row r="80" spans="1:5" s="32" customFormat="1" x14ac:dyDescent="0.3">
      <c r="A80" s="32" t="s">
        <v>546</v>
      </c>
      <c r="B80" s="23">
        <f>B78+B79/2</f>
        <v>1.4132231404958677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2.6597796143250689</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0.35714285714285715</v>
      </c>
      <c r="E87" s="32" t="s">
        <v>437</v>
      </c>
    </row>
    <row r="88" spans="1:5" s="32" customFormat="1" x14ac:dyDescent="0.3">
      <c r="B88" s="23">
        <f>B87/Fsw</f>
        <v>1.7857142857142858E-7</v>
      </c>
      <c r="C88" s="32" t="s">
        <v>52</v>
      </c>
      <c r="E88" s="32" t="s">
        <v>276</v>
      </c>
    </row>
    <row r="89" spans="1:5" s="32" customFormat="1" x14ac:dyDescent="0.3">
      <c r="A89" s="231" t="s">
        <v>520</v>
      </c>
      <c r="B89" s="229"/>
    </row>
    <row r="90" spans="1:5" s="32" customFormat="1" x14ac:dyDescent="0.3">
      <c r="A90" s="32" t="s">
        <v>534</v>
      </c>
      <c r="B90" s="29">
        <f>(VOUT*IOUT)/(VIN_max)</f>
        <v>0.55555555555555558</v>
      </c>
      <c r="C90" s="32" t="s">
        <v>11</v>
      </c>
      <c r="E90" s="32" t="s">
        <v>85</v>
      </c>
    </row>
    <row r="91" spans="1:5" x14ac:dyDescent="0.3">
      <c r="A91" s="32" t="s">
        <v>535</v>
      </c>
      <c r="B91" s="28">
        <f>(VIN_max*Dc_VIN_max)/(Lm*Fsw)</f>
        <v>0.97402597402597413</v>
      </c>
      <c r="C91" s="32" t="s">
        <v>11</v>
      </c>
      <c r="E91" s="32" t="s">
        <v>102</v>
      </c>
    </row>
    <row r="92" spans="1:5" x14ac:dyDescent="0.3">
      <c r="A92" s="32" t="s">
        <v>536</v>
      </c>
      <c r="B92" s="28">
        <f>ILA_avg_VIN_max+ILArip_VINmax/2</f>
        <v>1.0425685425685427</v>
      </c>
      <c r="C92" s="32" t="s">
        <v>11</v>
      </c>
      <c r="E92" s="32" t="s">
        <v>103</v>
      </c>
    </row>
    <row r="94" spans="1:5" s="32" customFormat="1" x14ac:dyDescent="0.3">
      <c r="A94" s="231" t="s">
        <v>537</v>
      </c>
      <c r="B94" s="229"/>
      <c r="E94" s="32" t="s">
        <v>552</v>
      </c>
    </row>
    <row r="95" spans="1:5" s="32" customFormat="1" x14ac:dyDescent="0.3">
      <c r="A95" s="32" t="s">
        <v>548</v>
      </c>
      <c r="B95" s="23">
        <f>IOUT</f>
        <v>1</v>
      </c>
      <c r="C95" s="32" t="s">
        <v>11</v>
      </c>
    </row>
    <row r="96" spans="1:5" s="32" customFormat="1" x14ac:dyDescent="0.3">
      <c r="A96" s="32" t="s">
        <v>549</v>
      </c>
      <c r="B96" s="23">
        <f>(VIN_max*Dc_VIN_max)/(Lm*Fsw)</f>
        <v>0.97402597402597413</v>
      </c>
      <c r="C96" s="32" t="s">
        <v>11</v>
      </c>
    </row>
    <row r="97" spans="1:5" s="32" customFormat="1" x14ac:dyDescent="0.3">
      <c r="A97" s="32" t="s">
        <v>550</v>
      </c>
      <c r="B97" s="23">
        <f>B95+B96/2</f>
        <v>1.4870129870129871</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2.5295815295815296</v>
      </c>
      <c r="C100" s="32" t="s">
        <v>11</v>
      </c>
    </row>
    <row r="101" spans="1:5" s="32" customFormat="1" x14ac:dyDescent="0.3">
      <c r="B101" s="232"/>
    </row>
    <row r="102" spans="1:5" x14ac:dyDescent="0.3">
      <c r="A102" s="31" t="s">
        <v>98</v>
      </c>
    </row>
    <row r="103" spans="1:5" x14ac:dyDescent="0.3">
      <c r="A103" t="s">
        <v>105</v>
      </c>
      <c r="B103" s="3">
        <f>'Design Converter'!H26/100</f>
        <v>0.3</v>
      </c>
      <c r="E103" t="s">
        <v>106</v>
      </c>
    </row>
    <row r="104" spans="1:5" x14ac:dyDescent="0.3">
      <c r="A104" t="s">
        <v>107</v>
      </c>
      <c r="B104" s="29">
        <f>(1+Ipk_margin)*ISW_peak_VIN_min</f>
        <v>3.8004208754208757</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3.7704857142857137E-2</v>
      </c>
      <c r="C107" s="2" t="s">
        <v>36</v>
      </c>
      <c r="E107" t="s">
        <v>113</v>
      </c>
    </row>
    <row r="108" spans="1:5" x14ac:dyDescent="0.3">
      <c r="A108" t="s">
        <v>120</v>
      </c>
      <c r="B108" s="38">
        <f>Vcl/Ipk_selected</f>
        <v>2.6312875146736362E-2</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2.7149610127339699E-2</v>
      </c>
      <c r="C111" s="2" t="s">
        <v>36</v>
      </c>
      <c r="E111" t="s">
        <v>133</v>
      </c>
    </row>
    <row r="112" spans="1:5" x14ac:dyDescent="0.3">
      <c r="A112" t="s">
        <v>127</v>
      </c>
      <c r="B112" s="28">
        <f>(Vcl-(Ipk_selected*Rcs_w_sl))/(Isl*Dc_VIN_min)</f>
        <v>-190.79670524878827</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2.6312875146736362E-2</v>
      </c>
      <c r="C115" s="2" t="s">
        <v>36</v>
      </c>
      <c r="E115" t="s">
        <v>461</v>
      </c>
    </row>
    <row r="116" spans="1:11" x14ac:dyDescent="0.3">
      <c r="A116" t="s">
        <v>129</v>
      </c>
      <c r="B116" s="1">
        <f>IF(B52=0,0,IF(B114=0,0,B112))</f>
        <v>0</v>
      </c>
      <c r="C116" s="2" t="s">
        <v>36</v>
      </c>
      <c r="E116" t="s">
        <v>462</v>
      </c>
    </row>
    <row r="118" spans="1:11" x14ac:dyDescent="0.3">
      <c r="A118" t="s">
        <v>130</v>
      </c>
      <c r="B118" s="42">
        <f>'Design Converter'!H30/1000</f>
        <v>2.7E-2</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4.8876666666666662</v>
      </c>
      <c r="C121" t="s">
        <v>147</v>
      </c>
      <c r="E121" t="s">
        <v>138</v>
      </c>
      <c r="K121">
        <f>IF(B69=0,0,IF(B121&lt;0.5,1,0))</f>
        <v>0</v>
      </c>
    </row>
    <row r="122" spans="1:11" s="32" customFormat="1" x14ac:dyDescent="0.3">
      <c r="A122" s="32" t="s">
        <v>141</v>
      </c>
      <c r="B122" s="29">
        <f>(Vcl-(Isl*R_sl*Dc_VIN_min))/R_cs</f>
        <v>3.7037037037037042</v>
      </c>
      <c r="C122" s="32" t="s">
        <v>11</v>
      </c>
      <c r="E122" s="32" t="s">
        <v>143</v>
      </c>
      <c r="K122">
        <f>IF(IL_pk&lt;Ipk_selected,1,0)</f>
        <v>1</v>
      </c>
    </row>
    <row r="123" spans="1:11" x14ac:dyDescent="0.3">
      <c r="A123" t="s">
        <v>142</v>
      </c>
      <c r="B123" s="29">
        <f>(Vcl-(Isl*R_sl*Dc_VIN_max))/R_cs</f>
        <v>3.7037037037037042</v>
      </c>
      <c r="C123" t="s">
        <v>11</v>
      </c>
      <c r="E123" t="s">
        <v>144</v>
      </c>
    </row>
    <row r="124" spans="1:11" x14ac:dyDescent="0.3">
      <c r="A124" t="s">
        <v>145</v>
      </c>
      <c r="B124" s="1">
        <f>0.15</f>
        <v>0.15</v>
      </c>
      <c r="E124" t="s">
        <v>146</v>
      </c>
    </row>
    <row r="125" spans="1:11" x14ac:dyDescent="0.3">
      <c r="A125" t="s">
        <v>148</v>
      </c>
      <c r="B125" s="28">
        <f>(1+B124)*B123</f>
        <v>4.2592592592592595</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3.0864197530864198E-7</v>
      </c>
      <c r="C131" s="32" t="s">
        <v>158</v>
      </c>
      <c r="E131" s="32" t="s">
        <v>565</v>
      </c>
    </row>
    <row r="132" spans="1:5" s="32" customFormat="1" x14ac:dyDescent="0.3">
      <c r="A132" s="32" t="s">
        <v>564</v>
      </c>
      <c r="B132" s="45">
        <f>'Design Converter'!H36*(10^-6)</f>
        <v>3.2999999999999997E-6</v>
      </c>
      <c r="C132" s="32" t="s">
        <v>158</v>
      </c>
      <c r="E132" s="32" t="s">
        <v>567</v>
      </c>
    </row>
    <row r="133" spans="1:5" s="32" customFormat="1" x14ac:dyDescent="0.3">
      <c r="A133" s="32" t="s">
        <v>569</v>
      </c>
      <c r="B133" s="29">
        <f>(IOUT*Dc_VIN_min)/(Cac*Fsw)</f>
        <v>8.4175084175084181E-2</v>
      </c>
      <c r="C133" s="32" t="s">
        <v>10</v>
      </c>
      <c r="E133" s="32" t="s">
        <v>570</v>
      </c>
    </row>
    <row r="134" spans="1:5" s="32" customFormat="1" x14ac:dyDescent="0.3">
      <c r="A134" s="32" t="s">
        <v>568</v>
      </c>
      <c r="B134" s="29">
        <f>IOUT*SQRT(VOUT/VIN_min)</f>
        <v>1.1180339887498949</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179573.51290684624</v>
      </c>
      <c r="C139" s="32" t="s">
        <v>511</v>
      </c>
      <c r="E139" s="32" t="s">
        <v>572</v>
      </c>
    </row>
    <row r="140" spans="1:5" x14ac:dyDescent="0.3">
      <c r="A140" t="s">
        <v>156</v>
      </c>
      <c r="B140" s="45">
        <f>'Design Converter'!H40/1000</f>
        <v>0.1</v>
      </c>
      <c r="C140" t="s">
        <v>10</v>
      </c>
      <c r="E140" t="s">
        <v>155</v>
      </c>
    </row>
    <row r="141" spans="1:5" s="32" customFormat="1" x14ac:dyDescent="0.3">
      <c r="A141" s="32" t="s">
        <v>467</v>
      </c>
      <c r="B141" s="1">
        <f>IOUT-0.5*IOUT</f>
        <v>0.5</v>
      </c>
      <c r="C141" s="32" t="s">
        <v>11</v>
      </c>
    </row>
    <row r="142" spans="1:5" x14ac:dyDescent="0.3">
      <c r="A142" t="s">
        <v>157</v>
      </c>
      <c r="B142" s="1">
        <f>B141/(Vout_rip_sel*B139)</f>
        <v>2.7843749999999996E-5</v>
      </c>
      <c r="C142" t="s">
        <v>158</v>
      </c>
      <c r="E142" t="s">
        <v>159</v>
      </c>
    </row>
    <row r="143" spans="1:5" x14ac:dyDescent="0.3">
      <c r="A143" t="s">
        <v>161</v>
      </c>
      <c r="B143" s="28">
        <f>IOUT*SQRT(VOUT/VIN_min)</f>
        <v>1.1180339887498949</v>
      </c>
      <c r="C143" t="s">
        <v>11</v>
      </c>
      <c r="E143" t="s">
        <v>573</v>
      </c>
    </row>
    <row r="144" spans="1:5" x14ac:dyDescent="0.3">
      <c r="A144" t="s">
        <v>165</v>
      </c>
      <c r="B144" s="3">
        <f>'Design Converter'!H43*(10^-6)</f>
        <v>9.9999999999999991E-5</v>
      </c>
      <c r="C144" t="s">
        <v>158</v>
      </c>
      <c r="E144" t="s">
        <v>164</v>
      </c>
    </row>
    <row r="145" spans="1:5" x14ac:dyDescent="0.3">
      <c r="A145" t="s">
        <v>163</v>
      </c>
      <c r="B145" s="3">
        <f>'Design Converter'!H44/1000</f>
        <v>0.01</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9.9999999999999986E-9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1.0000000000000002E-6</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7.5</v>
      </c>
      <c r="C154" s="32" t="s">
        <v>10</v>
      </c>
      <c r="E154" s="32" t="s">
        <v>295</v>
      </c>
    </row>
    <row r="155" spans="1:5" s="32" customFormat="1" x14ac:dyDescent="0.3">
      <c r="A155" s="32" t="s">
        <v>294</v>
      </c>
      <c r="B155" s="3">
        <f>'Design Converter'!H53</f>
        <v>6.5</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150499.99999999991</v>
      </c>
      <c r="C159" s="2" t="s">
        <v>36</v>
      </c>
      <c r="E159" s="32" t="s">
        <v>405</v>
      </c>
    </row>
    <row r="160" spans="1:5" s="32" customFormat="1" x14ac:dyDescent="0.3">
      <c r="A160" s="32" t="s">
        <v>307</v>
      </c>
      <c r="B160" s="3">
        <f>'Design Converter'!H55*1000</f>
        <v>143000</v>
      </c>
      <c r="C160" s="2" t="s">
        <v>36</v>
      </c>
      <c r="E160" s="32" t="s">
        <v>406</v>
      </c>
    </row>
    <row r="161" spans="1:5" s="32" customFormat="1" x14ac:dyDescent="0.3">
      <c r="A161" s="32" t="s">
        <v>308</v>
      </c>
      <c r="B161" s="30">
        <f>UV_rise*Ruvlo_top/(Vuvlo_on-UV_rise)</f>
        <v>35750</v>
      </c>
      <c r="C161" s="2" t="s">
        <v>36</v>
      </c>
      <c r="E161" s="32" t="s">
        <v>407</v>
      </c>
    </row>
    <row r="162" spans="1:5" s="32" customFormat="1" x14ac:dyDescent="0.3">
      <c r="A162" s="32" t="s">
        <v>309</v>
      </c>
      <c r="B162" s="29">
        <f>UV_rise*(Ruvlo_top+Ruvlo_bottom_calc)/Ruvlo_bottom_calc</f>
        <v>7.5</v>
      </c>
      <c r="E162" s="32" t="s">
        <v>311</v>
      </c>
    </row>
    <row r="163" spans="1:5" s="32" customFormat="1" x14ac:dyDescent="0.3">
      <c r="A163" s="32" t="s">
        <v>310</v>
      </c>
      <c r="B163" s="29">
        <f>Ruvlo_top*((UV_fall/Ruvlo_top)-(UV_I_hyst)+(UV_fall/Ruvlo_bottom_calc))</f>
        <v>6.5350000000000001</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13V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16666.666666666668</v>
      </c>
      <c r="C171" s="2" t="s">
        <v>36</v>
      </c>
      <c r="E171" s="32" t="s">
        <v>244</v>
      </c>
    </row>
    <row r="172" spans="1:5" x14ac:dyDescent="0.3">
      <c r="A172" t="s">
        <v>187</v>
      </c>
      <c r="B172" s="3">
        <f>'Design Converter'!H64*(10^3)</f>
        <v>10710</v>
      </c>
      <c r="C172" s="2" t="s">
        <v>36</v>
      </c>
      <c r="E172" t="s">
        <v>245</v>
      </c>
    </row>
    <row r="173" spans="1:5" x14ac:dyDescent="0.3">
      <c r="A173" t="s">
        <v>246</v>
      </c>
      <c r="B173" s="1">
        <f>VOUT/(RFBB+RFBT)</f>
        <v>6.2223881525729573E-5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15.343915343915342</v>
      </c>
    </row>
    <row r="179" spans="1:5" s="32" customFormat="1" x14ac:dyDescent="0.3"/>
    <row r="180" spans="1:5" s="32" customFormat="1" x14ac:dyDescent="0.3">
      <c r="A180" s="32" t="s">
        <v>410</v>
      </c>
      <c r="B180" s="22">
        <f>(1+Dc_VIN_min)/(Cout*(VOUT/IOUT))</f>
        <v>1555.5555555555557</v>
      </c>
      <c r="C180" s="32" t="s">
        <v>392</v>
      </c>
      <c r="E180" s="32" t="s">
        <v>391</v>
      </c>
    </row>
    <row r="181" spans="1:5" s="32" customFormat="1" x14ac:dyDescent="0.3">
      <c r="A181" s="32" t="s">
        <v>411</v>
      </c>
      <c r="B181" s="1">
        <f>B180/(2*PI())</f>
        <v>247.57435592072611</v>
      </c>
      <c r="C181" s="32" t="s">
        <v>67</v>
      </c>
      <c r="E181" s="32" t="s">
        <v>248</v>
      </c>
    </row>
    <row r="182" spans="1:5" s="32" customFormat="1" x14ac:dyDescent="0.3">
      <c r="B182" s="27"/>
    </row>
    <row r="183" spans="1:5" s="32" customFormat="1" x14ac:dyDescent="0.3">
      <c r="A183" s="32" t="s">
        <v>412</v>
      </c>
      <c r="B183" s="22">
        <f>1/(Cout*Resr)</f>
        <v>1000000</v>
      </c>
      <c r="C183" s="32" t="s">
        <v>393</v>
      </c>
      <c r="E183" s="32" t="s">
        <v>394</v>
      </c>
    </row>
    <row r="184" spans="1:5" s="32" customFormat="1" x14ac:dyDescent="0.3">
      <c r="A184" s="32" t="s">
        <v>413</v>
      </c>
      <c r="B184" s="1">
        <f>B183/(2*PI())</f>
        <v>159154.94309189534</v>
      </c>
      <c r="C184" s="32" t="s">
        <v>67</v>
      </c>
      <c r="E184" s="32" t="s">
        <v>250</v>
      </c>
    </row>
    <row r="185" spans="1:5" s="32" customFormat="1" x14ac:dyDescent="0.3">
      <c r="B185" s="27"/>
    </row>
    <row r="186" spans="1:5" s="32" customFormat="1" x14ac:dyDescent="0.3">
      <c r="A186" s="32" t="s">
        <v>414</v>
      </c>
      <c r="B186" s="22">
        <f>((VOUT/IOUT)*((1-Dc_VIN_min)^2))/(Lm*Dc_VIN_min)</f>
        <v>1077441.0774410774</v>
      </c>
      <c r="E186" s="32" t="s">
        <v>390</v>
      </c>
    </row>
    <row r="187" spans="1:5" s="32" customFormat="1" x14ac:dyDescent="0.3">
      <c r="A187" s="32" t="s">
        <v>415</v>
      </c>
      <c r="B187" s="30">
        <f>B186/(2*PI())</f>
        <v>171480.07336500508</v>
      </c>
      <c r="C187" s="32" t="s">
        <v>67</v>
      </c>
      <c r="E187" s="32" t="s">
        <v>249</v>
      </c>
    </row>
    <row r="188" spans="1:5" s="32" customFormat="1" x14ac:dyDescent="0.3">
      <c r="B188" s="27">
        <f>Fsw/10</f>
        <v>200000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79980</v>
      </c>
      <c r="C191" s="32" t="s">
        <v>147</v>
      </c>
      <c r="E191" s="32" t="s">
        <v>210</v>
      </c>
    </row>
    <row r="192" spans="1:5" s="32" customFormat="1" x14ac:dyDescent="0.3">
      <c r="A192" s="32" t="s">
        <v>417</v>
      </c>
      <c r="B192" s="1">
        <f>(R_cs*VIN_min*Acs)/Lm</f>
        <v>65454.545454545456</v>
      </c>
      <c r="C192" s="32" t="s">
        <v>147</v>
      </c>
      <c r="E192" s="32" t="s">
        <v>211</v>
      </c>
    </row>
    <row r="193" spans="1:5" s="32" customFormat="1" x14ac:dyDescent="0.3">
      <c r="B193" s="1"/>
    </row>
    <row r="194" spans="1:5" s="32" customFormat="1" x14ac:dyDescent="0.3">
      <c r="A194" s="32" t="s">
        <v>418</v>
      </c>
      <c r="B194" s="1">
        <f>2*PI()*Fsw</f>
        <v>12566370.614359172</v>
      </c>
      <c r="C194" s="32" t="s">
        <v>213</v>
      </c>
    </row>
    <row r="195" spans="1:5" s="32" customFormat="1" x14ac:dyDescent="0.3">
      <c r="A195" s="32" t="s">
        <v>419</v>
      </c>
      <c r="B195" s="1">
        <f>1/(PI()*(((1-Dc_VIN_min)*(1+(B191/B192)))-0.5))</f>
        <v>0.65291855405016708</v>
      </c>
    </row>
    <row r="196" spans="1:5" s="32" customFormat="1" x14ac:dyDescent="0.3">
      <c r="E196" s="32">
        <f>fcross</f>
        <v>2728</v>
      </c>
    </row>
    <row r="197" spans="1:5" s="32" customFormat="1" x14ac:dyDescent="0.3">
      <c r="B197" s="27"/>
    </row>
    <row r="198" spans="1:5" s="32" customFormat="1" x14ac:dyDescent="0.3">
      <c r="A198" s="32" t="s">
        <v>489</v>
      </c>
      <c r="B198" s="29">
        <f>IF(B189=0,fz_rhp/6,Fsw/10)</f>
        <v>28580.012227500847</v>
      </c>
      <c r="C198" s="32" t="s">
        <v>67</v>
      </c>
      <c r="E198" s="32" t="s">
        <v>585</v>
      </c>
    </row>
    <row r="199" spans="1:5" s="32" customFormat="1" x14ac:dyDescent="0.3"/>
    <row r="200" spans="1:5" s="32" customFormat="1" x14ac:dyDescent="0.3"/>
    <row r="201" spans="1:5" s="32" customFormat="1" x14ac:dyDescent="0.3">
      <c r="A201" s="32" t="s">
        <v>261</v>
      </c>
      <c r="B201" s="72">
        <f>SQRT(B181*fcross)</f>
        <v>821.81679403121279</v>
      </c>
      <c r="C201" s="32" t="s">
        <v>67</v>
      </c>
      <c r="E201" s="32" t="s">
        <v>513</v>
      </c>
    </row>
    <row r="202" spans="1:5" s="32" customFormat="1" x14ac:dyDescent="0.3">
      <c r="A202" s="32" t="s">
        <v>263</v>
      </c>
      <c r="B202" s="46">
        <f>fz_rhp</f>
        <v>171480.07336500508</v>
      </c>
      <c r="C202" s="32" t="s">
        <v>67</v>
      </c>
      <c r="E202" s="32" t="s">
        <v>429</v>
      </c>
    </row>
    <row r="203" spans="1:5" s="32" customFormat="1" x14ac:dyDescent="0.3">
      <c r="A203" s="32" t="s">
        <v>254</v>
      </c>
      <c r="B203" s="3">
        <f>fcross</f>
        <v>2728</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3590.6454076470491</v>
      </c>
      <c r="C206" s="2" t="s">
        <v>36</v>
      </c>
      <c r="E206" s="32" t="s">
        <v>260</v>
      </c>
    </row>
    <row r="207" spans="1:5" s="32" customFormat="1" x14ac:dyDescent="0.3">
      <c r="A207" s="32" t="s">
        <v>494</v>
      </c>
      <c r="B207" s="23">
        <f>1/(2*PI()*fz_ea_est*Rcomp_calc_CCM)</f>
        <v>5.3935238187692869E-8</v>
      </c>
      <c r="C207" s="2" t="s">
        <v>158</v>
      </c>
      <c r="E207" s="32" t="s">
        <v>487</v>
      </c>
    </row>
    <row r="208" spans="1:5" s="32" customFormat="1" x14ac:dyDescent="0.3">
      <c r="A208" s="32" t="s">
        <v>495</v>
      </c>
      <c r="B208" s="234">
        <f>(IOUT*Lm)/(Rcomp_calc_CCM*((1-Dc_VIN_min)^2)*(VIN_min+VOUT))</f>
        <v>2.5848417056815437E-10</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30.555536887395665</v>
      </c>
      <c r="C213" s="32" t="s">
        <v>147</v>
      </c>
      <c r="E213" s="32" t="s">
        <v>500</v>
      </c>
    </row>
    <row r="214" spans="1:5" s="32" customFormat="1" x14ac:dyDescent="0.3">
      <c r="A214" s="32" t="s">
        <v>475</v>
      </c>
      <c r="B214" s="32">
        <f>(B213*2*VOUT/Dc_VIN_min)*(((VOUT/VIN_min)-1)/((2*VOUT/VIN_min)-1))</f>
        <v>183.33322132437394</v>
      </c>
      <c r="C214" s="32" t="s">
        <v>147</v>
      </c>
    </row>
    <row r="215" spans="1:5" s="32" customFormat="1" x14ac:dyDescent="0.3">
      <c r="A215" s="32" t="s">
        <v>477</v>
      </c>
      <c r="B215" s="32">
        <f>(IOUT*((2*VOUT)-VIN_min))/(Cout*VOUT*(VOUT-VIN_min))</f>
        <v>6000</v>
      </c>
      <c r="C215" s="32" t="s">
        <v>392</v>
      </c>
    </row>
    <row r="216" spans="1:5" s="32" customFormat="1" x14ac:dyDescent="0.3">
      <c r="B216" s="32">
        <f>B215/(2*PI())</f>
        <v>954.92965855137209</v>
      </c>
      <c r="C216" s="32" t="s">
        <v>67</v>
      </c>
    </row>
    <row r="217" spans="1:5" s="32" customFormat="1" x14ac:dyDescent="0.3">
      <c r="A217" s="32" t="s">
        <v>478</v>
      </c>
      <c r="B217" s="32">
        <f>1/(Cout*Resr)</f>
        <v>1000000</v>
      </c>
      <c r="C217" s="32" t="s">
        <v>392</v>
      </c>
    </row>
    <row r="218" spans="1:5" s="32" customFormat="1" x14ac:dyDescent="0.3">
      <c r="B218" s="32">
        <f>B217/(2*PI())</f>
        <v>159154.94309189534</v>
      </c>
      <c r="C218" s="32" t="s">
        <v>67</v>
      </c>
    </row>
    <row r="219" spans="1:5" s="32" customFormat="1" x14ac:dyDescent="0.3">
      <c r="A219" s="32" t="s">
        <v>479</v>
      </c>
      <c r="B219" s="32">
        <f>2*Fsw/(Dc_VIN_min)</f>
        <v>7200000</v>
      </c>
      <c r="C219" s="32" t="s">
        <v>392</v>
      </c>
      <c r="E219" s="32" t="s">
        <v>499</v>
      </c>
    </row>
    <row r="220" spans="1:5" s="32" customFormat="1" x14ac:dyDescent="0.3">
      <c r="B220" s="32">
        <f>B219/(2*PI())</f>
        <v>1145915.5902616465</v>
      </c>
      <c r="C220" s="32" t="s">
        <v>67</v>
      </c>
    </row>
    <row r="221" spans="1:5" s="32" customFormat="1" x14ac:dyDescent="0.3"/>
    <row r="222" spans="1:5" s="32" customFormat="1" x14ac:dyDescent="0.3">
      <c r="A222" s="32" t="s">
        <v>480</v>
      </c>
      <c r="B222" s="32">
        <f>2*Fsw/(2*PI()*Dc_VIN_min*5)</f>
        <v>229183.11805232929</v>
      </c>
      <c r="C222" s="32" t="s">
        <v>67</v>
      </c>
      <c r="E222" s="32" t="s">
        <v>482</v>
      </c>
    </row>
    <row r="223" spans="1:5" s="32" customFormat="1" x14ac:dyDescent="0.3">
      <c r="B223" s="32">
        <f>20*LOG(Gcomp*B214*(B215/(2*PI())))</f>
        <v>88.091611073986655</v>
      </c>
      <c r="E223" s="32" t="s">
        <v>481</v>
      </c>
    </row>
    <row r="224" spans="1:5" s="32" customFormat="1" x14ac:dyDescent="0.3">
      <c r="A224" s="32" t="s">
        <v>254</v>
      </c>
      <c r="B224" s="3">
        <f>fcross</f>
        <v>2728</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537.32100282555689</v>
      </c>
      <c r="C227" s="32" t="s">
        <v>490</v>
      </c>
      <c r="E227" s="32" t="s">
        <v>260</v>
      </c>
    </row>
    <row r="228" spans="1:5" s="32" customFormat="1" x14ac:dyDescent="0.3">
      <c r="A228" s="32" t="s">
        <v>491</v>
      </c>
      <c r="B228" s="32">
        <f>1/(2*PI()*SQRT(fcross*(B215/(2*PI())))*B227)</f>
        <v>1.8351790425648431E-7</v>
      </c>
      <c r="C228" s="32" t="s">
        <v>158</v>
      </c>
      <c r="E228" s="32" t="s">
        <v>487</v>
      </c>
    </row>
    <row r="229" spans="1:5" s="32" customFormat="1" x14ac:dyDescent="0.3">
      <c r="A229" s="32" t="s">
        <v>492</v>
      </c>
      <c r="B229" s="32">
        <f>B228/((2*PI()*B228*B227*(B219/(2*PI())))-1)</f>
        <v>2.588485995499437E-10</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28580.012227500847</v>
      </c>
      <c r="C232" s="32" t="s">
        <v>67</v>
      </c>
      <c r="E232" s="32" t="s">
        <v>484</v>
      </c>
    </row>
    <row r="233" spans="1:5" s="32" customFormat="1" x14ac:dyDescent="0.3">
      <c r="A233" s="32" t="s">
        <v>254</v>
      </c>
      <c r="B233" s="3">
        <f>'Design Converter'!H68*1000</f>
        <v>2728</v>
      </c>
      <c r="C233" s="32" t="s">
        <v>67</v>
      </c>
      <c r="E233" s="32" t="s">
        <v>255</v>
      </c>
    </row>
    <row r="234" spans="1:5" s="32" customFormat="1" x14ac:dyDescent="0.3"/>
    <row r="235" spans="1:5" s="32" customFormat="1" x14ac:dyDescent="0.3">
      <c r="A235" s="32" t="s">
        <v>259</v>
      </c>
      <c r="B235" s="32">
        <f>IF(B52=0,RCOMP_CALC_DCM,Rcomp_calc_CCM)</f>
        <v>3590.6454076470491</v>
      </c>
    </row>
    <row r="236" spans="1:5" s="32" customFormat="1" x14ac:dyDescent="0.3">
      <c r="A236" t="s">
        <v>176</v>
      </c>
      <c r="B236" s="3">
        <f>'Design Converter'!H71*1000</f>
        <v>2793</v>
      </c>
      <c r="C236" s="2" t="s">
        <v>36</v>
      </c>
      <c r="D236"/>
      <c r="E236" t="s">
        <v>183</v>
      </c>
    </row>
    <row r="237" spans="1:5" s="32" customFormat="1" x14ac:dyDescent="0.3">
      <c r="A237" s="32" t="s">
        <v>262</v>
      </c>
      <c r="B237" s="32">
        <f>IF(B52=0,CCOMP_CALC_DCM,CCOMP_calc_CCM)</f>
        <v>5.3935238187692869E-8</v>
      </c>
    </row>
    <row r="238" spans="1:5" s="32" customFormat="1" x14ac:dyDescent="0.3">
      <c r="A238" t="s">
        <v>181</v>
      </c>
      <c r="B238" s="3">
        <f>'Design Converter'!H72*(10^-9)</f>
        <v>5.7000000000000001E-8</v>
      </c>
      <c r="C238" t="s">
        <v>158</v>
      </c>
      <c r="D238"/>
      <c r="E238" t="s">
        <v>184</v>
      </c>
    </row>
    <row r="239" spans="1:5" s="32" customFormat="1" x14ac:dyDescent="0.3">
      <c r="A239" s="32" t="s">
        <v>496</v>
      </c>
      <c r="B239" s="32">
        <f>IF(B52=0,CHF_CALC_DCM,CHF_CALC_CCM)</f>
        <v>2.5848417056815437E-10</v>
      </c>
    </row>
    <row r="240" spans="1:5" s="32" customFormat="1" x14ac:dyDescent="0.3">
      <c r="A240" t="s">
        <v>182</v>
      </c>
      <c r="B240" s="3">
        <f>'Design Converter'!H73*(10^-12)</f>
        <v>4.1000000000000003E-9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0.7</v>
      </c>
      <c r="C245" t="s">
        <v>10</v>
      </c>
      <c r="E245" t="s">
        <v>322</v>
      </c>
    </row>
    <row r="246" spans="1:5" x14ac:dyDescent="0.3">
      <c r="A246" t="s">
        <v>352</v>
      </c>
      <c r="B246">
        <f>'Design Converter'!H89*(10^-9)</f>
        <v>1E-8</v>
      </c>
      <c r="C246" t="s">
        <v>350</v>
      </c>
      <c r="E246" t="s">
        <v>351</v>
      </c>
    </row>
    <row r="248" spans="1:5" s="32" customFormat="1" x14ac:dyDescent="0.3"/>
    <row r="249" spans="1:5" x14ac:dyDescent="0.3">
      <c r="A249" s="44" t="s">
        <v>342</v>
      </c>
    </row>
    <row r="250" spans="1:5" ht="15.6" x14ac:dyDescent="0.35">
      <c r="A250" t="s">
        <v>353</v>
      </c>
      <c r="B250" s="3">
        <f>'Design Converter'!H78*(10^-3)</f>
        <v>4.5000000000000005E-3</v>
      </c>
      <c r="C250" s="2" t="s">
        <v>36</v>
      </c>
      <c r="E250" s="102" t="s">
        <v>328</v>
      </c>
    </row>
    <row r="251" spans="1:5" ht="15.6" x14ac:dyDescent="0.35">
      <c r="A251" t="s">
        <v>343</v>
      </c>
      <c r="B251" s="3">
        <f>'Design Converter'!H79*(10^-9)</f>
        <v>1.7E-8</v>
      </c>
      <c r="C251" t="s">
        <v>158</v>
      </c>
      <c r="E251" s="102" t="s">
        <v>329</v>
      </c>
    </row>
    <row r="252" spans="1:5" ht="15.6" x14ac:dyDescent="0.35">
      <c r="A252" t="s">
        <v>345</v>
      </c>
      <c r="B252" s="3">
        <f>'Design Converter'!H80*(10^-9)</f>
        <v>2.7000000000000002E-9</v>
      </c>
      <c r="C252" t="s">
        <v>158</v>
      </c>
      <c r="E252" s="102" t="s">
        <v>330</v>
      </c>
    </row>
    <row r="253" spans="1:5" ht="15.6" x14ac:dyDescent="0.35">
      <c r="A253" t="s">
        <v>344</v>
      </c>
      <c r="B253" s="3">
        <f>'Design Converter'!H81*(10^-9)</f>
        <v>3.6000000000000004E-9</v>
      </c>
      <c r="C253" t="s">
        <v>158</v>
      </c>
      <c r="E253" s="102" t="s">
        <v>331</v>
      </c>
    </row>
    <row r="254" spans="1:5" ht="15.6" x14ac:dyDescent="0.35">
      <c r="A254" t="s">
        <v>346</v>
      </c>
      <c r="B254" s="3">
        <f>'Design Converter'!H82</f>
        <v>1.5</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1.6</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1.645</v>
      </c>
      <c r="C261" s="2" t="s">
        <v>10</v>
      </c>
      <c r="E261" s="102" t="s">
        <v>357</v>
      </c>
    </row>
    <row r="262" spans="1:8" x14ac:dyDescent="0.3">
      <c r="A262" t="s">
        <v>365</v>
      </c>
      <c r="B262" s="1">
        <f>(Qgd+(Qgs/2))*((Rgate+B255)/(Vcc-B261))</f>
        <v>2.6444662095984331E-9</v>
      </c>
      <c r="C262" s="2" t="s">
        <v>52</v>
      </c>
      <c r="E262" s="102" t="s">
        <v>358</v>
      </c>
    </row>
    <row r="263" spans="1:8" ht="15" thickBot="1" x14ac:dyDescent="0.35">
      <c r="A263" t="s">
        <v>366</v>
      </c>
      <c r="B263" s="38">
        <f>(Qgd+(Qgs/2))*((B255+Rgate)/B261)</f>
        <v>8.206686930091186E-9</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77734375" style="32"/>
    <col min="21" max="21" width="8.77734375" style="32"/>
    <col min="24" max="24" width="8.77734375" style="32"/>
    <col min="25" max="25" width="12" bestFit="1" customWidth="1"/>
    <col min="28" max="28" width="8.77734375" style="32"/>
    <col min="30" max="30" width="8.77734375" style="32"/>
    <col min="35" max="35" width="8.77734375" style="32"/>
    <col min="39" max="39" width="11" bestFit="1" customWidth="1"/>
    <col min="42" max="43" width="8.777343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10</v>
      </c>
      <c r="S7" s="96">
        <f t="shared" ref="S7:S38" si="1">Q7*$O$12</f>
        <v>0</v>
      </c>
      <c r="T7" s="96">
        <f t="shared" ref="T7:T70" si="2">VIN_var</f>
        <v>13</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0.47399999999999998</v>
      </c>
      <c r="AN7" s="98">
        <f>AL7+AM7</f>
        <v>0.47399999999999998</v>
      </c>
      <c r="AO7" s="97">
        <f t="shared" ref="AO7:AO38" si="15">(AF7^2)*R_cs</f>
        <v>0</v>
      </c>
      <c r="AP7" s="96">
        <f t="shared" ref="AP7:AP70" si="16">Qg_tot*Vcc*Fsw</f>
        <v>0.22950000000000001</v>
      </c>
      <c r="AQ7" s="98">
        <f t="shared" ref="AQ7" si="17">IQ*T7</f>
        <v>5.8500000000000002E-3</v>
      </c>
      <c r="AR7" s="97">
        <f>AO7+AN7+AI7+AP7+AQ7</f>
        <v>0.70935000000000004</v>
      </c>
      <c r="AS7" s="96">
        <f>R7*S7</f>
        <v>0</v>
      </c>
      <c r="AT7" s="98">
        <f>(AS7/(AS7+AR7))*100</f>
        <v>0</v>
      </c>
    </row>
    <row r="8" spans="1:46" x14ac:dyDescent="0.3">
      <c r="M8">
        <f>Fsw</f>
        <v>2000000</v>
      </c>
      <c r="Q8">
        <v>1</v>
      </c>
      <c r="R8" s="97">
        <f t="shared" si="0"/>
        <v>10</v>
      </c>
      <c r="S8" s="96">
        <f t="shared" si="1"/>
        <v>6.6666666666666671E-3</v>
      </c>
      <c r="T8" s="96">
        <f t="shared" si="2"/>
        <v>13</v>
      </c>
      <c r="U8" s="98">
        <f t="shared" si="3"/>
        <v>5.1282051282051282E-3</v>
      </c>
      <c r="V8" s="97">
        <f t="shared" si="4"/>
        <v>1</v>
      </c>
      <c r="W8" s="96">
        <f t="shared" si="5"/>
        <v>7.2160242458821994E-2</v>
      </c>
      <c r="X8" s="98">
        <f t="shared" si="6"/>
        <v>0.10159293058108398</v>
      </c>
      <c r="Y8" s="97">
        <f t="shared" ref="Y8:Y71" si="18">(T8*W8)/(Lm*Fsw)</f>
        <v>0.1421338109037403</v>
      </c>
      <c r="Z8" s="96">
        <f t="shared" si="8"/>
        <v>0.1539286826986121</v>
      </c>
      <c r="AA8" s="96">
        <f t="shared" ref="AA8:AA71" si="19">CHOOSE(V8,Z8*SQRT((W8+X8)/3),SQRT((U8^2)+((Y8^2)/12)))</f>
        <v>3.7044633081678213E-2</v>
      </c>
      <c r="AB8" s="96">
        <v>0</v>
      </c>
      <c r="AC8" s="96">
        <f t="shared" ref="AC8:AC71" si="20">(AA8^2)*Rdcr</f>
        <v>1.372304840156168E-5</v>
      </c>
      <c r="AD8" s="98">
        <f t="shared" ref="AD8:AD71" si="21">AB8+AC8</f>
        <v>1.372304840156168E-5</v>
      </c>
      <c r="AE8" s="97">
        <f t="shared" ref="AE8:AE71" si="22">U8*S8*W8</f>
        <v>2.4670168361990425E-6</v>
      </c>
      <c r="AF8" s="96">
        <f t="shared" ref="AF8:AF71" si="23">AA8</f>
        <v>3.7044633081678213E-2</v>
      </c>
      <c r="AG8" s="96">
        <f t="shared" si="10"/>
        <v>6.175371780702756E-6</v>
      </c>
      <c r="AH8" s="96">
        <f t="shared" si="11"/>
        <v>2.9437230825106716E-3</v>
      </c>
      <c r="AI8" s="98">
        <f t="shared" ref="AI8:AI71" si="24">AG8+AH8</f>
        <v>2.9498984542913743E-3</v>
      </c>
      <c r="AJ8" s="97">
        <f t="shared" ref="AJ8:AJ71" si="25">S8</f>
        <v>6.6666666666666671E-3</v>
      </c>
      <c r="AK8" s="96">
        <f t="shared" ref="AK8:AK71" si="26">CHOOSE(V8,Z8*SQRT(X8/3),SQRT(X8*((Z8^2)+((Y8^2)/3)-(Y8*Z8))))</f>
        <v>2.8326353428181201E-2</v>
      </c>
      <c r="AL8" s="96">
        <f t="shared" ref="AL8:AL71" si="27">S8*Vd_rect</f>
        <v>4.6666666666666671E-3</v>
      </c>
      <c r="AM8" s="96">
        <f t="shared" si="14"/>
        <v>0.47399999999999998</v>
      </c>
      <c r="AN8" s="98">
        <f t="shared" ref="AN8:AN71" si="28">AL8+AM8</f>
        <v>0.47866666666666663</v>
      </c>
      <c r="AO8" s="97">
        <f t="shared" si="15"/>
        <v>3.7052230684216531E-5</v>
      </c>
      <c r="AP8" s="96">
        <f t="shared" si="16"/>
        <v>0.22950000000000001</v>
      </c>
      <c r="AQ8" s="98">
        <f t="shared" ref="AQ8:AQ71" si="29">IQ*T8</f>
        <v>5.8500000000000002E-3</v>
      </c>
      <c r="AR8" s="97">
        <f t="shared" ref="AR8:AR71" si="30">AO8+AN8+AI8+AP8+AQ8</f>
        <v>0.71700361735164231</v>
      </c>
      <c r="AS8" s="96">
        <f t="shared" ref="AS8:AS71" si="31">R8*S8</f>
        <v>6.6666666666666666E-2</v>
      </c>
      <c r="AT8" s="98">
        <f t="shared" ref="AT8:AT71" si="32">(AS8/(AS8+AR8))*100</f>
        <v>8.5069790224569903</v>
      </c>
    </row>
    <row r="9" spans="1:46" x14ac:dyDescent="0.3">
      <c r="N9" s="96" t="s">
        <v>195</v>
      </c>
      <c r="O9" s="96">
        <f>VIN_var</f>
        <v>13</v>
      </c>
      <c r="P9" t="s">
        <v>10</v>
      </c>
      <c r="Q9">
        <v>2</v>
      </c>
      <c r="R9" s="97">
        <f t="shared" si="0"/>
        <v>10</v>
      </c>
      <c r="S9" s="96">
        <f t="shared" si="1"/>
        <v>1.3333333333333334E-2</v>
      </c>
      <c r="T9" s="96">
        <f t="shared" si="2"/>
        <v>13</v>
      </c>
      <c r="U9" s="98">
        <f t="shared" si="3"/>
        <v>1.0256410256410256E-2</v>
      </c>
      <c r="V9" s="97">
        <f t="shared" si="4"/>
        <v>1</v>
      </c>
      <c r="W9" s="96">
        <f t="shared" si="5"/>
        <v>0.10204999354939691</v>
      </c>
      <c r="X9" s="98">
        <f t="shared" si="6"/>
        <v>0.14823422238344677</v>
      </c>
      <c r="Y9" s="97">
        <f t="shared" si="18"/>
        <v>0.20100756305184242</v>
      </c>
      <c r="Z9" s="96">
        <f t="shared" si="8"/>
        <v>0.224597306641586</v>
      </c>
      <c r="AA9" s="96">
        <f t="shared" si="19"/>
        <v>6.4872501909545729E-2</v>
      </c>
      <c r="AB9" s="96">
        <v>0</v>
      </c>
      <c r="AC9" s="96">
        <f t="shared" si="20"/>
        <v>4.2084415040040143E-5</v>
      </c>
      <c r="AD9" s="98">
        <f t="shared" si="21"/>
        <v>4.2084415040040143E-5</v>
      </c>
      <c r="AE9" s="97">
        <f t="shared" si="22"/>
        <v>1.3955554673421801E-5</v>
      </c>
      <c r="AF9" s="96">
        <f t="shared" si="23"/>
        <v>6.4872501909545729E-2</v>
      </c>
      <c r="AG9" s="96">
        <f t="shared" si="10"/>
        <v>1.8937986768018067E-5</v>
      </c>
      <c r="AH9" s="96">
        <f t="shared" si="11"/>
        <v>5.8874461650213431E-3</v>
      </c>
      <c r="AI9" s="98">
        <f t="shared" si="24"/>
        <v>5.9063841517893612E-3</v>
      </c>
      <c r="AJ9" s="97">
        <f t="shared" si="25"/>
        <v>1.3333333333333334E-2</v>
      </c>
      <c r="AK9" s="96">
        <f t="shared" si="26"/>
        <v>4.9925009512706953E-2</v>
      </c>
      <c r="AL9" s="96">
        <f t="shared" si="27"/>
        <v>9.3333333333333341E-3</v>
      </c>
      <c r="AM9" s="96">
        <f t="shared" si="14"/>
        <v>0.47399999999999998</v>
      </c>
      <c r="AN9" s="98">
        <f t="shared" si="28"/>
        <v>0.48333333333333334</v>
      </c>
      <c r="AO9" s="97">
        <f t="shared" si="15"/>
        <v>1.1362792060810838E-4</v>
      </c>
      <c r="AP9" s="96">
        <f t="shared" si="16"/>
        <v>0.22950000000000001</v>
      </c>
      <c r="AQ9" s="98">
        <f t="shared" si="29"/>
        <v>5.8500000000000002E-3</v>
      </c>
      <c r="AR9" s="97">
        <f t="shared" si="30"/>
        <v>0.72470334540573078</v>
      </c>
      <c r="AS9" s="96">
        <f t="shared" si="31"/>
        <v>0.13333333333333333</v>
      </c>
      <c r="AT9" s="98">
        <f t="shared" si="32"/>
        <v>15.53935124653116</v>
      </c>
    </row>
    <row r="10" spans="1:46" x14ac:dyDescent="0.3">
      <c r="N10" s="96"/>
      <c r="O10" s="96"/>
      <c r="Q10">
        <v>3</v>
      </c>
      <c r="R10" s="97">
        <f t="shared" si="0"/>
        <v>10</v>
      </c>
      <c r="S10" s="96">
        <f t="shared" si="1"/>
        <v>0.02</v>
      </c>
      <c r="T10" s="96">
        <f t="shared" si="2"/>
        <v>13</v>
      </c>
      <c r="U10" s="98">
        <f t="shared" si="3"/>
        <v>1.5384615384615385E-2</v>
      </c>
      <c r="V10" s="97">
        <f t="shared" si="4"/>
        <v>1</v>
      </c>
      <c r="W10" s="96">
        <f t="shared" si="5"/>
        <v>0.12498520622516862</v>
      </c>
      <c r="X10" s="98">
        <f t="shared" si="6"/>
        <v>0.18583461424656536</v>
      </c>
      <c r="Y10" s="97">
        <f t="shared" si="18"/>
        <v>0.24618298195866548</v>
      </c>
      <c r="Z10" s="96">
        <f t="shared" si="8"/>
        <v>0.28156759734328085</v>
      </c>
      <c r="AA10" s="96">
        <f t="shared" si="19"/>
        <v>9.0630922433638419E-2</v>
      </c>
      <c r="AB10" s="96">
        <v>0</v>
      </c>
      <c r="AC10" s="96">
        <f t="shared" si="20"/>
        <v>8.2139641011721846E-5</v>
      </c>
      <c r="AD10" s="98">
        <f t="shared" si="21"/>
        <v>8.2139641011721846E-5</v>
      </c>
      <c r="AE10" s="97">
        <f t="shared" si="22"/>
        <v>3.8456986530821118E-5</v>
      </c>
      <c r="AF10" s="96">
        <f t="shared" si="23"/>
        <v>9.0630922433638419E-2</v>
      </c>
      <c r="AG10" s="96">
        <f t="shared" si="10"/>
        <v>3.6962838455274831E-5</v>
      </c>
      <c r="AH10" s="96">
        <f t="shared" si="11"/>
        <v>8.8311692475320155E-3</v>
      </c>
      <c r="AI10" s="98">
        <f t="shared" si="24"/>
        <v>8.868132085987291E-3</v>
      </c>
      <c r="AJ10" s="97">
        <f t="shared" si="25"/>
        <v>0.02</v>
      </c>
      <c r="AK10" s="96">
        <f t="shared" si="26"/>
        <v>7.0078589631904165E-2</v>
      </c>
      <c r="AL10" s="96">
        <f t="shared" si="27"/>
        <v>1.3999999999999999E-2</v>
      </c>
      <c r="AM10" s="96">
        <f t="shared" si="14"/>
        <v>0.47399999999999998</v>
      </c>
      <c r="AN10" s="98">
        <f t="shared" si="28"/>
        <v>0.48799999999999999</v>
      </c>
      <c r="AO10" s="97">
        <f t="shared" si="15"/>
        <v>2.2177703073164896E-4</v>
      </c>
      <c r="AP10" s="96">
        <f t="shared" si="16"/>
        <v>0.22950000000000001</v>
      </c>
      <c r="AQ10" s="98">
        <f t="shared" si="29"/>
        <v>5.8500000000000002E-3</v>
      </c>
      <c r="AR10" s="97">
        <f t="shared" si="30"/>
        <v>0.73243990911671897</v>
      </c>
      <c r="AS10" s="96">
        <f t="shared" si="31"/>
        <v>0.2</v>
      </c>
      <c r="AT10" s="98">
        <f t="shared" si="32"/>
        <v>21.449103373262503</v>
      </c>
    </row>
    <row r="11" spans="1:46" x14ac:dyDescent="0.3">
      <c r="N11" s="96" t="s">
        <v>270</v>
      </c>
      <c r="O11" s="96">
        <v>150</v>
      </c>
      <c r="Q11">
        <v>4</v>
      </c>
      <c r="R11" s="97">
        <f t="shared" si="0"/>
        <v>10</v>
      </c>
      <c r="S11" s="96">
        <f t="shared" si="1"/>
        <v>2.6666666666666668E-2</v>
      </c>
      <c r="T11" s="96">
        <f t="shared" si="2"/>
        <v>13</v>
      </c>
      <c r="U11" s="98">
        <f t="shared" si="3"/>
        <v>2.0512820512820513E-2</v>
      </c>
      <c r="V11" s="97">
        <f t="shared" si="4"/>
        <v>1</v>
      </c>
      <c r="W11" s="96">
        <f t="shared" si="5"/>
        <v>0.14432048491764399</v>
      </c>
      <c r="X11" s="98">
        <f t="shared" si="6"/>
        <v>0.21875509193139869</v>
      </c>
      <c r="Y11" s="97">
        <f t="shared" si="18"/>
        <v>0.28426762180748061</v>
      </c>
      <c r="Z11" s="96">
        <f t="shared" si="8"/>
        <v>0.33144710898696778</v>
      </c>
      <c r="AA11" s="96">
        <f t="shared" si="19"/>
        <v>0.1153060582366614</v>
      </c>
      <c r="AB11" s="96">
        <v>0</v>
      </c>
      <c r="AC11" s="96">
        <f t="shared" si="20"/>
        <v>1.3295487066076353E-4</v>
      </c>
      <c r="AD11" s="98">
        <f t="shared" si="21"/>
        <v>1.3295487066076353E-4</v>
      </c>
      <c r="AE11" s="97">
        <f t="shared" si="22"/>
        <v>7.894453875836936E-5</v>
      </c>
      <c r="AF11" s="96">
        <f t="shared" si="23"/>
        <v>0.1153060582366614</v>
      </c>
      <c r="AG11" s="96">
        <f t="shared" si="10"/>
        <v>5.9829691797343585E-5</v>
      </c>
      <c r="AH11" s="96">
        <f t="shared" si="11"/>
        <v>1.1774892330042686E-2</v>
      </c>
      <c r="AI11" s="98">
        <f t="shared" si="24"/>
        <v>1.183472202184003E-2</v>
      </c>
      <c r="AJ11" s="97">
        <f t="shared" si="25"/>
        <v>2.6666666666666668E-2</v>
      </c>
      <c r="AK11" s="96">
        <f t="shared" si="26"/>
        <v>8.950199035955464E-2</v>
      </c>
      <c r="AL11" s="96">
        <f t="shared" si="27"/>
        <v>1.8666666666666668E-2</v>
      </c>
      <c r="AM11" s="96">
        <f t="shared" si="14"/>
        <v>0.47399999999999998</v>
      </c>
      <c r="AN11" s="98">
        <f t="shared" si="28"/>
        <v>0.49266666666666664</v>
      </c>
      <c r="AO11" s="97">
        <f t="shared" si="15"/>
        <v>3.5897815078406148E-4</v>
      </c>
      <c r="AP11" s="96">
        <f t="shared" si="16"/>
        <v>0.22950000000000001</v>
      </c>
      <c r="AQ11" s="98">
        <f t="shared" si="29"/>
        <v>5.8500000000000002E-3</v>
      </c>
      <c r="AR11" s="97">
        <f t="shared" si="30"/>
        <v>0.74021036683929076</v>
      </c>
      <c r="AS11" s="96">
        <f t="shared" si="31"/>
        <v>0.26666666666666666</v>
      </c>
      <c r="AT11" s="98">
        <f t="shared" si="32"/>
        <v>26.484531655085057</v>
      </c>
    </row>
    <row r="12" spans="1:46" x14ac:dyDescent="0.3">
      <c r="N12" s="96" t="s">
        <v>271</v>
      </c>
      <c r="O12" s="96">
        <f>IOUT/(O11)</f>
        <v>6.6666666666666671E-3</v>
      </c>
      <c r="Q12">
        <v>5</v>
      </c>
      <c r="R12" s="97">
        <f t="shared" si="0"/>
        <v>10</v>
      </c>
      <c r="S12" s="96">
        <f t="shared" si="1"/>
        <v>3.3333333333333333E-2</v>
      </c>
      <c r="T12" s="96">
        <f t="shared" si="2"/>
        <v>13</v>
      </c>
      <c r="U12" s="98">
        <f t="shared" si="3"/>
        <v>2.564102564102564E-2</v>
      </c>
      <c r="V12" s="97">
        <f t="shared" si="4"/>
        <v>1</v>
      </c>
      <c r="W12" s="96">
        <f t="shared" si="5"/>
        <v>0.16135520741079251</v>
      </c>
      <c r="X12" s="98">
        <f t="shared" si="6"/>
        <v>0.24868484655710721</v>
      </c>
      <c r="Y12" s="97">
        <f t="shared" si="18"/>
        <v>0.31782086308186408</v>
      </c>
      <c r="Z12" s="96">
        <f t="shared" si="8"/>
        <v>0.37679522205622307</v>
      </c>
      <c r="AA12" s="96">
        <f t="shared" si="19"/>
        <v>0.13930217608619885</v>
      </c>
      <c r="AB12" s="96">
        <v>0</v>
      </c>
      <c r="AC12" s="96">
        <f t="shared" si="20"/>
        <v>1.9405096262350353E-4</v>
      </c>
      <c r="AD12" s="98">
        <f t="shared" si="21"/>
        <v>1.9405096262350353E-4</v>
      </c>
      <c r="AE12" s="97">
        <f t="shared" si="22"/>
        <v>1.3791043368443804E-4</v>
      </c>
      <c r="AF12" s="96">
        <f t="shared" si="23"/>
        <v>0.13930217608619885</v>
      </c>
      <c r="AG12" s="96">
        <f t="shared" si="10"/>
        <v>8.7322933180576597E-5</v>
      </c>
      <c r="AH12" s="96">
        <f t="shared" si="11"/>
        <v>1.4718615412553357E-2</v>
      </c>
      <c r="AI12" s="98">
        <f t="shared" si="24"/>
        <v>1.4805938345733934E-2</v>
      </c>
      <c r="AJ12" s="97">
        <f t="shared" si="25"/>
        <v>3.3333333333333333E-2</v>
      </c>
      <c r="AK12" s="96">
        <f t="shared" si="26"/>
        <v>0.10848493198802013</v>
      </c>
      <c r="AL12" s="96">
        <f t="shared" si="27"/>
        <v>2.3333333333333331E-2</v>
      </c>
      <c r="AM12" s="96">
        <f t="shared" si="14"/>
        <v>0.47399999999999998</v>
      </c>
      <c r="AN12" s="98">
        <f t="shared" si="28"/>
        <v>0.49733333333333329</v>
      </c>
      <c r="AO12" s="97">
        <f t="shared" si="15"/>
        <v>5.2393759908345953E-4</v>
      </c>
      <c r="AP12" s="96">
        <f t="shared" si="16"/>
        <v>0.22950000000000001</v>
      </c>
      <c r="AQ12" s="98">
        <f t="shared" si="29"/>
        <v>5.8500000000000002E-3</v>
      </c>
      <c r="AR12" s="97">
        <f t="shared" si="30"/>
        <v>0.74801320927815074</v>
      </c>
      <c r="AS12" s="96">
        <f t="shared" si="31"/>
        <v>0.33333333333333331</v>
      </c>
      <c r="AT12" s="98">
        <f t="shared" si="32"/>
        <v>30.825764007930651</v>
      </c>
    </row>
    <row r="13" spans="1:46" x14ac:dyDescent="0.3">
      <c r="Q13">
        <v>6</v>
      </c>
      <c r="R13" s="97">
        <f t="shared" si="0"/>
        <v>10</v>
      </c>
      <c r="S13" s="96">
        <f t="shared" si="1"/>
        <v>0.04</v>
      </c>
      <c r="T13" s="96">
        <f t="shared" si="2"/>
        <v>13</v>
      </c>
      <c r="U13" s="98">
        <f t="shared" si="3"/>
        <v>3.0769230769230771E-2</v>
      </c>
      <c r="V13" s="97">
        <f t="shared" si="4"/>
        <v>1</v>
      </c>
      <c r="W13" s="96">
        <f t="shared" si="5"/>
        <v>0.17675577373963164</v>
      </c>
      <c r="X13" s="98">
        <f t="shared" si="6"/>
        <v>0.2764901981692135</v>
      </c>
      <c r="Y13" s="97">
        <f t="shared" si="18"/>
        <v>0.3481553119113957</v>
      </c>
      <c r="Z13" s="96">
        <f t="shared" si="8"/>
        <v>0.41892454268062651</v>
      </c>
      <c r="AA13" s="96">
        <f t="shared" si="19"/>
        <v>0.16283289844351484</v>
      </c>
      <c r="AB13" s="96">
        <v>0</v>
      </c>
      <c r="AC13" s="96">
        <f t="shared" si="20"/>
        <v>2.6514552815516017E-4</v>
      </c>
      <c r="AD13" s="98">
        <f t="shared" si="21"/>
        <v>2.6514552815516017E-4</v>
      </c>
      <c r="AE13" s="97">
        <f t="shared" si="22"/>
        <v>2.1754556767954663E-4</v>
      </c>
      <c r="AF13" s="96">
        <f t="shared" si="23"/>
        <v>0.16283289844351484</v>
      </c>
      <c r="AG13" s="96">
        <f t="shared" si="10"/>
        <v>1.1931548766982209E-4</v>
      </c>
      <c r="AH13" s="96">
        <f t="shared" si="11"/>
        <v>1.7662338495064031E-2</v>
      </c>
      <c r="AI13" s="98">
        <f t="shared" si="24"/>
        <v>1.7781653982733854E-2</v>
      </c>
      <c r="AJ13" s="97">
        <f t="shared" si="25"/>
        <v>0.04</v>
      </c>
      <c r="AK13" s="96">
        <f t="shared" si="26"/>
        <v>0.12717889484995604</v>
      </c>
      <c r="AL13" s="96">
        <f t="shared" si="27"/>
        <v>2.7999999999999997E-2</v>
      </c>
      <c r="AM13" s="96">
        <f t="shared" si="14"/>
        <v>0.47399999999999998</v>
      </c>
      <c r="AN13" s="98">
        <f t="shared" si="28"/>
        <v>0.502</v>
      </c>
      <c r="AO13" s="97">
        <f t="shared" si="15"/>
        <v>7.1589292601893242E-4</v>
      </c>
      <c r="AP13" s="96">
        <f t="shared" si="16"/>
        <v>0.22950000000000001</v>
      </c>
      <c r="AQ13" s="98">
        <f t="shared" si="29"/>
        <v>5.8500000000000002E-3</v>
      </c>
      <c r="AR13" s="97">
        <f t="shared" si="30"/>
        <v>0.75584754690875289</v>
      </c>
      <c r="AS13" s="96">
        <f t="shared" si="31"/>
        <v>0.4</v>
      </c>
      <c r="AT13" s="98">
        <f t="shared" si="32"/>
        <v>34.606640042605683</v>
      </c>
    </row>
    <row r="14" spans="1:46" x14ac:dyDescent="0.3">
      <c r="Q14" s="32">
        <v>7</v>
      </c>
      <c r="R14" s="97">
        <f t="shared" si="0"/>
        <v>10</v>
      </c>
      <c r="S14" s="96">
        <f t="shared" si="1"/>
        <v>4.6666666666666669E-2</v>
      </c>
      <c r="T14" s="96">
        <f t="shared" si="2"/>
        <v>13</v>
      </c>
      <c r="U14" s="98">
        <f t="shared" si="3"/>
        <v>3.5897435897435895E-2</v>
      </c>
      <c r="V14" s="97">
        <f t="shared" si="4"/>
        <v>1</v>
      </c>
      <c r="W14" s="96">
        <f t="shared" si="5"/>
        <v>0.190918056092167</v>
      </c>
      <c r="X14" s="98">
        <f t="shared" si="6"/>
        <v>0.30268578061212481</v>
      </c>
      <c r="Y14" s="97">
        <f t="shared" si="18"/>
        <v>0.37605071654517747</v>
      </c>
      <c r="Z14" s="96">
        <f t="shared" si="8"/>
        <v>0.45861481910928004</v>
      </c>
      <c r="AA14" s="96">
        <f t="shared" si="19"/>
        <v>0.18602731590027219</v>
      </c>
      <c r="AB14" s="96">
        <v>0</v>
      </c>
      <c r="AC14" s="96">
        <f t="shared" si="20"/>
        <v>3.4606162261059664E-4</v>
      </c>
      <c r="AD14" s="98">
        <f t="shared" si="21"/>
        <v>3.4606162261059664E-4</v>
      </c>
      <c r="AE14" s="97">
        <f t="shared" si="22"/>
        <v>3.1982853841080967E-4</v>
      </c>
      <c r="AF14" s="96">
        <f t="shared" si="23"/>
        <v>0.18602731590027219</v>
      </c>
      <c r="AG14" s="96">
        <f t="shared" si="10"/>
        <v>1.557277301747685E-4</v>
      </c>
      <c r="AH14" s="96">
        <f t="shared" si="11"/>
        <v>2.0606061577574698E-2</v>
      </c>
      <c r="AI14" s="98">
        <f t="shared" si="24"/>
        <v>2.0761789307749468E-2</v>
      </c>
      <c r="AJ14" s="97">
        <f t="shared" si="25"/>
        <v>4.6666666666666669E-2</v>
      </c>
      <c r="AK14" s="96">
        <f t="shared" si="26"/>
        <v>0.14567447654979707</v>
      </c>
      <c r="AL14" s="96">
        <f t="shared" si="27"/>
        <v>3.2666666666666663E-2</v>
      </c>
      <c r="AM14" s="96">
        <f t="shared" si="14"/>
        <v>0.47399999999999998</v>
      </c>
      <c r="AN14" s="98">
        <f t="shared" si="28"/>
        <v>0.5066666666666666</v>
      </c>
      <c r="AO14" s="97">
        <f t="shared" si="15"/>
        <v>9.3436638104861091E-4</v>
      </c>
      <c r="AP14" s="96">
        <f t="shared" si="16"/>
        <v>0.22950000000000001</v>
      </c>
      <c r="AQ14" s="98">
        <f t="shared" si="29"/>
        <v>5.8500000000000002E-3</v>
      </c>
      <c r="AR14" s="97">
        <f t="shared" si="30"/>
        <v>0.76371282235546467</v>
      </c>
      <c r="AS14" s="96">
        <f t="shared" si="31"/>
        <v>0.46666666666666667</v>
      </c>
      <c r="AT14" s="98">
        <f t="shared" si="32"/>
        <v>37.928677357711749</v>
      </c>
    </row>
    <row r="15" spans="1:46" x14ac:dyDescent="0.3">
      <c r="O15">
        <f>0.205*2.5/(Lm*Fsw)</f>
        <v>7.7651515151515152E-2</v>
      </c>
      <c r="Q15" s="32">
        <v>8</v>
      </c>
      <c r="R15" s="97">
        <f t="shared" si="0"/>
        <v>10</v>
      </c>
      <c r="S15" s="96">
        <f t="shared" si="1"/>
        <v>5.3333333333333337E-2</v>
      </c>
      <c r="T15" s="96">
        <f t="shared" si="2"/>
        <v>13</v>
      </c>
      <c r="U15" s="98">
        <f t="shared" si="3"/>
        <v>4.1025641025641026E-2</v>
      </c>
      <c r="V15" s="97">
        <f t="shared" si="4"/>
        <v>1</v>
      </c>
      <c r="W15" s="96">
        <f t="shared" si="5"/>
        <v>0.20409998709879382</v>
      </c>
      <c r="X15" s="98">
        <f t="shared" si="6"/>
        <v>0.32760690630535499</v>
      </c>
      <c r="Y15" s="97">
        <f t="shared" si="18"/>
        <v>0.40201512610368484</v>
      </c>
      <c r="Z15" s="96">
        <f t="shared" si="8"/>
        <v>0.49637410046265917</v>
      </c>
      <c r="AA15" s="96">
        <f t="shared" si="19"/>
        <v>0.20897033122844061</v>
      </c>
      <c r="AB15" s="96">
        <v>0</v>
      </c>
      <c r="AC15" s="96">
        <f t="shared" si="20"/>
        <v>4.3668599333724186E-4</v>
      </c>
      <c r="AD15" s="98">
        <f t="shared" si="21"/>
        <v>4.3668599333724186E-4</v>
      </c>
      <c r="AE15" s="97">
        <f t="shared" si="22"/>
        <v>4.4657774954949764E-4</v>
      </c>
      <c r="AF15" s="96">
        <f t="shared" si="23"/>
        <v>0.20897033122844061</v>
      </c>
      <c r="AG15" s="96">
        <f t="shared" si="10"/>
        <v>1.9650869700175885E-4</v>
      </c>
      <c r="AH15" s="96">
        <f t="shared" si="11"/>
        <v>2.3549784660085372E-2</v>
      </c>
      <c r="AI15" s="98">
        <f t="shared" si="24"/>
        <v>2.3746293357087132E-2</v>
      </c>
      <c r="AJ15" s="97">
        <f t="shared" si="25"/>
        <v>5.3333333333333337E-2</v>
      </c>
      <c r="AK15" s="96">
        <f t="shared" si="26"/>
        <v>0.16403065154887053</v>
      </c>
      <c r="AL15" s="96">
        <f t="shared" si="27"/>
        <v>3.7333333333333336E-2</v>
      </c>
      <c r="AM15" s="96">
        <f t="shared" si="14"/>
        <v>0.47399999999999998</v>
      </c>
      <c r="AN15" s="98">
        <f t="shared" si="28"/>
        <v>0.51133333333333331</v>
      </c>
      <c r="AO15" s="97">
        <f t="shared" si="15"/>
        <v>1.179052182010553E-3</v>
      </c>
      <c r="AP15" s="96">
        <f t="shared" si="16"/>
        <v>0.22950000000000001</v>
      </c>
      <c r="AQ15" s="98">
        <f t="shared" si="29"/>
        <v>5.8500000000000002E-3</v>
      </c>
      <c r="AR15" s="97">
        <f t="shared" si="30"/>
        <v>0.77160867887243101</v>
      </c>
      <c r="AS15" s="96">
        <f t="shared" si="31"/>
        <v>0.53333333333333333</v>
      </c>
      <c r="AT15" s="98">
        <f t="shared" si="32"/>
        <v>40.870270735772493</v>
      </c>
    </row>
    <row r="16" spans="1:46" x14ac:dyDescent="0.3">
      <c r="Q16" s="32">
        <v>9</v>
      </c>
      <c r="R16" s="97">
        <f t="shared" si="0"/>
        <v>10</v>
      </c>
      <c r="S16" s="96">
        <f t="shared" si="1"/>
        <v>6.0000000000000005E-2</v>
      </c>
      <c r="T16" s="96">
        <f t="shared" si="2"/>
        <v>13</v>
      </c>
      <c r="U16" s="98">
        <f t="shared" si="3"/>
        <v>4.6153846153846163E-2</v>
      </c>
      <c r="V16" s="97">
        <f t="shared" si="4"/>
        <v>1</v>
      </c>
      <c r="W16" s="96">
        <f t="shared" si="5"/>
        <v>0.21648072737646598</v>
      </c>
      <c r="X16" s="98">
        <f t="shared" si="6"/>
        <v>0.35148648405094418</v>
      </c>
      <c r="Y16" s="97">
        <f t="shared" si="18"/>
        <v>0.42640143271122088</v>
      </c>
      <c r="Z16" s="96">
        <f t="shared" si="8"/>
        <v>0.53255527886506704</v>
      </c>
      <c r="AA16" s="96">
        <f t="shared" si="19"/>
        <v>0.23172116267302015</v>
      </c>
      <c r="AB16" s="96">
        <v>0</v>
      </c>
      <c r="AC16" s="96">
        <f t="shared" si="20"/>
        <v>5.3694697230536269E-4</v>
      </c>
      <c r="AD16" s="98">
        <f t="shared" si="21"/>
        <v>5.3694697230536269E-4</v>
      </c>
      <c r="AE16" s="97">
        <f t="shared" si="22"/>
        <v>5.9948509119636749E-4</v>
      </c>
      <c r="AF16" s="96">
        <f t="shared" si="23"/>
        <v>0.23172116267302015</v>
      </c>
      <c r="AG16" s="96">
        <f t="shared" si="10"/>
        <v>2.416261375374132E-4</v>
      </c>
      <c r="AH16" s="96">
        <f t="shared" si="11"/>
        <v>2.649350774259604E-2</v>
      </c>
      <c r="AI16" s="98">
        <f t="shared" si="24"/>
        <v>2.6735133880133453E-2</v>
      </c>
      <c r="AJ16" s="97">
        <f t="shared" si="25"/>
        <v>6.0000000000000005E-2</v>
      </c>
      <c r="AK16" s="96">
        <f t="shared" si="26"/>
        <v>0.18228812644314515</v>
      </c>
      <c r="AL16" s="96">
        <f t="shared" si="27"/>
        <v>4.2000000000000003E-2</v>
      </c>
      <c r="AM16" s="96">
        <f t="shared" si="14"/>
        <v>0.47399999999999998</v>
      </c>
      <c r="AN16" s="98">
        <f t="shared" si="28"/>
        <v>0.51600000000000001</v>
      </c>
      <c r="AO16" s="97">
        <f t="shared" si="15"/>
        <v>1.449756825224479E-3</v>
      </c>
      <c r="AP16" s="96">
        <f t="shared" si="16"/>
        <v>0.22950000000000001</v>
      </c>
      <c r="AQ16" s="98">
        <f t="shared" si="29"/>
        <v>5.8500000000000002E-3</v>
      </c>
      <c r="AR16" s="97">
        <f t="shared" si="30"/>
        <v>0.77953489070535809</v>
      </c>
      <c r="AS16" s="96">
        <f t="shared" si="31"/>
        <v>0.60000000000000009</v>
      </c>
      <c r="AT16" s="98">
        <f t="shared" si="32"/>
        <v>43.492919537049133</v>
      </c>
    </row>
    <row r="17" spans="17:46" x14ac:dyDescent="0.3">
      <c r="Q17" s="32">
        <v>10</v>
      </c>
      <c r="R17" s="97">
        <f t="shared" si="0"/>
        <v>10</v>
      </c>
      <c r="S17" s="96">
        <f t="shared" si="1"/>
        <v>6.6666666666666666E-2</v>
      </c>
      <c r="T17" s="96">
        <f t="shared" si="2"/>
        <v>13</v>
      </c>
      <c r="U17" s="98">
        <f t="shared" si="3"/>
        <v>5.128205128205128E-2</v>
      </c>
      <c r="V17" s="97">
        <f t="shared" si="4"/>
        <v>1</v>
      </c>
      <c r="W17" s="96">
        <f t="shared" si="5"/>
        <v>0.22819072267986654</v>
      </c>
      <c r="X17" s="98">
        <f t="shared" si="6"/>
        <v>0.37449409332998029</v>
      </c>
      <c r="Y17" s="97">
        <f t="shared" si="18"/>
        <v>0.44946657497549469</v>
      </c>
      <c r="Z17" s="96">
        <f t="shared" si="8"/>
        <v>0.56741529292421267</v>
      </c>
      <c r="AA17" s="96">
        <f t="shared" si="19"/>
        <v>0.25432293936180894</v>
      </c>
      <c r="AB17" s="96">
        <v>0</v>
      </c>
      <c r="AC17" s="96">
        <f t="shared" si="20"/>
        <v>6.4680157485630342E-4</v>
      </c>
      <c r="AD17" s="98">
        <f t="shared" si="21"/>
        <v>6.4680157485630342E-4</v>
      </c>
      <c r="AE17" s="97">
        <f t="shared" si="22"/>
        <v>7.8013922283715054E-4</v>
      </c>
      <c r="AF17" s="96">
        <f t="shared" si="23"/>
        <v>0.25432293936180894</v>
      </c>
      <c r="AG17" s="96">
        <f t="shared" si="10"/>
        <v>2.9106070868533659E-4</v>
      </c>
      <c r="AH17" s="96">
        <f t="shared" si="11"/>
        <v>2.9437230825106714E-2</v>
      </c>
      <c r="AI17" s="98">
        <f t="shared" si="24"/>
        <v>2.9728291533792049E-2</v>
      </c>
      <c r="AJ17" s="97">
        <f t="shared" si="25"/>
        <v>6.6666666666666666E-2</v>
      </c>
      <c r="AK17" s="96">
        <f t="shared" si="26"/>
        <v>0.20047623402132767</v>
      </c>
      <c r="AL17" s="96">
        <f t="shared" si="27"/>
        <v>4.6666666666666662E-2</v>
      </c>
      <c r="AM17" s="96">
        <f t="shared" si="14"/>
        <v>0.47399999999999998</v>
      </c>
      <c r="AN17" s="98">
        <f t="shared" si="28"/>
        <v>0.52066666666666661</v>
      </c>
      <c r="AO17" s="97">
        <f t="shared" si="15"/>
        <v>1.7463642521120192E-3</v>
      </c>
      <c r="AP17" s="96">
        <f t="shared" si="16"/>
        <v>0.22950000000000001</v>
      </c>
      <c r="AQ17" s="98">
        <f t="shared" si="29"/>
        <v>5.8500000000000002E-3</v>
      </c>
      <c r="AR17" s="97">
        <f t="shared" si="30"/>
        <v>0.78749132245257081</v>
      </c>
      <c r="AS17" s="96">
        <f t="shared" si="31"/>
        <v>0.66666666666666663</v>
      </c>
      <c r="AT17" s="98">
        <f t="shared" si="32"/>
        <v>45.845545783540139</v>
      </c>
    </row>
    <row r="18" spans="17:46" x14ac:dyDescent="0.3">
      <c r="Q18" s="32">
        <v>11</v>
      </c>
      <c r="R18" s="97">
        <f t="shared" si="0"/>
        <v>10</v>
      </c>
      <c r="S18" s="96">
        <f t="shared" si="1"/>
        <v>7.3333333333333334E-2</v>
      </c>
      <c r="T18" s="96">
        <f t="shared" si="2"/>
        <v>13</v>
      </c>
      <c r="U18" s="98">
        <f t="shared" si="3"/>
        <v>5.6410256410256418E-2</v>
      </c>
      <c r="V18" s="97">
        <f t="shared" si="4"/>
        <v>1</v>
      </c>
      <c r="W18" s="96">
        <f t="shared" si="5"/>
        <v>0.2393284490169853</v>
      </c>
      <c r="X18" s="98">
        <f t="shared" si="6"/>
        <v>0.3967577529528501</v>
      </c>
      <c r="Y18" s="97">
        <f t="shared" si="18"/>
        <v>0.47140452079103168</v>
      </c>
      <c r="Z18" s="96">
        <f t="shared" si="8"/>
        <v>0.60114811053462147</v>
      </c>
      <c r="AA18" s="96">
        <f t="shared" si="19"/>
        <v>0.27680813324661058</v>
      </c>
      <c r="AB18" s="96">
        <v>0</v>
      </c>
      <c r="AC18" s="96">
        <f t="shared" si="20"/>
        <v>7.6622742631473316E-4</v>
      </c>
      <c r="AD18" s="98">
        <f t="shared" si="21"/>
        <v>7.6622742631473316E-4</v>
      </c>
      <c r="AE18" s="97">
        <f t="shared" si="22"/>
        <v>9.9004247285658874E-4</v>
      </c>
      <c r="AF18" s="96">
        <f t="shared" si="23"/>
        <v>0.27680813324661058</v>
      </c>
      <c r="AG18" s="96">
        <f t="shared" si="10"/>
        <v>3.4480234184162994E-4</v>
      </c>
      <c r="AH18" s="96">
        <f t="shared" si="11"/>
        <v>3.2380953907617381E-2</v>
      </c>
      <c r="AI18" s="98">
        <f t="shared" si="24"/>
        <v>3.2725756249459011E-2</v>
      </c>
      <c r="AJ18" s="97">
        <f t="shared" si="25"/>
        <v>7.3333333333333334E-2</v>
      </c>
      <c r="AK18" s="96">
        <f t="shared" si="26"/>
        <v>0.2186168186267029</v>
      </c>
      <c r="AL18" s="96">
        <f t="shared" si="27"/>
        <v>5.1333333333333328E-2</v>
      </c>
      <c r="AM18" s="96">
        <f t="shared" si="14"/>
        <v>0.47399999999999998</v>
      </c>
      <c r="AN18" s="98">
        <f t="shared" si="28"/>
        <v>0.52533333333333332</v>
      </c>
      <c r="AO18" s="97">
        <f t="shared" si="15"/>
        <v>2.0688140510497794E-3</v>
      </c>
      <c r="AP18" s="96">
        <f t="shared" si="16"/>
        <v>0.22950000000000001</v>
      </c>
      <c r="AQ18" s="98">
        <f t="shared" si="29"/>
        <v>5.8500000000000002E-3</v>
      </c>
      <c r="AR18" s="97">
        <f t="shared" si="30"/>
        <v>0.79547790363384219</v>
      </c>
      <c r="AS18" s="96">
        <f t="shared" si="31"/>
        <v>0.73333333333333339</v>
      </c>
      <c r="AT18" s="98">
        <f t="shared" si="32"/>
        <v>47.967552540240682</v>
      </c>
    </row>
    <row r="19" spans="17:46" x14ac:dyDescent="0.3">
      <c r="Q19" s="32">
        <v>12</v>
      </c>
      <c r="R19" s="97">
        <f t="shared" si="0"/>
        <v>10</v>
      </c>
      <c r="S19" s="96">
        <f t="shared" si="1"/>
        <v>0.08</v>
      </c>
      <c r="T19" s="96">
        <f t="shared" si="2"/>
        <v>13</v>
      </c>
      <c r="U19" s="98">
        <f t="shared" si="3"/>
        <v>6.1538461538461542E-2</v>
      </c>
      <c r="V19" s="97">
        <f t="shared" si="4"/>
        <v>1</v>
      </c>
      <c r="W19" s="96">
        <f t="shared" si="5"/>
        <v>0.24997041245033724</v>
      </c>
      <c r="X19" s="98">
        <f t="shared" si="6"/>
        <v>0.418376920800823</v>
      </c>
      <c r="Y19" s="97">
        <f t="shared" si="18"/>
        <v>0.49236596391733095</v>
      </c>
      <c r="Z19" s="96">
        <f>U19+S19+(Y19)</f>
        <v>0.63390442545579251</v>
      </c>
      <c r="AA19" s="96">
        <f t="shared" si="19"/>
        <v>0.29920184422547796</v>
      </c>
      <c r="AB19" s="96">
        <v>0</v>
      </c>
      <c r="AC19" s="96">
        <f t="shared" si="20"/>
        <v>8.9521743587927182E-4</v>
      </c>
      <c r="AD19" s="98">
        <f t="shared" si="21"/>
        <v>8.9521743587927182E-4</v>
      </c>
      <c r="AE19" s="97">
        <f t="shared" si="22"/>
        <v>1.2306235689862758E-3</v>
      </c>
      <c r="AF19" s="96">
        <f t="shared" si="23"/>
        <v>0.29920184422547796</v>
      </c>
      <c r="AG19" s="96">
        <f t="shared" si="10"/>
        <v>4.0284784614567237E-4</v>
      </c>
      <c r="AH19" s="96">
        <f t="shared" si="11"/>
        <v>3.5324676990128062E-2</v>
      </c>
      <c r="AI19" s="98">
        <f t="shared" si="24"/>
        <v>3.5727524836273734E-2</v>
      </c>
      <c r="AJ19" s="97">
        <f t="shared" si="25"/>
        <v>0.08</v>
      </c>
      <c r="AK19" s="96">
        <f t="shared" si="26"/>
        <v>0.23672657569326899</v>
      </c>
      <c r="AL19" s="96">
        <f t="shared" si="27"/>
        <v>5.5999999999999994E-2</v>
      </c>
      <c r="AM19" s="96">
        <f t="shared" si="14"/>
        <v>0.47399999999999998</v>
      </c>
      <c r="AN19" s="98">
        <f t="shared" si="28"/>
        <v>0.53</v>
      </c>
      <c r="AO19" s="97">
        <f t="shared" si="15"/>
        <v>2.4170870768740337E-3</v>
      </c>
      <c r="AP19" s="96">
        <f t="shared" si="16"/>
        <v>0.22950000000000001</v>
      </c>
      <c r="AQ19" s="98">
        <f t="shared" si="29"/>
        <v>5.8500000000000002E-3</v>
      </c>
      <c r="AR19" s="97">
        <f t="shared" si="30"/>
        <v>0.80349461191314786</v>
      </c>
      <c r="AS19" s="96">
        <f t="shared" si="31"/>
        <v>0.8</v>
      </c>
      <c r="AT19" s="98">
        <f t="shared" si="32"/>
        <v>49.89103137961348</v>
      </c>
    </row>
    <row r="20" spans="17:46" x14ac:dyDescent="0.3">
      <c r="Q20" s="32">
        <v>13</v>
      </c>
      <c r="R20" s="97">
        <f t="shared" si="0"/>
        <v>10</v>
      </c>
      <c r="S20" s="96">
        <f t="shared" si="1"/>
        <v>8.666666666666667E-2</v>
      </c>
      <c r="T20" s="96">
        <f t="shared" si="2"/>
        <v>13</v>
      </c>
      <c r="U20" s="98">
        <f t="shared" si="3"/>
        <v>6.6666666666666666E-2</v>
      </c>
      <c r="V20" s="97">
        <f t="shared" si="4"/>
        <v>1</v>
      </c>
      <c r="W20" s="96">
        <f t="shared" si="5"/>
        <v>0.26017745423519634</v>
      </c>
      <c r="X20" s="98">
        <f t="shared" si="6"/>
        <v>0.33823069050575516</v>
      </c>
      <c r="Y20" s="97">
        <f t="shared" si="18"/>
        <v>0.5124707431905382</v>
      </c>
      <c r="Z20" s="96">
        <f t="shared" ref="Z20:Z71" si="33">CHOOSE(V20,Y20,U20+S20+(Y20))</f>
        <v>0.5124707431905382</v>
      </c>
      <c r="AA20" s="96">
        <f t="shared" si="19"/>
        <v>0.22887965875719615</v>
      </c>
      <c r="AB20" s="96">
        <v>0</v>
      </c>
      <c r="AC20" s="96">
        <f t="shared" si="20"/>
        <v>5.2385898192810565E-4</v>
      </c>
      <c r="AD20" s="98">
        <f t="shared" si="21"/>
        <v>5.2385898192810565E-4</v>
      </c>
      <c r="AE20" s="97">
        <f t="shared" si="22"/>
        <v>1.5032475133589121E-3</v>
      </c>
      <c r="AF20" s="96">
        <f t="shared" si="23"/>
        <v>0.22887965875719615</v>
      </c>
      <c r="AG20" s="96">
        <f t="shared" si="10"/>
        <v>2.3573654186764755E-4</v>
      </c>
      <c r="AH20" s="96">
        <f t="shared" si="11"/>
        <v>3.8268400072638722E-2</v>
      </c>
      <c r="AI20" s="98">
        <f t="shared" si="24"/>
        <v>3.8504136614506371E-2</v>
      </c>
      <c r="AJ20" s="97">
        <f t="shared" si="25"/>
        <v>8.666666666666667E-2</v>
      </c>
      <c r="AK20" s="96">
        <f t="shared" si="26"/>
        <v>0.17207388156741141</v>
      </c>
      <c r="AL20" s="96">
        <f t="shared" si="27"/>
        <v>6.0666666666666667E-2</v>
      </c>
      <c r="AM20" s="96">
        <f t="shared" si="14"/>
        <v>0.47399999999999998</v>
      </c>
      <c r="AN20" s="98">
        <f t="shared" si="28"/>
        <v>0.53466666666666662</v>
      </c>
      <c r="AO20" s="97">
        <f t="shared" si="15"/>
        <v>1.4144192512058852E-3</v>
      </c>
      <c r="AP20" s="96">
        <f t="shared" si="16"/>
        <v>0.22950000000000001</v>
      </c>
      <c r="AQ20" s="98">
        <f t="shared" si="29"/>
        <v>5.8500000000000002E-3</v>
      </c>
      <c r="AR20" s="97">
        <f t="shared" si="30"/>
        <v>0.80993522253237893</v>
      </c>
      <c r="AS20" s="96">
        <f t="shared" si="31"/>
        <v>0.8666666666666667</v>
      </c>
      <c r="AT20" s="98">
        <f t="shared" si="32"/>
        <v>51.691857932994147</v>
      </c>
    </row>
    <row r="21" spans="17:46" x14ac:dyDescent="0.3">
      <c r="Q21" s="32">
        <v>14</v>
      </c>
      <c r="R21" s="97">
        <f t="shared" si="0"/>
        <v>10</v>
      </c>
      <c r="S21" s="96">
        <f t="shared" si="1"/>
        <v>9.3333333333333338E-2</v>
      </c>
      <c r="T21" s="96">
        <f t="shared" si="2"/>
        <v>13</v>
      </c>
      <c r="U21" s="98">
        <f t="shared" si="3"/>
        <v>7.179487179487179E-2</v>
      </c>
      <c r="V21" s="97">
        <f t="shared" si="4"/>
        <v>1</v>
      </c>
      <c r="W21" s="96">
        <f t="shared" si="5"/>
        <v>0.26999890422744988</v>
      </c>
      <c r="X21" s="98">
        <f t="shared" si="6"/>
        <v>0.35099857549568486</v>
      </c>
      <c r="Y21" s="97">
        <f t="shared" si="18"/>
        <v>0.53181602347831036</v>
      </c>
      <c r="Z21" s="96">
        <f t="shared" si="33"/>
        <v>0.53181602347831036</v>
      </c>
      <c r="AA21" s="96">
        <f t="shared" si="19"/>
        <v>0.24196118892003152</v>
      </c>
      <c r="AB21" s="96">
        <v>0</v>
      </c>
      <c r="AC21" s="96">
        <f t="shared" si="20"/>
        <v>5.854521694359519E-4</v>
      </c>
      <c r="AD21" s="98">
        <f t="shared" si="21"/>
        <v>5.854521694359519E-4</v>
      </c>
      <c r="AE21" s="97">
        <f t="shared" si="22"/>
        <v>1.8092234266181256E-3</v>
      </c>
      <c r="AF21" s="96">
        <f t="shared" si="23"/>
        <v>0.24196118892003152</v>
      </c>
      <c r="AG21" s="96">
        <f t="shared" si="10"/>
        <v>2.6345347624617837E-4</v>
      </c>
      <c r="AH21" s="96">
        <f t="shared" si="11"/>
        <v>4.1212123155149397E-2</v>
      </c>
      <c r="AI21" s="98">
        <f t="shared" si="24"/>
        <v>4.1475576631395575E-2</v>
      </c>
      <c r="AJ21" s="97">
        <f t="shared" si="25"/>
        <v>9.3333333333333338E-2</v>
      </c>
      <c r="AK21" s="96">
        <f t="shared" si="26"/>
        <v>0.18190869906138621</v>
      </c>
      <c r="AL21" s="96">
        <f t="shared" si="27"/>
        <v>6.5333333333333327E-2</v>
      </c>
      <c r="AM21" s="96">
        <f t="shared" si="14"/>
        <v>0.47399999999999998</v>
      </c>
      <c r="AN21" s="98">
        <f t="shared" si="28"/>
        <v>0.53933333333333333</v>
      </c>
      <c r="AO21" s="97">
        <f t="shared" si="15"/>
        <v>1.5807208574770699E-3</v>
      </c>
      <c r="AP21" s="96">
        <f t="shared" si="16"/>
        <v>0.22950000000000001</v>
      </c>
      <c r="AQ21" s="98">
        <f t="shared" si="29"/>
        <v>5.8500000000000002E-3</v>
      </c>
      <c r="AR21" s="97">
        <f t="shared" si="30"/>
        <v>0.81773963082220602</v>
      </c>
      <c r="AS21" s="96">
        <f t="shared" si="31"/>
        <v>0.93333333333333335</v>
      </c>
      <c r="AT21" s="98">
        <f t="shared" si="32"/>
        <v>53.30065351008583</v>
      </c>
    </row>
    <row r="22" spans="17:46" x14ac:dyDescent="0.3">
      <c r="Q22" s="32">
        <v>15</v>
      </c>
      <c r="R22" s="97">
        <f t="shared" si="0"/>
        <v>10</v>
      </c>
      <c r="S22" s="96">
        <f t="shared" si="1"/>
        <v>0.1</v>
      </c>
      <c r="T22" s="96">
        <f t="shared" si="2"/>
        <v>13</v>
      </c>
      <c r="U22" s="98">
        <f t="shared" si="3"/>
        <v>7.6923076923076927E-2</v>
      </c>
      <c r="V22" s="97">
        <f t="shared" si="4"/>
        <v>1</v>
      </c>
      <c r="W22" s="96">
        <f t="shared" si="5"/>
        <v>0.27947541730130693</v>
      </c>
      <c r="X22" s="98">
        <f t="shared" si="6"/>
        <v>0.36331804249169897</v>
      </c>
      <c r="Y22" s="97">
        <f t="shared" si="18"/>
        <v>0.55048188256318031</v>
      </c>
      <c r="Z22" s="96">
        <f t="shared" si="33"/>
        <v>0.55048188256318031</v>
      </c>
      <c r="AA22" s="96">
        <f t="shared" si="19"/>
        <v>0.25481097366935324</v>
      </c>
      <c r="AB22" s="96">
        <v>0</v>
      </c>
      <c r="AC22" s="96">
        <f t="shared" si="20"/>
        <v>6.4928632302323837E-4</v>
      </c>
      <c r="AD22" s="98">
        <f t="shared" si="21"/>
        <v>6.4928632302323837E-4</v>
      </c>
      <c r="AE22" s="97">
        <f t="shared" si="22"/>
        <v>2.1498109023177455E-3</v>
      </c>
      <c r="AF22" s="96">
        <f t="shared" si="23"/>
        <v>0.25481097366935324</v>
      </c>
      <c r="AG22" s="96">
        <f t="shared" si="10"/>
        <v>2.9217884536045729E-4</v>
      </c>
      <c r="AH22" s="96">
        <f t="shared" si="11"/>
        <v>4.4155846237660078E-2</v>
      </c>
      <c r="AI22" s="98">
        <f t="shared" si="24"/>
        <v>4.4448025083020537E-2</v>
      </c>
      <c r="AJ22" s="97">
        <f t="shared" si="25"/>
        <v>0.1</v>
      </c>
      <c r="AK22" s="96">
        <f t="shared" si="26"/>
        <v>0.19156928817239649</v>
      </c>
      <c r="AL22" s="96">
        <f t="shared" si="27"/>
        <v>6.9999999999999993E-2</v>
      </c>
      <c r="AM22" s="96">
        <f t="shared" si="14"/>
        <v>0.47399999999999998</v>
      </c>
      <c r="AN22" s="98">
        <f t="shared" si="28"/>
        <v>0.54399999999999993</v>
      </c>
      <c r="AO22" s="97">
        <f t="shared" si="15"/>
        <v>1.7530730721627434E-3</v>
      </c>
      <c r="AP22" s="96">
        <f t="shared" si="16"/>
        <v>0.22950000000000001</v>
      </c>
      <c r="AQ22" s="98">
        <f t="shared" si="29"/>
        <v>5.8500000000000002E-3</v>
      </c>
      <c r="AR22" s="97">
        <f t="shared" si="30"/>
        <v>0.82555109815518335</v>
      </c>
      <c r="AS22" s="96">
        <f t="shared" si="31"/>
        <v>1</v>
      </c>
      <c r="AT22" s="98">
        <f t="shared" si="32"/>
        <v>54.777979154379921</v>
      </c>
    </row>
    <row r="23" spans="17:46" x14ac:dyDescent="0.3">
      <c r="Q23" s="32">
        <v>16</v>
      </c>
      <c r="R23" s="97">
        <f t="shared" si="0"/>
        <v>10</v>
      </c>
      <c r="S23" s="96">
        <f t="shared" si="1"/>
        <v>0.10666666666666667</v>
      </c>
      <c r="T23" s="96">
        <f t="shared" si="2"/>
        <v>13</v>
      </c>
      <c r="U23" s="98">
        <f t="shared" si="3"/>
        <v>8.2051282051282051E-2</v>
      </c>
      <c r="V23" s="97">
        <f t="shared" si="4"/>
        <v>1</v>
      </c>
      <c r="W23" s="96">
        <f t="shared" si="5"/>
        <v>0.28864096983528797</v>
      </c>
      <c r="X23" s="98">
        <f t="shared" si="6"/>
        <v>0.37523326078587438</v>
      </c>
      <c r="Y23" s="97">
        <f t="shared" si="18"/>
        <v>0.56853524361496122</v>
      </c>
      <c r="Z23" s="96">
        <f t="shared" si="33"/>
        <v>0.56853524361496122</v>
      </c>
      <c r="AA23" s="96">
        <f t="shared" si="19"/>
        <v>0.26744819429673322</v>
      </c>
      <c r="AB23" s="96">
        <v>0</v>
      </c>
      <c r="AC23" s="96">
        <f t="shared" si="20"/>
        <v>7.1528536632583172E-4</v>
      </c>
      <c r="AD23" s="98">
        <f t="shared" si="21"/>
        <v>7.1528536632583172E-4</v>
      </c>
      <c r="AE23" s="97">
        <f t="shared" si="22"/>
        <v>2.5262252402678195E-3</v>
      </c>
      <c r="AF23" s="96">
        <f t="shared" si="23"/>
        <v>0.26744819429673322</v>
      </c>
      <c r="AG23" s="96">
        <f t="shared" si="10"/>
        <v>3.2187841484662428E-4</v>
      </c>
      <c r="AH23" s="96">
        <f t="shared" si="11"/>
        <v>4.7099569320170745E-2</v>
      </c>
      <c r="AI23" s="98">
        <f t="shared" si="24"/>
        <v>4.7421447735017372E-2</v>
      </c>
      <c r="AJ23" s="97">
        <f t="shared" si="25"/>
        <v>0.10666666666666667</v>
      </c>
      <c r="AK23" s="96">
        <f t="shared" si="26"/>
        <v>0.20107006957597179</v>
      </c>
      <c r="AL23" s="96">
        <f t="shared" si="27"/>
        <v>7.4666666666666673E-2</v>
      </c>
      <c r="AM23" s="96">
        <f t="shared" si="14"/>
        <v>0.47399999999999998</v>
      </c>
      <c r="AN23" s="98">
        <f t="shared" si="28"/>
        <v>0.54866666666666664</v>
      </c>
      <c r="AO23" s="97">
        <f t="shared" si="15"/>
        <v>1.9312704890797456E-3</v>
      </c>
      <c r="AP23" s="96">
        <f t="shared" si="16"/>
        <v>0.22950000000000001</v>
      </c>
      <c r="AQ23" s="98">
        <f t="shared" si="29"/>
        <v>5.8500000000000002E-3</v>
      </c>
      <c r="AR23" s="97">
        <f t="shared" si="30"/>
        <v>0.83336938489076373</v>
      </c>
      <c r="AS23" s="96">
        <f t="shared" si="31"/>
        <v>1.0666666666666667</v>
      </c>
      <c r="AT23" s="98">
        <f t="shared" si="32"/>
        <v>56.139285662097635</v>
      </c>
    </row>
    <row r="24" spans="17:46" x14ac:dyDescent="0.3">
      <c r="Q24" s="32">
        <v>17</v>
      </c>
      <c r="R24" s="97">
        <f t="shared" si="0"/>
        <v>10</v>
      </c>
      <c r="S24" s="96">
        <f t="shared" si="1"/>
        <v>0.11333333333333334</v>
      </c>
      <c r="T24" s="96">
        <f t="shared" si="2"/>
        <v>13</v>
      </c>
      <c r="U24" s="98">
        <f t="shared" si="3"/>
        <v>8.7179487179487175E-2</v>
      </c>
      <c r="V24" s="97">
        <f t="shared" si="4"/>
        <v>1</v>
      </c>
      <c r="W24" s="96">
        <f t="shared" si="5"/>
        <v>0.29752430162790333</v>
      </c>
      <c r="X24" s="98">
        <f t="shared" si="6"/>
        <v>0.38678159211627433</v>
      </c>
      <c r="Y24" s="97">
        <f t="shared" si="18"/>
        <v>0.58603271532768841</v>
      </c>
      <c r="Z24" s="96">
        <f t="shared" si="33"/>
        <v>0.58603271532768841</v>
      </c>
      <c r="AA24" s="96">
        <f t="shared" si="19"/>
        <v>0.27988935035491153</v>
      </c>
      <c r="AB24" s="96">
        <v>0</v>
      </c>
      <c r="AC24" s="96">
        <f t="shared" si="20"/>
        <v>7.8338048442094408E-4</v>
      </c>
      <c r="AD24" s="98">
        <f t="shared" si="21"/>
        <v>7.8338048442094408E-4</v>
      </c>
      <c r="AE24" s="97">
        <f t="shared" si="22"/>
        <v>2.9396418177936429E-3</v>
      </c>
      <c r="AF24" s="96">
        <f t="shared" si="23"/>
        <v>0.27988935035491153</v>
      </c>
      <c r="AG24" s="96">
        <f t="shared" si="10"/>
        <v>3.5252121798942491E-4</v>
      </c>
      <c r="AH24" s="96">
        <f t="shared" si="11"/>
        <v>5.0043292402681412E-2</v>
      </c>
      <c r="AI24" s="98">
        <f t="shared" si="24"/>
        <v>5.0395813620670839E-2</v>
      </c>
      <c r="AJ24" s="97">
        <f t="shared" si="25"/>
        <v>0.11333333333333334</v>
      </c>
      <c r="AK24" s="96">
        <f t="shared" si="26"/>
        <v>0.21042344779114858</v>
      </c>
      <c r="AL24" s="96">
        <f t="shared" si="27"/>
        <v>7.9333333333333339E-2</v>
      </c>
      <c r="AM24" s="96">
        <f t="shared" si="14"/>
        <v>0.47399999999999998</v>
      </c>
      <c r="AN24" s="98">
        <f t="shared" si="28"/>
        <v>0.55333333333333334</v>
      </c>
      <c r="AO24" s="97">
        <f t="shared" si="15"/>
        <v>2.1151273079365492E-3</v>
      </c>
      <c r="AP24" s="96">
        <f t="shared" si="16"/>
        <v>0.22950000000000001</v>
      </c>
      <c r="AQ24" s="98">
        <f t="shared" si="29"/>
        <v>5.8500000000000002E-3</v>
      </c>
      <c r="AR24" s="97">
        <f t="shared" si="30"/>
        <v>0.84119427426194071</v>
      </c>
      <c r="AS24" s="96">
        <f t="shared" si="31"/>
        <v>1.1333333333333333</v>
      </c>
      <c r="AT24" s="98">
        <f t="shared" si="32"/>
        <v>57.397694971385619</v>
      </c>
    </row>
    <row r="25" spans="17:46" x14ac:dyDescent="0.3">
      <c r="Q25" s="32">
        <v>18</v>
      </c>
      <c r="R25" s="97">
        <f t="shared" si="0"/>
        <v>10</v>
      </c>
      <c r="S25" s="96">
        <f t="shared" si="1"/>
        <v>0.12000000000000001</v>
      </c>
      <c r="T25" s="96">
        <f t="shared" si="2"/>
        <v>13</v>
      </c>
      <c r="U25" s="98">
        <f t="shared" si="3"/>
        <v>9.2307692307692327E-2</v>
      </c>
      <c r="V25" s="97">
        <f t="shared" si="4"/>
        <v>1</v>
      </c>
      <c r="W25" s="96">
        <f t="shared" si="5"/>
        <v>0.30614998064819077</v>
      </c>
      <c r="X25" s="98">
        <f t="shared" si="6"/>
        <v>0.39799497484264801</v>
      </c>
      <c r="Y25" s="97">
        <f t="shared" si="18"/>
        <v>0.60302268915552726</v>
      </c>
      <c r="Z25" s="96">
        <f t="shared" si="33"/>
        <v>0.60302268915552726</v>
      </c>
      <c r="AA25" s="96">
        <f t="shared" si="19"/>
        <v>0.29214876980035231</v>
      </c>
      <c r="AB25" s="96">
        <v>0</v>
      </c>
      <c r="AC25" s="96">
        <f t="shared" si="20"/>
        <v>8.5350903695859256E-4</v>
      </c>
      <c r="AD25" s="98">
        <f t="shared" si="21"/>
        <v>8.5350903695859256E-4</v>
      </c>
      <c r="AE25" s="97">
        <f t="shared" si="22"/>
        <v>3.3911997856414986E-3</v>
      </c>
      <c r="AF25" s="96">
        <f t="shared" si="23"/>
        <v>0.29214876980035231</v>
      </c>
      <c r="AG25" s="96">
        <f t="shared" si="10"/>
        <v>3.8407906663136666E-4</v>
      </c>
      <c r="AH25" s="96">
        <f t="shared" si="11"/>
        <v>5.2987015485192079E-2</v>
      </c>
      <c r="AI25" s="98">
        <f t="shared" si="24"/>
        <v>5.3371094551823449E-2</v>
      </c>
      <c r="AJ25" s="97">
        <f t="shared" si="25"/>
        <v>0.12000000000000001</v>
      </c>
      <c r="AK25" s="96">
        <f t="shared" si="26"/>
        <v>0.21964019471044496</v>
      </c>
      <c r="AL25" s="96">
        <f t="shared" si="27"/>
        <v>8.4000000000000005E-2</v>
      </c>
      <c r="AM25" s="96">
        <f t="shared" si="14"/>
        <v>0.47399999999999998</v>
      </c>
      <c r="AN25" s="98">
        <f t="shared" si="28"/>
        <v>0.55799999999999994</v>
      </c>
      <c r="AO25" s="97">
        <f t="shared" si="15"/>
        <v>2.3044743997881999E-3</v>
      </c>
      <c r="AP25" s="96">
        <f t="shared" si="16"/>
        <v>0.22950000000000001</v>
      </c>
      <c r="AQ25" s="98">
        <f t="shared" si="29"/>
        <v>5.8500000000000002E-3</v>
      </c>
      <c r="AR25" s="97">
        <f t="shared" si="30"/>
        <v>0.84902556895161163</v>
      </c>
      <c r="AS25" s="96">
        <f t="shared" si="31"/>
        <v>1.2000000000000002</v>
      </c>
      <c r="AT25" s="98">
        <f t="shared" si="32"/>
        <v>58.564422922940032</v>
      </c>
    </row>
    <row r="26" spans="17:46" x14ac:dyDescent="0.3">
      <c r="Q26" s="32">
        <v>19</v>
      </c>
      <c r="R26" s="97">
        <f t="shared" si="0"/>
        <v>10</v>
      </c>
      <c r="S26" s="96">
        <f t="shared" si="1"/>
        <v>0.12666666666666668</v>
      </c>
      <c r="T26" s="96">
        <f t="shared" si="2"/>
        <v>13</v>
      </c>
      <c r="U26" s="98">
        <f t="shared" si="3"/>
        <v>9.7435897435897451E-2</v>
      </c>
      <c r="V26" s="97">
        <f t="shared" si="4"/>
        <v>1</v>
      </c>
      <c r="W26" s="96">
        <f t="shared" si="5"/>
        <v>0.31453920461939805</v>
      </c>
      <c r="X26" s="98">
        <f t="shared" si="6"/>
        <v>0.40890096600521736</v>
      </c>
      <c r="Y26" s="97">
        <f t="shared" si="18"/>
        <v>0.61954691818972341</v>
      </c>
      <c r="Z26" s="96">
        <f t="shared" si="33"/>
        <v>0.61954691818972341</v>
      </c>
      <c r="AA26" s="96">
        <f t="shared" si="19"/>
        <v>0.30423899919652914</v>
      </c>
      <c r="AB26" s="96">
        <v>0</v>
      </c>
      <c r="AC26" s="96">
        <f t="shared" si="20"/>
        <v>9.2561368632105656E-4</v>
      </c>
      <c r="AD26" s="98">
        <f t="shared" si="21"/>
        <v>9.2561368632105656E-4</v>
      </c>
      <c r="AE26" s="97">
        <f t="shared" si="22"/>
        <v>3.8820052262428283E-3</v>
      </c>
      <c r="AF26" s="96">
        <f t="shared" si="23"/>
        <v>0.30423899919652914</v>
      </c>
      <c r="AG26" s="96">
        <f t="shared" si="10"/>
        <v>4.1652615884447546E-4</v>
      </c>
      <c r="AH26" s="96">
        <f t="shared" si="11"/>
        <v>5.593073856770276E-2</v>
      </c>
      <c r="AI26" s="98">
        <f t="shared" si="24"/>
        <v>5.6347264726547233E-2</v>
      </c>
      <c r="AJ26" s="97">
        <f t="shared" si="25"/>
        <v>0.12666666666666668</v>
      </c>
      <c r="AK26" s="96">
        <f t="shared" si="26"/>
        <v>0.2287297429583631</v>
      </c>
      <c r="AL26" s="96">
        <f t="shared" si="27"/>
        <v>8.8666666666666671E-2</v>
      </c>
      <c r="AM26" s="96">
        <f t="shared" si="14"/>
        <v>0.47399999999999998</v>
      </c>
      <c r="AN26" s="98">
        <f t="shared" si="28"/>
        <v>0.56266666666666665</v>
      </c>
      <c r="AO26" s="97">
        <f t="shared" si="15"/>
        <v>2.4991569530668526E-3</v>
      </c>
      <c r="AP26" s="96">
        <f t="shared" si="16"/>
        <v>0.22950000000000001</v>
      </c>
      <c r="AQ26" s="98">
        <f t="shared" si="29"/>
        <v>5.8500000000000002E-3</v>
      </c>
      <c r="AR26" s="97">
        <f t="shared" si="30"/>
        <v>0.85686308834628089</v>
      </c>
      <c r="AS26" s="96">
        <f t="shared" si="31"/>
        <v>1.2666666666666668</v>
      </c>
      <c r="AT26" s="98">
        <f t="shared" si="32"/>
        <v>59.649113165308279</v>
      </c>
    </row>
    <row r="27" spans="17:46" x14ac:dyDescent="0.3">
      <c r="Q27" s="32">
        <v>20</v>
      </c>
      <c r="R27" s="97">
        <f t="shared" si="0"/>
        <v>10</v>
      </c>
      <c r="S27" s="96">
        <f t="shared" si="1"/>
        <v>0.13333333333333333</v>
      </c>
      <c r="T27" s="96">
        <f t="shared" si="2"/>
        <v>13</v>
      </c>
      <c r="U27" s="98">
        <f t="shared" si="3"/>
        <v>0.10256410256410256</v>
      </c>
      <c r="V27" s="97">
        <f t="shared" si="4"/>
        <v>1</v>
      </c>
      <c r="W27" s="96">
        <f t="shared" si="5"/>
        <v>0.32271041482158502</v>
      </c>
      <c r="X27" s="98">
        <f t="shared" si="6"/>
        <v>0.41952353926806057</v>
      </c>
      <c r="Y27" s="97">
        <f t="shared" si="18"/>
        <v>0.63564172616372816</v>
      </c>
      <c r="Z27" s="96">
        <f t="shared" si="33"/>
        <v>0.63564172616372816</v>
      </c>
      <c r="AA27" s="96">
        <f t="shared" si="19"/>
        <v>0.31617110699898299</v>
      </c>
      <c r="AB27" s="96">
        <v>0</v>
      </c>
      <c r="AC27" s="96">
        <f t="shared" si="20"/>
        <v>9.9964168900962356E-4</v>
      </c>
      <c r="AD27" s="98">
        <f t="shared" si="21"/>
        <v>9.9964168900962356E-4</v>
      </c>
      <c r="AE27" s="97">
        <f t="shared" si="22"/>
        <v>4.4131338779020172E-3</v>
      </c>
      <c r="AF27" s="96">
        <f t="shared" si="23"/>
        <v>0.31617110699898299</v>
      </c>
      <c r="AG27" s="96">
        <f t="shared" si="10"/>
        <v>4.4983876005433066E-4</v>
      </c>
      <c r="AH27" s="96">
        <f t="shared" si="11"/>
        <v>5.8874461650213428E-2</v>
      </c>
      <c r="AI27" s="98">
        <f t="shared" si="24"/>
        <v>5.9324300410267761E-2</v>
      </c>
      <c r="AJ27" s="97">
        <f t="shared" si="25"/>
        <v>0.13333333333333333</v>
      </c>
      <c r="AK27" s="96">
        <f t="shared" si="26"/>
        <v>0.23770041390395003</v>
      </c>
      <c r="AL27" s="96">
        <f t="shared" si="27"/>
        <v>9.3333333333333324E-2</v>
      </c>
      <c r="AM27" s="96">
        <f t="shared" si="14"/>
        <v>0.47399999999999998</v>
      </c>
      <c r="AN27" s="98">
        <f t="shared" si="28"/>
        <v>0.56733333333333325</v>
      </c>
      <c r="AO27" s="97">
        <f t="shared" si="15"/>
        <v>2.6990325603259836E-3</v>
      </c>
      <c r="AP27" s="96">
        <f t="shared" si="16"/>
        <v>0.22950000000000001</v>
      </c>
      <c r="AQ27" s="98">
        <f t="shared" si="29"/>
        <v>5.8500000000000002E-3</v>
      </c>
      <c r="AR27" s="97">
        <f t="shared" si="30"/>
        <v>0.86470666630392701</v>
      </c>
      <c r="AS27" s="96">
        <f t="shared" si="31"/>
        <v>1.3333333333333333</v>
      </c>
      <c r="AT27" s="98">
        <f t="shared" si="32"/>
        <v>60.660103253506378</v>
      </c>
    </row>
    <row r="28" spans="17:46" x14ac:dyDescent="0.3">
      <c r="Q28" s="32">
        <v>21</v>
      </c>
      <c r="R28" s="97">
        <f t="shared" si="0"/>
        <v>10</v>
      </c>
      <c r="S28" s="96">
        <f t="shared" si="1"/>
        <v>0.14000000000000001</v>
      </c>
      <c r="T28" s="96">
        <f t="shared" si="2"/>
        <v>13</v>
      </c>
      <c r="U28" s="98">
        <f t="shared" si="3"/>
        <v>0.1076923076923077</v>
      </c>
      <c r="V28" s="97">
        <f t="shared" si="4"/>
        <v>1</v>
      </c>
      <c r="W28" s="96">
        <f t="shared" si="5"/>
        <v>0.33067977323391812</v>
      </c>
      <c r="X28" s="98">
        <f t="shared" si="6"/>
        <v>0.42988370520409358</v>
      </c>
      <c r="Y28" s="97">
        <f t="shared" si="18"/>
        <v>0.65133894727892971</v>
      </c>
      <c r="Z28" s="96">
        <f t="shared" si="33"/>
        <v>0.65133894727892971</v>
      </c>
      <c r="AA28" s="96">
        <f t="shared" si="19"/>
        <v>0.32795492265594112</v>
      </c>
      <c r="AB28" s="96">
        <v>0</v>
      </c>
      <c r="AC28" s="96">
        <f t="shared" si="20"/>
        <v>1.0755443129426433E-3</v>
      </c>
      <c r="AD28" s="98">
        <f t="shared" si="21"/>
        <v>1.0755443129426433E-3</v>
      </c>
      <c r="AE28" s="97">
        <f t="shared" si="22"/>
        <v>4.9856335041421514E-3</v>
      </c>
      <c r="AF28" s="96">
        <f t="shared" si="23"/>
        <v>0.32795492265594112</v>
      </c>
      <c r="AG28" s="96">
        <f t="shared" si="10"/>
        <v>4.8399494082418946E-4</v>
      </c>
      <c r="AH28" s="96">
        <f t="shared" si="11"/>
        <v>6.1818184732724102E-2</v>
      </c>
      <c r="AI28" s="98">
        <f t="shared" si="24"/>
        <v>6.2302179673548293E-2</v>
      </c>
      <c r="AJ28" s="97">
        <f t="shared" si="25"/>
        <v>0.14000000000000001</v>
      </c>
      <c r="AK28" s="96">
        <f t="shared" si="26"/>
        <v>0.24655959741889344</v>
      </c>
      <c r="AL28" s="96">
        <f t="shared" si="27"/>
        <v>9.8000000000000004E-2</v>
      </c>
      <c r="AM28" s="96">
        <f t="shared" si="14"/>
        <v>0.47399999999999998</v>
      </c>
      <c r="AN28" s="98">
        <f t="shared" si="28"/>
        <v>0.57199999999999995</v>
      </c>
      <c r="AO28" s="97">
        <f t="shared" si="15"/>
        <v>2.9039696449451365E-3</v>
      </c>
      <c r="AP28" s="96">
        <f t="shared" si="16"/>
        <v>0.22950000000000001</v>
      </c>
      <c r="AQ28" s="98">
        <f t="shared" si="29"/>
        <v>5.8500000000000002E-3</v>
      </c>
      <c r="AR28" s="97">
        <f t="shared" si="30"/>
        <v>0.87255614931849346</v>
      </c>
      <c r="AS28" s="96">
        <f t="shared" si="31"/>
        <v>1.4000000000000001</v>
      </c>
      <c r="AT28" s="98">
        <f t="shared" si="32"/>
        <v>61.604638478122517</v>
      </c>
    </row>
    <row r="29" spans="17:46" x14ac:dyDescent="0.3">
      <c r="Q29" s="32">
        <v>22</v>
      </c>
      <c r="R29" s="97">
        <f t="shared" si="0"/>
        <v>10</v>
      </c>
      <c r="S29" s="96">
        <f t="shared" si="1"/>
        <v>0.14666666666666667</v>
      </c>
      <c r="T29" s="96">
        <f t="shared" si="2"/>
        <v>13</v>
      </c>
      <c r="U29" s="98">
        <f t="shared" si="3"/>
        <v>0.11282051282051284</v>
      </c>
      <c r="V29" s="97">
        <f t="shared" si="4"/>
        <v>1</v>
      </c>
      <c r="W29" s="96">
        <f t="shared" si="5"/>
        <v>0.33846153846153842</v>
      </c>
      <c r="X29" s="98">
        <f t="shared" si="6"/>
        <v>0.43999999999999995</v>
      </c>
      <c r="Y29" s="97">
        <f t="shared" si="18"/>
        <v>0.66666666666666663</v>
      </c>
      <c r="Z29" s="96">
        <f t="shared" si="33"/>
        <v>0.66666666666666663</v>
      </c>
      <c r="AA29" s="96">
        <f t="shared" si="19"/>
        <v>0.33959922751330762</v>
      </c>
      <c r="AB29" s="96">
        <v>0</v>
      </c>
      <c r="AC29" s="96">
        <f t="shared" si="20"/>
        <v>1.1532763532763528E-3</v>
      </c>
      <c r="AD29" s="98">
        <f t="shared" si="21"/>
        <v>1.1532763532763528E-3</v>
      </c>
      <c r="AE29" s="97">
        <f t="shared" si="22"/>
        <v>5.6005259697567387E-3</v>
      </c>
      <c r="AF29" s="96">
        <f t="shared" si="23"/>
        <v>0.33959922751330762</v>
      </c>
      <c r="AG29" s="96">
        <f t="shared" si="10"/>
        <v>5.1897435897435876E-4</v>
      </c>
      <c r="AH29" s="96">
        <f t="shared" si="11"/>
        <v>6.4761907815234762E-2</v>
      </c>
      <c r="AI29" s="98">
        <f t="shared" si="24"/>
        <v>6.5280882174209118E-2</v>
      </c>
      <c r="AJ29" s="97">
        <f t="shared" si="25"/>
        <v>0.14666666666666667</v>
      </c>
      <c r="AK29" s="96">
        <f t="shared" si="26"/>
        <v>0.25531389540169014</v>
      </c>
      <c r="AL29" s="96">
        <f t="shared" si="27"/>
        <v>0.10266666666666666</v>
      </c>
      <c r="AM29" s="96">
        <f t="shared" si="14"/>
        <v>0.47399999999999998</v>
      </c>
      <c r="AN29" s="98">
        <f t="shared" si="28"/>
        <v>0.57666666666666666</v>
      </c>
      <c r="AO29" s="97">
        <f t="shared" si="15"/>
        <v>3.1138461538461524E-3</v>
      </c>
      <c r="AP29" s="96">
        <f t="shared" si="16"/>
        <v>0.22950000000000001</v>
      </c>
      <c r="AQ29" s="98">
        <f t="shared" si="29"/>
        <v>5.8500000000000002E-3</v>
      </c>
      <c r="AR29" s="97">
        <f t="shared" si="30"/>
        <v>0.88041139499472199</v>
      </c>
      <c r="AS29" s="96">
        <f t="shared" si="31"/>
        <v>1.4666666666666668</v>
      </c>
      <c r="AT29" s="98">
        <f t="shared" si="32"/>
        <v>62.489045022579305</v>
      </c>
    </row>
    <row r="30" spans="17:46" x14ac:dyDescent="0.3">
      <c r="Q30" s="32">
        <v>23</v>
      </c>
      <c r="R30" s="97">
        <f t="shared" si="0"/>
        <v>10</v>
      </c>
      <c r="S30" s="96">
        <f t="shared" si="1"/>
        <v>0.15333333333333335</v>
      </c>
      <c r="T30" s="96">
        <f t="shared" si="2"/>
        <v>13</v>
      </c>
      <c r="U30" s="98">
        <f t="shared" si="3"/>
        <v>0.11794871794871796</v>
      </c>
      <c r="V30" s="97">
        <f t="shared" si="4"/>
        <v>1</v>
      </c>
      <c r="W30" s="96">
        <f t="shared" si="5"/>
        <v>0.34606836551390746</v>
      </c>
      <c r="X30" s="98">
        <f t="shared" si="6"/>
        <v>0.44988887516807968</v>
      </c>
      <c r="Y30" s="97">
        <f t="shared" si="18"/>
        <v>0.68164981086072685</v>
      </c>
      <c r="Z30" s="96">
        <f t="shared" si="33"/>
        <v>0.68164981086072685</v>
      </c>
      <c r="AA30" s="96">
        <f t="shared" si="19"/>
        <v>0.35111190898469985</v>
      </c>
      <c r="AB30" s="96">
        <v>0</v>
      </c>
      <c r="AC30" s="96">
        <f t="shared" si="20"/>
        <v>1.2327957263088016E-3</v>
      </c>
      <c r="AD30" s="98">
        <f t="shared" si="21"/>
        <v>1.2327957263088016E-3</v>
      </c>
      <c r="AE30" s="97">
        <f t="shared" si="22"/>
        <v>6.2588090720293015E-3</v>
      </c>
      <c r="AF30" s="96">
        <f t="shared" si="23"/>
        <v>0.35111190898469985</v>
      </c>
      <c r="AG30" s="96">
        <f t="shared" si="10"/>
        <v>5.5475807683896079E-4</v>
      </c>
      <c r="AH30" s="96">
        <f t="shared" si="11"/>
        <v>6.7705630897745436E-2</v>
      </c>
      <c r="AI30" s="98">
        <f t="shared" si="24"/>
        <v>6.8260388974584391E-2</v>
      </c>
      <c r="AJ30" s="97">
        <f t="shared" si="25"/>
        <v>0.15333333333333335</v>
      </c>
      <c r="AK30" s="96">
        <f t="shared" si="26"/>
        <v>0.26396923768413044</v>
      </c>
      <c r="AL30" s="96">
        <f t="shared" si="27"/>
        <v>0.10733333333333334</v>
      </c>
      <c r="AM30" s="96">
        <f t="shared" si="14"/>
        <v>0.47399999999999998</v>
      </c>
      <c r="AN30" s="98">
        <f t="shared" si="28"/>
        <v>0.58133333333333326</v>
      </c>
      <c r="AO30" s="97">
        <f t="shared" si="15"/>
        <v>3.3285484610337643E-3</v>
      </c>
      <c r="AP30" s="96">
        <f t="shared" si="16"/>
        <v>0.22950000000000001</v>
      </c>
      <c r="AQ30" s="98">
        <f t="shared" si="29"/>
        <v>5.8500000000000002E-3</v>
      </c>
      <c r="AR30" s="97">
        <f t="shared" si="30"/>
        <v>0.88827227076895154</v>
      </c>
      <c r="AS30" s="96">
        <f t="shared" si="31"/>
        <v>1.5333333333333334</v>
      </c>
      <c r="AT30" s="98">
        <f t="shared" si="32"/>
        <v>63.318871195863302</v>
      </c>
    </row>
    <row r="31" spans="17:46" x14ac:dyDescent="0.3">
      <c r="Q31" s="32">
        <v>24</v>
      </c>
      <c r="R31" s="97">
        <f t="shared" si="0"/>
        <v>10</v>
      </c>
      <c r="S31" s="96">
        <f t="shared" si="1"/>
        <v>0.16</v>
      </c>
      <c r="T31" s="96">
        <f t="shared" si="2"/>
        <v>13</v>
      </c>
      <c r="U31" s="98">
        <f t="shared" si="3"/>
        <v>0.12307692307692308</v>
      </c>
      <c r="V31" s="97">
        <f t="shared" si="4"/>
        <v>1</v>
      </c>
      <c r="W31" s="96">
        <f t="shared" si="5"/>
        <v>0.35351154747926328</v>
      </c>
      <c r="X31" s="98">
        <f t="shared" si="6"/>
        <v>0.45956501172304226</v>
      </c>
      <c r="Y31" s="97">
        <f t="shared" si="18"/>
        <v>0.69631062382279141</v>
      </c>
      <c r="Z31" s="96">
        <f t="shared" si="33"/>
        <v>0.69631062382279141</v>
      </c>
      <c r="AA31" s="96">
        <f t="shared" si="19"/>
        <v>0.36250008634254477</v>
      </c>
      <c r="AB31" s="96">
        <v>0</v>
      </c>
      <c r="AC31" s="96">
        <f t="shared" si="20"/>
        <v>1.3140631259835243E-3</v>
      </c>
      <c r="AD31" s="98">
        <f t="shared" si="21"/>
        <v>1.3140631259835243E-3</v>
      </c>
      <c r="AE31" s="97">
        <f t="shared" si="22"/>
        <v>6.9614581657454922E-3</v>
      </c>
      <c r="AF31" s="96">
        <f t="shared" si="23"/>
        <v>0.36250008634254477</v>
      </c>
      <c r="AG31" s="96">
        <f t="shared" si="10"/>
        <v>5.9132840669258598E-4</v>
      </c>
      <c r="AH31" s="96">
        <f t="shared" si="11"/>
        <v>7.0649353980256124E-2</v>
      </c>
      <c r="AI31" s="98">
        <f t="shared" si="24"/>
        <v>7.1240682386948709E-2</v>
      </c>
      <c r="AJ31" s="97">
        <f t="shared" si="25"/>
        <v>0.16</v>
      </c>
      <c r="AK31" s="96">
        <f t="shared" si="26"/>
        <v>0.27253097660222847</v>
      </c>
      <c r="AL31" s="96">
        <f t="shared" si="27"/>
        <v>0.11199999999999999</v>
      </c>
      <c r="AM31" s="96">
        <f t="shared" si="14"/>
        <v>0.47399999999999998</v>
      </c>
      <c r="AN31" s="98">
        <f t="shared" si="28"/>
        <v>0.58599999999999997</v>
      </c>
      <c r="AO31" s="97">
        <f t="shared" si="15"/>
        <v>3.5479704401555155E-3</v>
      </c>
      <c r="AP31" s="96">
        <f t="shared" si="16"/>
        <v>0.22950000000000001</v>
      </c>
      <c r="AQ31" s="98">
        <f t="shared" si="29"/>
        <v>5.8500000000000002E-3</v>
      </c>
      <c r="AR31" s="97">
        <f t="shared" si="30"/>
        <v>0.89613865282710425</v>
      </c>
      <c r="AS31" s="96">
        <f t="shared" si="31"/>
        <v>1.6</v>
      </c>
      <c r="AT31" s="98">
        <f t="shared" si="32"/>
        <v>64.099003402229044</v>
      </c>
    </row>
    <row r="32" spans="17:46" x14ac:dyDescent="0.3">
      <c r="Q32" s="32">
        <v>25</v>
      </c>
      <c r="R32" s="97">
        <f t="shared" si="0"/>
        <v>10</v>
      </c>
      <c r="S32" s="96">
        <f t="shared" si="1"/>
        <v>0.16666666666666669</v>
      </c>
      <c r="T32" s="96">
        <f t="shared" si="2"/>
        <v>13</v>
      </c>
      <c r="U32" s="98">
        <f t="shared" si="3"/>
        <v>0.12820512820512822</v>
      </c>
      <c r="V32" s="97">
        <f t="shared" si="4"/>
        <v>1</v>
      </c>
      <c r="W32" s="96">
        <f t="shared" si="5"/>
        <v>0.36080121229411</v>
      </c>
      <c r="X32" s="98">
        <f t="shared" si="6"/>
        <v>0.46904157598234297</v>
      </c>
      <c r="Y32" s="97">
        <f t="shared" si="18"/>
        <v>0.71066905451870155</v>
      </c>
      <c r="Z32" s="96">
        <f t="shared" si="33"/>
        <v>0.71066905451870155</v>
      </c>
      <c r="AA32" s="96">
        <f t="shared" si="19"/>
        <v>0.37377021431691693</v>
      </c>
      <c r="AB32" s="96">
        <v>0</v>
      </c>
      <c r="AC32" s="96">
        <f t="shared" si="20"/>
        <v>1.3970417311051401E-3</v>
      </c>
      <c r="AD32" s="98">
        <f t="shared" si="21"/>
        <v>1.3970417311051401E-3</v>
      </c>
      <c r="AE32" s="97">
        <f t="shared" si="22"/>
        <v>7.7094276131220102E-3</v>
      </c>
      <c r="AF32" s="96">
        <f t="shared" si="23"/>
        <v>0.37377021431691693</v>
      </c>
      <c r="AG32" s="96">
        <f t="shared" si="10"/>
        <v>6.2866877899731303E-4</v>
      </c>
      <c r="AH32" s="96">
        <f t="shared" si="11"/>
        <v>7.3593077062766799E-2</v>
      </c>
      <c r="AI32" s="98">
        <f t="shared" si="24"/>
        <v>7.4221745841764108E-2</v>
      </c>
      <c r="AJ32" s="97">
        <f t="shared" si="25"/>
        <v>0.16666666666666669</v>
      </c>
      <c r="AK32" s="96">
        <f t="shared" si="26"/>
        <v>0.28100396488280327</v>
      </c>
      <c r="AL32" s="96">
        <f t="shared" si="27"/>
        <v>0.11666666666666667</v>
      </c>
      <c r="AM32" s="96">
        <f t="shared" si="14"/>
        <v>0.47399999999999998</v>
      </c>
      <c r="AN32" s="98">
        <f t="shared" si="28"/>
        <v>0.59066666666666667</v>
      </c>
      <c r="AO32" s="97">
        <f t="shared" si="15"/>
        <v>3.7720126739838782E-3</v>
      </c>
      <c r="AP32" s="96">
        <f t="shared" si="16"/>
        <v>0.22950000000000001</v>
      </c>
      <c r="AQ32" s="98">
        <f t="shared" si="29"/>
        <v>5.8500000000000002E-3</v>
      </c>
      <c r="AR32" s="97">
        <f t="shared" si="30"/>
        <v>0.9040104251824147</v>
      </c>
      <c r="AS32" s="96">
        <f t="shared" si="31"/>
        <v>1.666666666666667</v>
      </c>
      <c r="AT32" s="98">
        <f t="shared" si="32"/>
        <v>64.83376196688468</v>
      </c>
    </row>
    <row r="33" spans="17:46" x14ac:dyDescent="0.3">
      <c r="Q33" s="32">
        <v>26</v>
      </c>
      <c r="R33" s="97">
        <f t="shared" si="0"/>
        <v>10</v>
      </c>
      <c r="S33" s="96">
        <f t="shared" si="1"/>
        <v>0.17333333333333334</v>
      </c>
      <c r="T33" s="96">
        <f t="shared" si="2"/>
        <v>13</v>
      </c>
      <c r="U33" s="98">
        <f t="shared" si="3"/>
        <v>0.13333333333333333</v>
      </c>
      <c r="V33" s="97">
        <f t="shared" si="4"/>
        <v>1</v>
      </c>
      <c r="W33" s="96">
        <f t="shared" si="5"/>
        <v>0.36794648440311994</v>
      </c>
      <c r="X33" s="98">
        <f t="shared" si="6"/>
        <v>0.47833042972405593</v>
      </c>
      <c r="Y33" s="97">
        <f t="shared" si="18"/>
        <v>0.72474307533947879</v>
      </c>
      <c r="Z33" s="96">
        <f t="shared" si="33"/>
        <v>0.72474307533947879</v>
      </c>
      <c r="AA33" s="96">
        <f t="shared" si="19"/>
        <v>0.38492816914683953</v>
      </c>
      <c r="AB33" s="96">
        <v>0</v>
      </c>
      <c r="AC33" s="96">
        <f t="shared" si="20"/>
        <v>1.481696954027379E-3</v>
      </c>
      <c r="AD33" s="98">
        <f t="shared" si="21"/>
        <v>1.481696954027379E-3</v>
      </c>
      <c r="AE33" s="97">
        <f t="shared" si="22"/>
        <v>8.5036520839832166E-3</v>
      </c>
      <c r="AF33" s="96">
        <f t="shared" si="23"/>
        <v>0.38492816914683953</v>
      </c>
      <c r="AG33" s="96">
        <f t="shared" si="10"/>
        <v>6.6676362931232058E-4</v>
      </c>
      <c r="AH33" s="96">
        <f t="shared" si="11"/>
        <v>7.6536800145277445E-2</v>
      </c>
      <c r="AI33" s="98">
        <f t="shared" si="24"/>
        <v>7.720356377458977E-2</v>
      </c>
      <c r="AJ33" s="97">
        <f t="shared" si="25"/>
        <v>0.17333333333333334</v>
      </c>
      <c r="AK33" s="96">
        <f t="shared" si="26"/>
        <v>0.28939262033765706</v>
      </c>
      <c r="AL33" s="96">
        <f t="shared" si="27"/>
        <v>0.12133333333333333</v>
      </c>
      <c r="AM33" s="96">
        <f t="shared" si="14"/>
        <v>0.47399999999999998</v>
      </c>
      <c r="AN33" s="98">
        <f t="shared" si="28"/>
        <v>0.59533333333333327</v>
      </c>
      <c r="AO33" s="97">
        <f t="shared" si="15"/>
        <v>4.0005817758739229E-3</v>
      </c>
      <c r="AP33" s="96">
        <f t="shared" si="16"/>
        <v>0.22950000000000001</v>
      </c>
      <c r="AQ33" s="98">
        <f t="shared" si="29"/>
        <v>5.8500000000000002E-3</v>
      </c>
      <c r="AR33" s="97">
        <f t="shared" si="30"/>
        <v>0.91188747888379706</v>
      </c>
      <c r="AS33" s="96">
        <f t="shared" si="31"/>
        <v>1.7333333333333334</v>
      </c>
      <c r="AT33" s="98">
        <f t="shared" si="32"/>
        <v>65.526980784659514</v>
      </c>
    </row>
    <row r="34" spans="17:46" x14ac:dyDescent="0.3">
      <c r="Q34" s="32">
        <v>27</v>
      </c>
      <c r="R34" s="97">
        <f t="shared" si="0"/>
        <v>10</v>
      </c>
      <c r="S34" s="96">
        <f t="shared" si="1"/>
        <v>0.18000000000000002</v>
      </c>
      <c r="T34" s="96">
        <f t="shared" si="2"/>
        <v>13</v>
      </c>
      <c r="U34" s="98">
        <f t="shared" si="3"/>
        <v>0.13846153846153847</v>
      </c>
      <c r="V34" s="97">
        <f t="shared" si="4"/>
        <v>1</v>
      </c>
      <c r="W34" s="96">
        <f t="shared" si="5"/>
        <v>0.37495561867550581</v>
      </c>
      <c r="X34" s="98">
        <f t="shared" si="6"/>
        <v>0.4874423042781576</v>
      </c>
      <c r="Y34" s="97">
        <f t="shared" si="18"/>
        <v>0.7385489458759964</v>
      </c>
      <c r="Z34" s="96">
        <f t="shared" si="33"/>
        <v>0.7385489458759964</v>
      </c>
      <c r="AA34" s="96">
        <f t="shared" si="19"/>
        <v>0.39597932061562446</v>
      </c>
      <c r="AB34" s="96">
        <v>0</v>
      </c>
      <c r="AC34" s="96">
        <f t="shared" si="20"/>
        <v>1.5679962235521153E-3</v>
      </c>
      <c r="AD34" s="98">
        <f t="shared" si="21"/>
        <v>1.5679962235521153E-3</v>
      </c>
      <c r="AE34" s="97">
        <f t="shared" si="22"/>
        <v>9.3450477269895298E-3</v>
      </c>
      <c r="AF34" s="96">
        <f t="shared" si="23"/>
        <v>0.39597932061562446</v>
      </c>
      <c r="AG34" s="96">
        <f t="shared" si="10"/>
        <v>7.0559830059845194E-4</v>
      </c>
      <c r="AH34" s="96">
        <f t="shared" si="11"/>
        <v>7.9480523227788119E-2</v>
      </c>
      <c r="AI34" s="98">
        <f t="shared" si="24"/>
        <v>8.018612152838657E-2</v>
      </c>
      <c r="AJ34" s="97">
        <f t="shared" si="25"/>
        <v>0.18000000000000002</v>
      </c>
      <c r="AK34" s="96">
        <f t="shared" si="26"/>
        <v>0.29770098002042178</v>
      </c>
      <c r="AL34" s="96">
        <f t="shared" si="27"/>
        <v>0.126</v>
      </c>
      <c r="AM34" s="96">
        <f t="shared" si="14"/>
        <v>0.47399999999999998</v>
      </c>
      <c r="AN34" s="98">
        <f t="shared" si="28"/>
        <v>0.6</v>
      </c>
      <c r="AO34" s="97">
        <f t="shared" si="15"/>
        <v>4.2335898035907107E-3</v>
      </c>
      <c r="AP34" s="96">
        <f t="shared" si="16"/>
        <v>0.22950000000000001</v>
      </c>
      <c r="AQ34" s="98">
        <f t="shared" si="29"/>
        <v>5.8500000000000002E-3</v>
      </c>
      <c r="AR34" s="97">
        <f t="shared" si="30"/>
        <v>0.91976971133197727</v>
      </c>
      <c r="AS34" s="96">
        <f t="shared" si="31"/>
        <v>1.8000000000000003</v>
      </c>
      <c r="AT34" s="98">
        <f t="shared" si="32"/>
        <v>66.182073890309994</v>
      </c>
    </row>
    <row r="35" spans="17:46" x14ac:dyDescent="0.3">
      <c r="Q35" s="32">
        <v>28</v>
      </c>
      <c r="R35" s="97">
        <f t="shared" si="0"/>
        <v>10</v>
      </c>
      <c r="S35" s="96">
        <f t="shared" si="1"/>
        <v>0.18666666666666668</v>
      </c>
      <c r="T35" s="96">
        <f t="shared" si="2"/>
        <v>13</v>
      </c>
      <c r="U35" s="98">
        <f t="shared" si="3"/>
        <v>0.14358974358974358</v>
      </c>
      <c r="V35" s="97">
        <f t="shared" si="4"/>
        <v>1</v>
      </c>
      <c r="W35" s="96">
        <f t="shared" si="5"/>
        <v>0.381836112184334</v>
      </c>
      <c r="X35" s="98">
        <f t="shared" si="6"/>
        <v>0.49638694583963422</v>
      </c>
      <c r="Y35" s="97">
        <f t="shared" si="18"/>
        <v>0.75210143309035493</v>
      </c>
      <c r="Z35" s="96">
        <f t="shared" si="33"/>
        <v>0.75210143309035493</v>
      </c>
      <c r="AA35" s="96">
        <f t="shared" si="19"/>
        <v>0.40692859278676269</v>
      </c>
      <c r="AB35" s="96">
        <v>0</v>
      </c>
      <c r="AC35" s="96">
        <f t="shared" si="20"/>
        <v>1.6559087962741493E-3</v>
      </c>
      <c r="AD35" s="98">
        <f t="shared" si="21"/>
        <v>1.6559087962741493E-3</v>
      </c>
      <c r="AE35" s="97">
        <f t="shared" si="22"/>
        <v>1.0234513229145909E-2</v>
      </c>
      <c r="AF35" s="96">
        <f t="shared" si="23"/>
        <v>0.40692859278676269</v>
      </c>
      <c r="AG35" s="96">
        <f t="shared" si="10"/>
        <v>7.4515895832336727E-4</v>
      </c>
      <c r="AH35" s="96">
        <f t="shared" si="11"/>
        <v>8.2424246310298793E-2</v>
      </c>
      <c r="AI35" s="98">
        <f t="shared" si="24"/>
        <v>8.3169405268622154E-2</v>
      </c>
      <c r="AJ35" s="97">
        <f t="shared" si="25"/>
        <v>0.18666666666666668</v>
      </c>
      <c r="AK35" s="96">
        <f t="shared" si="26"/>
        <v>0.30593274588837283</v>
      </c>
      <c r="AL35" s="96">
        <f t="shared" si="27"/>
        <v>0.13066666666666665</v>
      </c>
      <c r="AM35" s="96">
        <f t="shared" si="14"/>
        <v>0.47399999999999998</v>
      </c>
      <c r="AN35" s="98">
        <f t="shared" si="28"/>
        <v>0.60466666666666669</v>
      </c>
      <c r="AO35" s="97">
        <f t="shared" si="15"/>
        <v>4.4709537499402026E-3</v>
      </c>
      <c r="AP35" s="96">
        <f t="shared" si="16"/>
        <v>0.22950000000000001</v>
      </c>
      <c r="AQ35" s="98">
        <f t="shared" si="29"/>
        <v>5.8500000000000002E-3</v>
      </c>
      <c r="AR35" s="97">
        <f t="shared" si="30"/>
        <v>0.92765702568522912</v>
      </c>
      <c r="AS35" s="96">
        <f t="shared" si="31"/>
        <v>1.8666666666666667</v>
      </c>
      <c r="AT35" s="98">
        <f t="shared" si="32"/>
        <v>66.802091388902454</v>
      </c>
    </row>
    <row r="36" spans="17:46" x14ac:dyDescent="0.3">
      <c r="Q36" s="32">
        <v>29</v>
      </c>
      <c r="R36" s="97">
        <f t="shared" si="0"/>
        <v>10</v>
      </c>
      <c r="S36" s="96">
        <f t="shared" si="1"/>
        <v>0.19333333333333336</v>
      </c>
      <c r="T36" s="96">
        <f t="shared" si="2"/>
        <v>13</v>
      </c>
      <c r="U36" s="98">
        <f t="shared" si="3"/>
        <v>0.14871794871794874</v>
      </c>
      <c r="V36" s="97">
        <f t="shared" si="4"/>
        <v>1</v>
      </c>
      <c r="W36" s="96">
        <f t="shared" si="5"/>
        <v>0.3885947981635412</v>
      </c>
      <c r="X36" s="98">
        <f t="shared" si="6"/>
        <v>0.50517323761260347</v>
      </c>
      <c r="Y36" s="97">
        <f t="shared" si="18"/>
        <v>0.76541399638273266</v>
      </c>
      <c r="Z36" s="96">
        <f t="shared" si="33"/>
        <v>0.76541399638273266</v>
      </c>
      <c r="AA36" s="96">
        <f t="shared" si="19"/>
        <v>0.41778051555229251</v>
      </c>
      <c r="AB36" s="96">
        <v>0</v>
      </c>
      <c r="AC36" s="96">
        <f t="shared" si="20"/>
        <v>1.7454055917513933E-3</v>
      </c>
      <c r="AD36" s="98">
        <f t="shared" si="21"/>
        <v>1.7454055917513933E-3</v>
      </c>
      <c r="AE36" s="97">
        <f t="shared" si="22"/>
        <v>1.1172930777967119E-2</v>
      </c>
      <c r="AF36" s="96">
        <f t="shared" si="23"/>
        <v>0.41778051555229251</v>
      </c>
      <c r="AG36" s="96">
        <f t="shared" si="10"/>
        <v>7.8543251628812713E-4</v>
      </c>
      <c r="AH36" s="96">
        <f t="shared" si="11"/>
        <v>8.5367969392809467E-2</v>
      </c>
      <c r="AI36" s="98">
        <f t="shared" si="24"/>
        <v>8.6153401909097593E-2</v>
      </c>
      <c r="AJ36" s="97">
        <f t="shared" si="25"/>
        <v>0.19333333333333336</v>
      </c>
      <c r="AK36" s="96">
        <f t="shared" si="26"/>
        <v>0.31409132355697827</v>
      </c>
      <c r="AL36" s="96">
        <f t="shared" si="27"/>
        <v>0.13533333333333333</v>
      </c>
      <c r="AM36" s="96">
        <f t="shared" si="14"/>
        <v>0.47399999999999998</v>
      </c>
      <c r="AN36" s="98">
        <f t="shared" si="28"/>
        <v>0.60933333333333328</v>
      </c>
      <c r="AO36" s="97">
        <f t="shared" si="15"/>
        <v>4.7125950977287617E-3</v>
      </c>
      <c r="AP36" s="96">
        <f t="shared" si="16"/>
        <v>0.22950000000000001</v>
      </c>
      <c r="AQ36" s="98">
        <f t="shared" si="29"/>
        <v>5.8500000000000002E-3</v>
      </c>
      <c r="AR36" s="97">
        <f t="shared" si="30"/>
        <v>0.93554933034015975</v>
      </c>
      <c r="AS36" s="96">
        <f t="shared" si="31"/>
        <v>1.9333333333333336</v>
      </c>
      <c r="AT36" s="98">
        <f t="shared" si="32"/>
        <v>67.389766678633521</v>
      </c>
    </row>
    <row r="37" spans="17:46" x14ac:dyDescent="0.3">
      <c r="Q37" s="32">
        <v>30</v>
      </c>
      <c r="R37" s="97">
        <f t="shared" si="0"/>
        <v>10</v>
      </c>
      <c r="S37" s="96">
        <f t="shared" si="1"/>
        <v>0.2</v>
      </c>
      <c r="T37" s="96">
        <f t="shared" si="2"/>
        <v>13</v>
      </c>
      <c r="U37" s="98">
        <f t="shared" si="3"/>
        <v>0.15384615384615385</v>
      </c>
      <c r="V37" s="97">
        <f t="shared" si="4"/>
        <v>1</v>
      </c>
      <c r="W37" s="96">
        <f t="shared" si="5"/>
        <v>0.39523792549738856</v>
      </c>
      <c r="X37" s="98">
        <f t="shared" si="6"/>
        <v>0.51380930314660511</v>
      </c>
      <c r="Y37" s="97">
        <f t="shared" si="18"/>
        <v>0.77849894416152299</v>
      </c>
      <c r="Z37" s="96">
        <f t="shared" si="33"/>
        <v>0.77849894416152299</v>
      </c>
      <c r="AA37" s="96">
        <f t="shared" si="19"/>
        <v>0.42853926865173558</v>
      </c>
      <c r="AB37" s="96">
        <v>0</v>
      </c>
      <c r="AC37" s="96">
        <f t="shared" si="20"/>
        <v>1.836459047765644E-3</v>
      </c>
      <c r="AD37" s="98">
        <f t="shared" si="21"/>
        <v>1.836459047765644E-3</v>
      </c>
      <c r="AE37" s="97">
        <f t="shared" si="22"/>
        <v>1.2161166938381188E-2</v>
      </c>
      <c r="AF37" s="96">
        <f t="shared" si="23"/>
        <v>0.42853926865173558</v>
      </c>
      <c r="AG37" s="96">
        <f t="shared" si="10"/>
        <v>8.2640657149453986E-4</v>
      </c>
      <c r="AH37" s="96">
        <f t="shared" si="11"/>
        <v>8.8311692475320155E-2</v>
      </c>
      <c r="AI37" s="98">
        <f t="shared" si="24"/>
        <v>8.9138099046814689E-2</v>
      </c>
      <c r="AJ37" s="97">
        <f t="shared" si="25"/>
        <v>0.2</v>
      </c>
      <c r="AK37" s="96">
        <f t="shared" si="26"/>
        <v>0.32217985539374805</v>
      </c>
      <c r="AL37" s="96">
        <f t="shared" si="27"/>
        <v>0.13999999999999999</v>
      </c>
      <c r="AM37" s="96">
        <f t="shared" si="14"/>
        <v>0.47399999999999998</v>
      </c>
      <c r="AN37" s="98">
        <f t="shared" si="28"/>
        <v>0.61399999999999999</v>
      </c>
      <c r="AO37" s="97">
        <f t="shared" si="15"/>
        <v>4.9584394289672387E-3</v>
      </c>
      <c r="AP37" s="96">
        <f t="shared" si="16"/>
        <v>0.22950000000000001</v>
      </c>
      <c r="AQ37" s="98">
        <f t="shared" si="29"/>
        <v>5.8500000000000002E-3</v>
      </c>
      <c r="AR37" s="97">
        <f t="shared" si="30"/>
        <v>0.94344653847578197</v>
      </c>
      <c r="AS37" s="96">
        <f t="shared" si="31"/>
        <v>2</v>
      </c>
      <c r="AT37" s="98">
        <f t="shared" si="32"/>
        <v>67.947556507537882</v>
      </c>
    </row>
    <row r="38" spans="17:46" x14ac:dyDescent="0.3">
      <c r="Q38" s="32">
        <v>31</v>
      </c>
      <c r="R38" s="97">
        <f t="shared" si="0"/>
        <v>10</v>
      </c>
      <c r="S38" s="96">
        <f t="shared" si="1"/>
        <v>0.20666666666666669</v>
      </c>
      <c r="T38" s="96">
        <f t="shared" si="2"/>
        <v>13</v>
      </c>
      <c r="U38" s="98">
        <f t="shared" si="3"/>
        <v>0.15897435897435899</v>
      </c>
      <c r="V38" s="97">
        <f t="shared" si="4"/>
        <v>1</v>
      </c>
      <c r="W38" s="96">
        <f t="shared" si="5"/>
        <v>0.40177122637540297</v>
      </c>
      <c r="X38" s="98">
        <f t="shared" si="6"/>
        <v>0.52230259428802384</v>
      </c>
      <c r="Y38" s="97">
        <f t="shared" si="18"/>
        <v>0.79136756710306655</v>
      </c>
      <c r="Z38" s="96">
        <f t="shared" si="33"/>
        <v>0.79136756710306655</v>
      </c>
      <c r="AA38" s="96">
        <f t="shared" si="19"/>
        <v>0.43920871947523121</v>
      </c>
      <c r="AB38" s="96">
        <v>0</v>
      </c>
      <c r="AC38" s="96">
        <f t="shared" si="20"/>
        <v>1.9290429926307234E-3</v>
      </c>
      <c r="AD38" s="98">
        <f t="shared" si="21"/>
        <v>1.9290429926307234E-3</v>
      </c>
      <c r="AE38" s="97">
        <f t="shared" si="22"/>
        <v>1.3200073454590164E-2</v>
      </c>
      <c r="AF38" s="96">
        <f t="shared" si="23"/>
        <v>0.43920871947523121</v>
      </c>
      <c r="AG38" s="96">
        <f t="shared" si="10"/>
        <v>8.6806934668382559E-4</v>
      </c>
      <c r="AH38" s="96">
        <f t="shared" si="11"/>
        <v>9.125541555783083E-2</v>
      </c>
      <c r="AI38" s="98">
        <f t="shared" si="24"/>
        <v>9.2123484904514649E-2</v>
      </c>
      <c r="AJ38" s="97">
        <f t="shared" si="25"/>
        <v>0.20666666666666669</v>
      </c>
      <c r="AK38" s="96">
        <f t="shared" si="26"/>
        <v>0.33020124893898717</v>
      </c>
      <c r="AL38" s="96">
        <f t="shared" si="27"/>
        <v>0.14466666666666667</v>
      </c>
      <c r="AM38" s="96">
        <f t="shared" si="14"/>
        <v>0.47399999999999998</v>
      </c>
      <c r="AN38" s="98">
        <f t="shared" si="28"/>
        <v>0.6186666666666667</v>
      </c>
      <c r="AO38" s="97">
        <f t="shared" si="15"/>
        <v>5.2084160801029534E-3</v>
      </c>
      <c r="AP38" s="96">
        <f t="shared" si="16"/>
        <v>0.22950000000000001</v>
      </c>
      <c r="AQ38" s="98">
        <f t="shared" si="29"/>
        <v>5.8500000000000002E-3</v>
      </c>
      <c r="AR38" s="97">
        <f t="shared" si="30"/>
        <v>0.95134856765128428</v>
      </c>
      <c r="AS38" s="96">
        <f t="shared" si="31"/>
        <v>2.0666666666666669</v>
      </c>
      <c r="AT38" s="98">
        <f t="shared" si="32"/>
        <v>68.477675101388883</v>
      </c>
    </row>
    <row r="39" spans="17:46" x14ac:dyDescent="0.3">
      <c r="Q39" s="32">
        <v>32</v>
      </c>
      <c r="R39" s="97">
        <f t="shared" si="0"/>
        <v>10</v>
      </c>
      <c r="S39" s="96">
        <f t="shared" ref="S39:S70" si="34">Q39*$O$12</f>
        <v>0.21333333333333335</v>
      </c>
      <c r="T39" s="96">
        <f t="shared" si="2"/>
        <v>13</v>
      </c>
      <c r="U39" s="98">
        <f t="shared" ref="U39:U70" si="35">(R39*S39)/(T39*EFF_est)</f>
        <v>0.1641025641025641</v>
      </c>
      <c r="V39" s="97">
        <f t="shared" ref="V39:V70" si="36">IF(S39&lt;((T39^2)*R39)/(2*Fsw*Lm*((T39+R39)^2)),1,2)</f>
        <v>1</v>
      </c>
      <c r="W39" s="96">
        <f t="shared" ref="W39:W70" si="37">CHOOSE(V39,SQRT(2*Lm*R39*S39*Fsw)/T39,R39/(T39+R39))</f>
        <v>0.40819997419758763</v>
      </c>
      <c r="X39" s="98">
        <f t="shared" ref="X39:X70" si="38">CHOOSE(V39,(Lm*Z39*Fsw)/(R39),1-W39)</f>
        <v>0.53065996645686397</v>
      </c>
      <c r="Y39" s="97">
        <f t="shared" si="18"/>
        <v>0.80403025220736968</v>
      </c>
      <c r="Z39" s="96">
        <f t="shared" si="33"/>
        <v>0.80403025220736968</v>
      </c>
      <c r="AA39" s="96">
        <f t="shared" si="19"/>
        <v>0.44979245570040371</v>
      </c>
      <c r="AB39" s="96">
        <v>0</v>
      </c>
      <c r="AC39" s="96">
        <f t="shared" si="20"/>
        <v>2.0231325320499965E-3</v>
      </c>
      <c r="AD39" s="98">
        <f t="shared" si="21"/>
        <v>2.0231325320499965E-3</v>
      </c>
      <c r="AE39" s="97">
        <f t="shared" si="22"/>
        <v>1.4290487985583925E-2</v>
      </c>
      <c r="AF39" s="96">
        <f t="shared" si="23"/>
        <v>0.44979245570040371</v>
      </c>
      <c r="AG39" s="96">
        <f t="shared" ref="AG39:AG70" si="39">(AF39^2)*RDS_on</f>
        <v>9.1040963942249839E-4</v>
      </c>
      <c r="AH39" s="96">
        <f t="shared" ref="AH39:AH70" si="40">(((R39+T39)*(U39+S39))/2)*Fsw*(tr_sw+tf_sw)</f>
        <v>9.419913864034149E-2</v>
      </c>
      <c r="AI39" s="98">
        <f t="shared" si="24"/>
        <v>9.5109548279763992E-2</v>
      </c>
      <c r="AJ39" s="97">
        <f t="shared" si="25"/>
        <v>0.21333333333333335</v>
      </c>
      <c r="AK39" s="96">
        <f t="shared" si="26"/>
        <v>0.33815820144249925</v>
      </c>
      <c r="AL39" s="96">
        <f t="shared" si="27"/>
        <v>0.14933333333333335</v>
      </c>
      <c r="AM39" s="96">
        <f t="shared" ref="AM39:AM70" si="41">(R39+T39+Vd_rect)*Qrr*Fsw</f>
        <v>0.47399999999999998</v>
      </c>
      <c r="AN39" s="98">
        <f t="shared" si="28"/>
        <v>0.62333333333333329</v>
      </c>
      <c r="AO39" s="97">
        <f t="shared" ref="AO39:AO70" si="42">(AF39^2)*R_cs</f>
        <v>5.4624578365349901E-3</v>
      </c>
      <c r="AP39" s="96">
        <f t="shared" si="16"/>
        <v>0.22950000000000001</v>
      </c>
      <c r="AQ39" s="98">
        <f t="shared" si="29"/>
        <v>5.8500000000000002E-3</v>
      </c>
      <c r="AR39" s="97">
        <f t="shared" si="30"/>
        <v>0.95925533944963237</v>
      </c>
      <c r="AS39" s="96">
        <f t="shared" si="31"/>
        <v>2.1333333333333333</v>
      </c>
      <c r="AT39" s="98">
        <f t="shared" si="32"/>
        <v>68.982123361836685</v>
      </c>
    </row>
    <row r="40" spans="17:46" x14ac:dyDescent="0.3">
      <c r="Q40" s="32">
        <v>33</v>
      </c>
      <c r="R40" s="97">
        <f t="shared" si="0"/>
        <v>10</v>
      </c>
      <c r="S40" s="96">
        <f t="shared" si="34"/>
        <v>0.22</v>
      </c>
      <c r="T40" s="96">
        <f t="shared" si="2"/>
        <v>13</v>
      </c>
      <c r="U40" s="98">
        <f t="shared" si="35"/>
        <v>0.16923076923076924</v>
      </c>
      <c r="V40" s="97">
        <f t="shared" si="36"/>
        <v>1</v>
      </c>
      <c r="W40" s="96">
        <f t="shared" si="37"/>
        <v>0.41452903339407626</v>
      </c>
      <c r="X40" s="98">
        <f t="shared" si="38"/>
        <v>0.53888774341229906</v>
      </c>
      <c r="Y40" s="97">
        <f t="shared" si="18"/>
        <v>0.81649658092772603</v>
      </c>
      <c r="Z40" s="96">
        <f t="shared" si="33"/>
        <v>0.81649658092772603</v>
      </c>
      <c r="AA40" s="96">
        <f t="shared" si="19"/>
        <v>0.46029381360807053</v>
      </c>
      <c r="AB40" s="96">
        <v>0</v>
      </c>
      <c r="AC40" s="96">
        <f t="shared" si="20"/>
        <v>2.118703948458612E-3</v>
      </c>
      <c r="AD40" s="98">
        <f t="shared" si="21"/>
        <v>2.118703948458612E-3</v>
      </c>
      <c r="AE40" s="97">
        <f t="shared" si="22"/>
        <v>1.5433234781748687E-2</v>
      </c>
      <c r="AF40" s="96">
        <f t="shared" si="23"/>
        <v>0.46029381360807053</v>
      </c>
      <c r="AG40" s="96">
        <f t="shared" si="39"/>
        <v>9.5341677680637542E-4</v>
      </c>
      <c r="AH40" s="96">
        <f t="shared" si="40"/>
        <v>9.7142861722852164E-2</v>
      </c>
      <c r="AI40" s="98">
        <f t="shared" si="24"/>
        <v>9.8096278499658546E-2</v>
      </c>
      <c r="AJ40" s="97">
        <f t="shared" si="25"/>
        <v>0.22</v>
      </c>
      <c r="AK40" s="96">
        <f t="shared" si="26"/>
        <v>0.34605322115160231</v>
      </c>
      <c r="AL40" s="96">
        <f t="shared" si="27"/>
        <v>0.154</v>
      </c>
      <c r="AM40" s="96">
        <f t="shared" si="41"/>
        <v>0.47399999999999998</v>
      </c>
      <c r="AN40" s="98">
        <f t="shared" si="28"/>
        <v>0.628</v>
      </c>
      <c r="AO40" s="97">
        <f t="shared" si="42"/>
        <v>5.7205006608382521E-3</v>
      </c>
      <c r="AP40" s="96">
        <f t="shared" si="16"/>
        <v>0.22950000000000001</v>
      </c>
      <c r="AQ40" s="98">
        <f t="shared" si="29"/>
        <v>5.8500000000000002E-3</v>
      </c>
      <c r="AR40" s="97">
        <f t="shared" si="30"/>
        <v>0.96716677916049687</v>
      </c>
      <c r="AS40" s="96">
        <f t="shared" si="31"/>
        <v>2.2000000000000002</v>
      </c>
      <c r="AT40" s="98">
        <f t="shared" si="32"/>
        <v>69.462713945968517</v>
      </c>
    </row>
    <row r="41" spans="17:46" x14ac:dyDescent="0.3">
      <c r="Q41" s="32">
        <v>34</v>
      </c>
      <c r="R41" s="97">
        <f t="shared" si="0"/>
        <v>10</v>
      </c>
      <c r="S41" s="96">
        <f t="shared" si="34"/>
        <v>0.22666666666666668</v>
      </c>
      <c r="T41" s="96">
        <f t="shared" si="2"/>
        <v>13</v>
      </c>
      <c r="U41" s="98">
        <f t="shared" si="35"/>
        <v>0.17435897435897435</v>
      </c>
      <c r="V41" s="97">
        <f t="shared" si="36"/>
        <v>1</v>
      </c>
      <c r="W41" s="96">
        <f t="shared" si="37"/>
        <v>0.42076290249776438</v>
      </c>
      <c r="X41" s="98">
        <f t="shared" si="38"/>
        <v>0.54699177324709369</v>
      </c>
      <c r="Y41" s="97">
        <f t="shared" si="18"/>
        <v>0.82877541401074806</v>
      </c>
      <c r="Z41" s="96">
        <f t="shared" si="33"/>
        <v>0.82877541401074806</v>
      </c>
      <c r="AA41" s="96">
        <f t="shared" si="19"/>
        <v>0.4707159027622721</v>
      </c>
      <c r="AB41" s="96">
        <v>0</v>
      </c>
      <c r="AC41" s="96">
        <f t="shared" si="20"/>
        <v>2.2157346111330084E-3</v>
      </c>
      <c r="AD41" s="98">
        <f t="shared" si="21"/>
        <v>2.2157346111330084E-3</v>
      </c>
      <c r="AE41" s="97">
        <f t="shared" si="22"/>
        <v>1.6629125308971475E-2</v>
      </c>
      <c r="AF41" s="96">
        <f t="shared" si="23"/>
        <v>0.4707159027622721</v>
      </c>
      <c r="AG41" s="96">
        <f t="shared" si="39"/>
        <v>9.9708057500985377E-4</v>
      </c>
      <c r="AH41" s="96">
        <f t="shared" si="40"/>
        <v>0.10008658480536282</v>
      </c>
      <c r="AI41" s="98">
        <f t="shared" si="24"/>
        <v>0.10108366538037268</v>
      </c>
      <c r="AJ41" s="97">
        <f t="shared" si="25"/>
        <v>0.22666666666666668</v>
      </c>
      <c r="AK41" s="96">
        <f t="shared" si="26"/>
        <v>0.35388864586580798</v>
      </c>
      <c r="AL41" s="96">
        <f t="shared" si="27"/>
        <v>0.15866666666666668</v>
      </c>
      <c r="AM41" s="96">
        <f t="shared" si="41"/>
        <v>0.47399999999999998</v>
      </c>
      <c r="AN41" s="98">
        <f t="shared" si="28"/>
        <v>0.63266666666666671</v>
      </c>
      <c r="AO41" s="97">
        <f t="shared" si="42"/>
        <v>5.9824834500591222E-3</v>
      </c>
      <c r="AP41" s="96">
        <f t="shared" si="16"/>
        <v>0.22950000000000001</v>
      </c>
      <c r="AQ41" s="98">
        <f t="shared" si="29"/>
        <v>5.8500000000000002E-3</v>
      </c>
      <c r="AR41" s="97">
        <f t="shared" si="30"/>
        <v>0.97508281549709863</v>
      </c>
      <c r="AS41" s="96">
        <f t="shared" si="31"/>
        <v>2.2666666666666666</v>
      </c>
      <c r="AT41" s="98">
        <f t="shared" si="32"/>
        <v>69.921092889440004</v>
      </c>
    </row>
    <row r="42" spans="17:46" x14ac:dyDescent="0.3">
      <c r="Q42" s="32">
        <v>35</v>
      </c>
      <c r="R42" s="97">
        <f t="shared" si="0"/>
        <v>10</v>
      </c>
      <c r="S42" s="96">
        <f t="shared" si="34"/>
        <v>0.23333333333333334</v>
      </c>
      <c r="T42" s="96">
        <f t="shared" si="2"/>
        <v>13</v>
      </c>
      <c r="U42" s="98">
        <f t="shared" si="35"/>
        <v>0.17948717948717949</v>
      </c>
      <c r="V42" s="97">
        <f t="shared" si="36"/>
        <v>1</v>
      </c>
      <c r="W42" s="96">
        <f t="shared" si="37"/>
        <v>0.42690575155420329</v>
      </c>
      <c r="X42" s="98">
        <f t="shared" si="38"/>
        <v>0.55497747702046418</v>
      </c>
      <c r="Y42" s="97">
        <f t="shared" si="18"/>
        <v>0.84087496518252158</v>
      </c>
      <c r="Z42" s="96">
        <f t="shared" si="33"/>
        <v>0.84087496518252158</v>
      </c>
      <c r="AA42" s="96">
        <f t="shared" si="19"/>
        <v>0.48106162761443866</v>
      </c>
      <c r="AB42" s="96">
        <v>0</v>
      </c>
      <c r="AC42" s="96">
        <f t="shared" si="20"/>
        <v>2.3142028956305285E-3</v>
      </c>
      <c r="AD42" s="98">
        <f t="shared" si="21"/>
        <v>2.3142028956305285E-3</v>
      </c>
      <c r="AE42" s="97">
        <f t="shared" si="22"/>
        <v>1.7878958825774328E-2</v>
      </c>
      <c r="AF42" s="96">
        <f t="shared" si="23"/>
        <v>0.48106162761443866</v>
      </c>
      <c r="AG42" s="96">
        <f t="shared" si="39"/>
        <v>1.0413913030337379E-3</v>
      </c>
      <c r="AH42" s="96">
        <f t="shared" si="40"/>
        <v>0.10303030788787348</v>
      </c>
      <c r="AI42" s="98">
        <f t="shared" si="24"/>
        <v>0.10407169919090722</v>
      </c>
      <c r="AJ42" s="97">
        <f t="shared" si="25"/>
        <v>0.23333333333333334</v>
      </c>
      <c r="AK42" s="96">
        <f t="shared" si="26"/>
        <v>0.36166665917903673</v>
      </c>
      <c r="AL42" s="96">
        <f t="shared" si="27"/>
        <v>0.16333333333333333</v>
      </c>
      <c r="AM42" s="96">
        <f t="shared" si="41"/>
        <v>0.47399999999999998</v>
      </c>
      <c r="AN42" s="98">
        <f t="shared" si="28"/>
        <v>0.63733333333333331</v>
      </c>
      <c r="AO42" s="97">
        <f t="shared" si="42"/>
        <v>6.2483478182024273E-3</v>
      </c>
      <c r="AP42" s="96">
        <f t="shared" si="16"/>
        <v>0.22950000000000001</v>
      </c>
      <c r="AQ42" s="98">
        <f t="shared" si="29"/>
        <v>5.8500000000000002E-3</v>
      </c>
      <c r="AR42" s="97">
        <f t="shared" si="30"/>
        <v>0.98300338034244295</v>
      </c>
      <c r="AS42" s="96">
        <f t="shared" si="31"/>
        <v>2.3333333333333335</v>
      </c>
      <c r="AT42" s="98">
        <f t="shared" si="32"/>
        <v>70.358758316404561</v>
      </c>
    </row>
    <row r="43" spans="17:46" x14ac:dyDescent="0.3">
      <c r="Q43" s="32">
        <v>36</v>
      </c>
      <c r="R43" s="97">
        <f t="shared" si="0"/>
        <v>10</v>
      </c>
      <c r="S43" s="96">
        <f t="shared" si="34"/>
        <v>0.24000000000000002</v>
      </c>
      <c r="T43" s="96">
        <f t="shared" si="2"/>
        <v>13</v>
      </c>
      <c r="U43" s="98">
        <f t="shared" si="35"/>
        <v>0.18461538461538465</v>
      </c>
      <c r="V43" s="97">
        <f t="shared" si="36"/>
        <v>1</v>
      </c>
      <c r="W43" s="96">
        <f t="shared" si="37"/>
        <v>0.43296145475293196</v>
      </c>
      <c r="X43" s="98">
        <f t="shared" si="38"/>
        <v>0.56284989117881157</v>
      </c>
      <c r="Y43" s="97">
        <f t="shared" si="18"/>
        <v>0.85280286542244177</v>
      </c>
      <c r="Z43" s="96">
        <f t="shared" si="33"/>
        <v>0.85280286542244177</v>
      </c>
      <c r="AA43" s="96">
        <f t="shared" si="19"/>
        <v>0.49133370649179786</v>
      </c>
      <c r="AB43" s="96">
        <v>0</v>
      </c>
      <c r="AC43" s="96">
        <f t="shared" si="20"/>
        <v>2.4140881113496816E-3</v>
      </c>
      <c r="AD43" s="98">
        <f t="shared" si="21"/>
        <v>2.4140881113496816E-3</v>
      </c>
      <c r="AE43" s="97">
        <f t="shared" si="22"/>
        <v>1.918352291828376E-2</v>
      </c>
      <c r="AF43" s="96">
        <f t="shared" si="23"/>
        <v>0.49133370649179786</v>
      </c>
      <c r="AG43" s="96">
        <f t="shared" si="39"/>
        <v>1.086339650107357E-3</v>
      </c>
      <c r="AH43" s="96">
        <f t="shared" si="40"/>
        <v>0.10597403097038416</v>
      </c>
      <c r="AI43" s="98">
        <f t="shared" si="24"/>
        <v>0.10706037062049152</v>
      </c>
      <c r="AJ43" s="97">
        <f t="shared" si="25"/>
        <v>0.24000000000000002</v>
      </c>
      <c r="AK43" s="96">
        <f t="shared" si="26"/>
        <v>0.36938930475528214</v>
      </c>
      <c r="AL43" s="96">
        <f t="shared" si="27"/>
        <v>0.16800000000000001</v>
      </c>
      <c r="AM43" s="96">
        <f t="shared" si="41"/>
        <v>0.47399999999999998</v>
      </c>
      <c r="AN43" s="98">
        <f t="shared" si="28"/>
        <v>0.64200000000000002</v>
      </c>
      <c r="AO43" s="97">
        <f t="shared" si="42"/>
        <v>6.5180379006441408E-3</v>
      </c>
      <c r="AP43" s="96">
        <f t="shared" si="16"/>
        <v>0.22950000000000001</v>
      </c>
      <c r="AQ43" s="98">
        <f t="shared" si="29"/>
        <v>5.8500000000000002E-3</v>
      </c>
      <c r="AR43" s="97">
        <f t="shared" si="30"/>
        <v>0.99092840852113573</v>
      </c>
      <c r="AS43" s="96">
        <f t="shared" si="31"/>
        <v>2.4000000000000004</v>
      </c>
      <c r="AT43" s="98">
        <f t="shared" si="32"/>
        <v>70.77707668404291</v>
      </c>
    </row>
    <row r="44" spans="17:46" x14ac:dyDescent="0.3">
      <c r="Q44" s="32">
        <v>37</v>
      </c>
      <c r="R44" s="97">
        <f t="shared" si="0"/>
        <v>10</v>
      </c>
      <c r="S44" s="96">
        <f t="shared" si="34"/>
        <v>0.24666666666666667</v>
      </c>
      <c r="T44" s="96">
        <f t="shared" si="2"/>
        <v>13</v>
      </c>
      <c r="U44" s="98">
        <f t="shared" si="35"/>
        <v>0.18974358974358976</v>
      </c>
      <c r="V44" s="97">
        <f t="shared" si="36"/>
        <v>2</v>
      </c>
      <c r="W44" s="96">
        <f t="shared" si="37"/>
        <v>0.43478260869565216</v>
      </c>
      <c r="X44" s="98">
        <f t="shared" si="38"/>
        <v>0.56521739130434789</v>
      </c>
      <c r="Y44" s="97">
        <f t="shared" si="18"/>
        <v>0.85638998682476952</v>
      </c>
      <c r="Z44" s="96">
        <f t="shared" si="33"/>
        <v>1.2928002432350261</v>
      </c>
      <c r="AA44" s="96">
        <f t="shared" si="19"/>
        <v>0.31164019955165356</v>
      </c>
      <c r="AB44" s="96">
        <v>0</v>
      </c>
      <c r="AC44" s="96">
        <f t="shared" si="20"/>
        <v>9.7119613976594449E-4</v>
      </c>
      <c r="AD44" s="98">
        <f t="shared" si="21"/>
        <v>9.7119613976594449E-4</v>
      </c>
      <c r="AE44" s="97">
        <f t="shared" si="22"/>
        <v>2.0349312523225568E-2</v>
      </c>
      <c r="AF44" s="96">
        <f t="shared" si="23"/>
        <v>0.31164019955165356</v>
      </c>
      <c r="AG44" s="96">
        <f t="shared" si="39"/>
        <v>4.370382628946751E-4</v>
      </c>
      <c r="AH44" s="96">
        <f t="shared" si="40"/>
        <v>0.10891775405289483</v>
      </c>
      <c r="AI44" s="98">
        <f t="shared" si="24"/>
        <v>0.10935479231578951</v>
      </c>
      <c r="AJ44" s="97">
        <f t="shared" si="25"/>
        <v>0.24666666666666667</v>
      </c>
      <c r="AK44" s="96">
        <f t="shared" si="26"/>
        <v>0.67606823324061127</v>
      </c>
      <c r="AL44" s="96">
        <f t="shared" si="27"/>
        <v>0.17266666666666666</v>
      </c>
      <c r="AM44" s="96">
        <f t="shared" si="41"/>
        <v>0.47399999999999998</v>
      </c>
      <c r="AN44" s="98">
        <f t="shared" si="28"/>
        <v>0.64666666666666661</v>
      </c>
      <c r="AO44" s="97">
        <f t="shared" si="42"/>
        <v>2.6222295773680503E-3</v>
      </c>
      <c r="AP44" s="96">
        <f t="shared" si="16"/>
        <v>0.22950000000000001</v>
      </c>
      <c r="AQ44" s="98">
        <f t="shared" si="29"/>
        <v>5.8500000000000002E-3</v>
      </c>
      <c r="AR44" s="97">
        <f t="shared" si="30"/>
        <v>0.99399368855982417</v>
      </c>
      <c r="AS44" s="96">
        <f t="shared" si="31"/>
        <v>2.4666666666666668</v>
      </c>
      <c r="AT44" s="98">
        <f t="shared" si="32"/>
        <v>71.277340549798922</v>
      </c>
    </row>
    <row r="45" spans="17:46" x14ac:dyDescent="0.3">
      <c r="Q45" s="32">
        <v>38</v>
      </c>
      <c r="R45" s="97">
        <f t="shared" si="0"/>
        <v>10</v>
      </c>
      <c r="S45" s="96">
        <f t="shared" si="34"/>
        <v>0.25333333333333335</v>
      </c>
      <c r="T45" s="96">
        <f t="shared" si="2"/>
        <v>13</v>
      </c>
      <c r="U45" s="98">
        <f t="shared" si="35"/>
        <v>0.1948717948717949</v>
      </c>
      <c r="V45" s="97">
        <f t="shared" si="36"/>
        <v>2</v>
      </c>
      <c r="W45" s="96">
        <f t="shared" si="37"/>
        <v>0.43478260869565216</v>
      </c>
      <c r="X45" s="98">
        <f t="shared" si="38"/>
        <v>0.56521739130434789</v>
      </c>
      <c r="Y45" s="97">
        <f t="shared" si="18"/>
        <v>0.85638998682476952</v>
      </c>
      <c r="Z45" s="96">
        <f t="shared" si="33"/>
        <v>1.3045951150298978</v>
      </c>
      <c r="AA45" s="96">
        <f t="shared" si="19"/>
        <v>0.31478881899515687</v>
      </c>
      <c r="AB45" s="96">
        <v>0</v>
      </c>
      <c r="AC45" s="96">
        <f t="shared" si="20"/>
        <v>9.9092000564365628E-4</v>
      </c>
      <c r="AD45" s="98">
        <f t="shared" si="21"/>
        <v>9.9092000564365628E-4</v>
      </c>
      <c r="AE45" s="97">
        <f t="shared" si="22"/>
        <v>2.1464139725009296E-2</v>
      </c>
      <c r="AF45" s="96">
        <f t="shared" si="23"/>
        <v>0.31478881899515687</v>
      </c>
      <c r="AG45" s="96">
        <f t="shared" si="39"/>
        <v>4.4591400253964541E-4</v>
      </c>
      <c r="AH45" s="96">
        <f t="shared" si="40"/>
        <v>0.11186147713540552</v>
      </c>
      <c r="AI45" s="98">
        <f t="shared" si="24"/>
        <v>0.11230739113794516</v>
      </c>
      <c r="AJ45" s="97">
        <f t="shared" si="25"/>
        <v>0.25333333333333335</v>
      </c>
      <c r="AK45" s="96">
        <f t="shared" si="26"/>
        <v>0.68459839210543671</v>
      </c>
      <c r="AL45" s="96">
        <f t="shared" si="27"/>
        <v>0.17733333333333334</v>
      </c>
      <c r="AM45" s="96">
        <f t="shared" si="41"/>
        <v>0.47399999999999998</v>
      </c>
      <c r="AN45" s="98">
        <f t="shared" si="28"/>
        <v>0.65133333333333332</v>
      </c>
      <c r="AO45" s="97">
        <f t="shared" si="42"/>
        <v>2.6754840152378723E-3</v>
      </c>
      <c r="AP45" s="96">
        <f t="shared" si="16"/>
        <v>0.22950000000000001</v>
      </c>
      <c r="AQ45" s="98">
        <f t="shared" si="29"/>
        <v>5.8500000000000002E-3</v>
      </c>
      <c r="AR45" s="97">
        <f t="shared" si="30"/>
        <v>1.0016662084865164</v>
      </c>
      <c r="AS45" s="96">
        <f t="shared" si="31"/>
        <v>2.5333333333333337</v>
      </c>
      <c r="AT45" s="98">
        <f t="shared" si="32"/>
        <v>71.664318576662396</v>
      </c>
    </row>
    <row r="46" spans="17:46" x14ac:dyDescent="0.3">
      <c r="Q46" s="32">
        <v>39</v>
      </c>
      <c r="R46" s="97">
        <f t="shared" si="0"/>
        <v>10</v>
      </c>
      <c r="S46" s="96">
        <f t="shared" si="34"/>
        <v>0.26</v>
      </c>
      <c r="T46" s="96">
        <f t="shared" si="2"/>
        <v>13</v>
      </c>
      <c r="U46" s="98">
        <f t="shared" si="35"/>
        <v>0.2</v>
      </c>
      <c r="V46" s="97">
        <f t="shared" si="36"/>
        <v>2</v>
      </c>
      <c r="W46" s="96">
        <f t="shared" si="37"/>
        <v>0.43478260869565216</v>
      </c>
      <c r="X46" s="98">
        <f t="shared" si="38"/>
        <v>0.56521739130434789</v>
      </c>
      <c r="Y46" s="97">
        <f t="shared" si="18"/>
        <v>0.85638998682476952</v>
      </c>
      <c r="Z46" s="96">
        <f t="shared" si="33"/>
        <v>1.3163899868247695</v>
      </c>
      <c r="AA46" s="96">
        <f t="shared" si="19"/>
        <v>0.31798896856307884</v>
      </c>
      <c r="AB46" s="96">
        <v>0</v>
      </c>
      <c r="AC46" s="96">
        <f t="shared" si="20"/>
        <v>1.0111698412781074E-3</v>
      </c>
      <c r="AD46" s="98">
        <f t="shared" si="21"/>
        <v>1.0111698412781074E-3</v>
      </c>
      <c r="AE46" s="97">
        <f t="shared" si="22"/>
        <v>2.2608695652173914E-2</v>
      </c>
      <c r="AF46" s="96">
        <f t="shared" si="23"/>
        <v>0.31798896856307884</v>
      </c>
      <c r="AG46" s="96">
        <f t="shared" si="39"/>
        <v>4.5502642857514838E-4</v>
      </c>
      <c r="AH46" s="96">
        <f t="shared" si="40"/>
        <v>0.11480520021791618</v>
      </c>
      <c r="AI46" s="98">
        <f t="shared" si="24"/>
        <v>0.11526022664649133</v>
      </c>
      <c r="AJ46" s="97">
        <f t="shared" si="25"/>
        <v>0.26</v>
      </c>
      <c r="AK46" s="96">
        <f t="shared" si="26"/>
        <v>0.69313701813341488</v>
      </c>
      <c r="AL46" s="96">
        <f t="shared" si="27"/>
        <v>0.182</v>
      </c>
      <c r="AM46" s="96">
        <f t="shared" si="41"/>
        <v>0.47399999999999998</v>
      </c>
      <c r="AN46" s="98">
        <f t="shared" si="28"/>
        <v>0.65599999999999992</v>
      </c>
      <c r="AO46" s="97">
        <f t="shared" si="42"/>
        <v>2.73015857145089E-3</v>
      </c>
      <c r="AP46" s="96">
        <f t="shared" si="16"/>
        <v>0.22950000000000001</v>
      </c>
      <c r="AQ46" s="98">
        <f t="shared" si="29"/>
        <v>5.8500000000000002E-3</v>
      </c>
      <c r="AR46" s="97">
        <f t="shared" si="30"/>
        <v>1.0093403852179421</v>
      </c>
      <c r="AS46" s="96">
        <f t="shared" si="31"/>
        <v>2.6</v>
      </c>
      <c r="AT46" s="98">
        <f t="shared" si="32"/>
        <v>72.035322870857598</v>
      </c>
    </row>
    <row r="47" spans="17:46" x14ac:dyDescent="0.3">
      <c r="Q47" s="32">
        <v>40</v>
      </c>
      <c r="R47" s="97">
        <f t="shared" si="0"/>
        <v>10</v>
      </c>
      <c r="S47" s="96">
        <f t="shared" si="34"/>
        <v>0.26666666666666666</v>
      </c>
      <c r="T47" s="96">
        <f t="shared" si="2"/>
        <v>13</v>
      </c>
      <c r="U47" s="98">
        <f t="shared" si="35"/>
        <v>0.20512820512820512</v>
      </c>
      <c r="V47" s="97">
        <f t="shared" si="36"/>
        <v>2</v>
      </c>
      <c r="W47" s="96">
        <f t="shared" si="37"/>
        <v>0.43478260869565216</v>
      </c>
      <c r="X47" s="98">
        <f t="shared" si="38"/>
        <v>0.56521739130434789</v>
      </c>
      <c r="Y47" s="97">
        <f t="shared" si="18"/>
        <v>0.85638998682476952</v>
      </c>
      <c r="Z47" s="96">
        <f t="shared" si="33"/>
        <v>1.3281848586196414</v>
      </c>
      <c r="AA47" s="96">
        <f t="shared" si="19"/>
        <v>0.32123910824638047</v>
      </c>
      <c r="AB47" s="96">
        <v>0</v>
      </c>
      <c r="AC47" s="96">
        <f t="shared" si="20"/>
        <v>1.0319456466692976E-3</v>
      </c>
      <c r="AD47" s="98">
        <f t="shared" si="21"/>
        <v>1.0319456466692976E-3</v>
      </c>
      <c r="AE47" s="97">
        <f t="shared" si="22"/>
        <v>2.3782980304719436E-2</v>
      </c>
      <c r="AF47" s="96">
        <f t="shared" si="23"/>
        <v>0.32123910824638047</v>
      </c>
      <c r="AG47" s="96">
        <f t="shared" si="39"/>
        <v>4.6437554100118395E-4</v>
      </c>
      <c r="AH47" s="96">
        <f t="shared" si="40"/>
        <v>0.11774892330042686</v>
      </c>
      <c r="AI47" s="98">
        <f t="shared" si="24"/>
        <v>0.11821329884142803</v>
      </c>
      <c r="AJ47" s="97">
        <f t="shared" si="25"/>
        <v>0.26666666666666666</v>
      </c>
      <c r="AK47" s="96">
        <f t="shared" si="26"/>
        <v>0.7016838022198314</v>
      </c>
      <c r="AL47" s="96">
        <f t="shared" si="27"/>
        <v>0.18666666666666665</v>
      </c>
      <c r="AM47" s="96">
        <f t="shared" si="41"/>
        <v>0.47399999999999998</v>
      </c>
      <c r="AN47" s="98">
        <f t="shared" si="28"/>
        <v>0.66066666666666662</v>
      </c>
      <c r="AO47" s="97">
        <f t="shared" si="42"/>
        <v>2.7862532460071034E-3</v>
      </c>
      <c r="AP47" s="96">
        <f t="shared" si="16"/>
        <v>0.22950000000000001</v>
      </c>
      <c r="AQ47" s="98">
        <f t="shared" si="29"/>
        <v>5.8500000000000002E-3</v>
      </c>
      <c r="AR47" s="97">
        <f t="shared" si="30"/>
        <v>1.0170162187541016</v>
      </c>
      <c r="AS47" s="96">
        <f t="shared" si="31"/>
        <v>2.6666666666666665</v>
      </c>
      <c r="AT47" s="98">
        <f t="shared" si="32"/>
        <v>72.391320035195349</v>
      </c>
    </row>
    <row r="48" spans="17:46" x14ac:dyDescent="0.3">
      <c r="Q48" s="32">
        <v>41</v>
      </c>
      <c r="R48" s="97">
        <f t="shared" si="0"/>
        <v>10</v>
      </c>
      <c r="S48" s="96">
        <f t="shared" si="34"/>
        <v>0.27333333333333337</v>
      </c>
      <c r="T48" s="96">
        <f t="shared" si="2"/>
        <v>13</v>
      </c>
      <c r="U48" s="98">
        <f t="shared" si="35"/>
        <v>0.21025641025641029</v>
      </c>
      <c r="V48" s="97">
        <f t="shared" si="36"/>
        <v>2</v>
      </c>
      <c r="W48" s="96">
        <f t="shared" si="37"/>
        <v>0.43478260869565216</v>
      </c>
      <c r="X48" s="98">
        <f t="shared" si="38"/>
        <v>0.56521739130434789</v>
      </c>
      <c r="Y48" s="97">
        <f t="shared" si="18"/>
        <v>0.85638998682476952</v>
      </c>
      <c r="Z48" s="96">
        <f t="shared" si="33"/>
        <v>1.3399797304145131</v>
      </c>
      <c r="AA48" s="96">
        <f t="shared" si="19"/>
        <v>0.3245377361443853</v>
      </c>
      <c r="AB48" s="96">
        <v>0</v>
      </c>
      <c r="AC48" s="96">
        <f t="shared" si="20"/>
        <v>1.0532474218172265E-3</v>
      </c>
      <c r="AD48" s="98">
        <f t="shared" si="21"/>
        <v>1.0532474218172265E-3</v>
      </c>
      <c r="AE48" s="97">
        <f t="shared" si="22"/>
        <v>2.4986993682645862E-2</v>
      </c>
      <c r="AF48" s="96">
        <f t="shared" si="23"/>
        <v>0.3245377361443853</v>
      </c>
      <c r="AG48" s="96">
        <f t="shared" si="39"/>
        <v>4.7396133981775197E-4</v>
      </c>
      <c r="AH48" s="96">
        <f t="shared" si="40"/>
        <v>0.12069264638293753</v>
      </c>
      <c r="AI48" s="98">
        <f t="shared" si="24"/>
        <v>0.12116660772275528</v>
      </c>
      <c r="AJ48" s="97">
        <f t="shared" si="25"/>
        <v>0.27333333333333337</v>
      </c>
      <c r="AK48" s="96">
        <f t="shared" si="26"/>
        <v>0.71023844985028939</v>
      </c>
      <c r="AL48" s="96">
        <f t="shared" si="27"/>
        <v>0.19133333333333336</v>
      </c>
      <c r="AM48" s="96">
        <f t="shared" si="41"/>
        <v>0.47399999999999998</v>
      </c>
      <c r="AN48" s="98">
        <f t="shared" si="28"/>
        <v>0.66533333333333333</v>
      </c>
      <c r="AO48" s="97">
        <f t="shared" si="42"/>
        <v>2.8437680389065117E-3</v>
      </c>
      <c r="AP48" s="96">
        <f t="shared" si="16"/>
        <v>0.22950000000000001</v>
      </c>
      <c r="AQ48" s="98">
        <f t="shared" si="29"/>
        <v>5.8500000000000002E-3</v>
      </c>
      <c r="AR48" s="97">
        <f t="shared" si="30"/>
        <v>1.024693709094995</v>
      </c>
      <c r="AS48" s="96">
        <f t="shared" si="31"/>
        <v>2.7333333333333338</v>
      </c>
      <c r="AT48" s="98">
        <f t="shared" si="32"/>
        <v>72.733200226444694</v>
      </c>
    </row>
    <row r="49" spans="17:46" x14ac:dyDescent="0.3">
      <c r="Q49" s="32">
        <v>42</v>
      </c>
      <c r="R49" s="97">
        <f t="shared" si="0"/>
        <v>10</v>
      </c>
      <c r="S49" s="96">
        <f t="shared" si="34"/>
        <v>0.28000000000000003</v>
      </c>
      <c r="T49" s="96">
        <f t="shared" si="2"/>
        <v>13</v>
      </c>
      <c r="U49" s="98">
        <f t="shared" si="35"/>
        <v>0.2153846153846154</v>
      </c>
      <c r="V49" s="97">
        <f t="shared" si="36"/>
        <v>2</v>
      </c>
      <c r="W49" s="96">
        <f t="shared" si="37"/>
        <v>0.43478260869565216</v>
      </c>
      <c r="X49" s="98">
        <f t="shared" si="38"/>
        <v>0.56521739130434789</v>
      </c>
      <c r="Y49" s="97">
        <f t="shared" si="18"/>
        <v>0.85638998682476952</v>
      </c>
      <c r="Z49" s="96">
        <f t="shared" si="33"/>
        <v>1.3517746022093848</v>
      </c>
      <c r="AA49" s="96">
        <f t="shared" si="19"/>
        <v>0.32788338883235524</v>
      </c>
      <c r="AB49" s="96">
        <v>0</v>
      </c>
      <c r="AC49" s="96">
        <f t="shared" si="20"/>
        <v>1.0750751667218945E-3</v>
      </c>
      <c r="AD49" s="98">
        <f t="shared" si="21"/>
        <v>1.0750751667218945E-3</v>
      </c>
      <c r="AE49" s="97">
        <f t="shared" si="22"/>
        <v>2.6220735785953183E-2</v>
      </c>
      <c r="AF49" s="96">
        <f t="shared" si="23"/>
        <v>0.32788338883235524</v>
      </c>
      <c r="AG49" s="96">
        <f t="shared" si="39"/>
        <v>4.8378382502485258E-4</v>
      </c>
      <c r="AH49" s="96">
        <f t="shared" si="40"/>
        <v>0.1236363694654482</v>
      </c>
      <c r="AI49" s="98">
        <f t="shared" si="24"/>
        <v>0.12412015329047306</v>
      </c>
      <c r="AJ49" s="97">
        <f t="shared" si="25"/>
        <v>0.28000000000000003</v>
      </c>
      <c r="AK49" s="96">
        <f t="shared" si="26"/>
        <v>0.71880068026614274</v>
      </c>
      <c r="AL49" s="96">
        <f t="shared" si="27"/>
        <v>0.19600000000000001</v>
      </c>
      <c r="AM49" s="96">
        <f t="shared" si="41"/>
        <v>0.47399999999999998</v>
      </c>
      <c r="AN49" s="98">
        <f t="shared" si="28"/>
        <v>0.66999999999999993</v>
      </c>
      <c r="AO49" s="97">
        <f t="shared" si="42"/>
        <v>2.9027029501491153E-3</v>
      </c>
      <c r="AP49" s="96">
        <f t="shared" si="16"/>
        <v>0.22950000000000001</v>
      </c>
      <c r="AQ49" s="98">
        <f t="shared" si="29"/>
        <v>5.8500000000000002E-3</v>
      </c>
      <c r="AR49" s="97">
        <f t="shared" si="30"/>
        <v>1.032372856240622</v>
      </c>
      <c r="AS49" s="96">
        <f t="shared" si="31"/>
        <v>2.8000000000000003</v>
      </c>
      <c r="AT49" s="98">
        <f t="shared" si="32"/>
        <v>73.061784566198725</v>
      </c>
    </row>
    <row r="50" spans="17:46" x14ac:dyDescent="0.3">
      <c r="Q50" s="32">
        <v>43</v>
      </c>
      <c r="R50" s="97">
        <f t="shared" si="0"/>
        <v>10</v>
      </c>
      <c r="S50" s="96">
        <f t="shared" si="34"/>
        <v>0.28666666666666668</v>
      </c>
      <c r="T50" s="96">
        <f t="shared" si="2"/>
        <v>13</v>
      </c>
      <c r="U50" s="98">
        <f t="shared" si="35"/>
        <v>0.22051282051282051</v>
      </c>
      <c r="V50" s="97">
        <f t="shared" si="36"/>
        <v>2</v>
      </c>
      <c r="W50" s="96">
        <f t="shared" si="37"/>
        <v>0.43478260869565216</v>
      </c>
      <c r="X50" s="98">
        <f t="shared" si="38"/>
        <v>0.56521739130434789</v>
      </c>
      <c r="Y50" s="97">
        <f t="shared" si="18"/>
        <v>0.85638998682476952</v>
      </c>
      <c r="Z50" s="96">
        <f t="shared" si="33"/>
        <v>1.3635694740042568</v>
      </c>
      <c r="AA50" s="96">
        <f t="shared" si="19"/>
        <v>0.33127464155641334</v>
      </c>
      <c r="AB50" s="96">
        <v>0</v>
      </c>
      <c r="AC50" s="96">
        <f t="shared" si="20"/>
        <v>1.0974288813833013E-3</v>
      </c>
      <c r="AD50" s="98">
        <f t="shared" si="21"/>
        <v>1.0974288813833013E-3</v>
      </c>
      <c r="AE50" s="97">
        <f t="shared" si="22"/>
        <v>2.7484206614641397E-2</v>
      </c>
      <c r="AF50" s="96">
        <f t="shared" si="23"/>
        <v>0.33127464155641334</v>
      </c>
      <c r="AG50" s="96">
        <f t="shared" si="39"/>
        <v>4.9384299662248569E-4</v>
      </c>
      <c r="AH50" s="96">
        <f t="shared" si="40"/>
        <v>0.12658009254795888</v>
      </c>
      <c r="AI50" s="98">
        <f t="shared" si="24"/>
        <v>0.12707393554458135</v>
      </c>
      <c r="AJ50" s="97">
        <f t="shared" si="25"/>
        <v>0.28666666666666668</v>
      </c>
      <c r="AK50" s="96">
        <f t="shared" si="26"/>
        <v>0.7273702256854222</v>
      </c>
      <c r="AL50" s="96">
        <f t="shared" si="27"/>
        <v>0.20066666666666666</v>
      </c>
      <c r="AM50" s="96">
        <f t="shared" si="41"/>
        <v>0.47399999999999998</v>
      </c>
      <c r="AN50" s="98">
        <f t="shared" si="28"/>
        <v>0.67466666666666664</v>
      </c>
      <c r="AO50" s="97">
        <f t="shared" si="42"/>
        <v>2.9630579797349137E-3</v>
      </c>
      <c r="AP50" s="96">
        <f t="shared" si="16"/>
        <v>0.22950000000000001</v>
      </c>
      <c r="AQ50" s="98">
        <f t="shared" si="29"/>
        <v>5.8500000000000002E-3</v>
      </c>
      <c r="AR50" s="97">
        <f t="shared" si="30"/>
        <v>1.0400536601909829</v>
      </c>
      <c r="AS50" s="96">
        <f t="shared" si="31"/>
        <v>2.8666666666666667</v>
      </c>
      <c r="AT50" s="98">
        <f t="shared" si="32"/>
        <v>73.377831706024764</v>
      </c>
    </row>
    <row r="51" spans="17:46" x14ac:dyDescent="0.3">
      <c r="Q51" s="32">
        <v>44</v>
      </c>
      <c r="R51" s="97">
        <f t="shared" si="0"/>
        <v>10</v>
      </c>
      <c r="S51" s="96">
        <f t="shared" si="34"/>
        <v>0.29333333333333333</v>
      </c>
      <c r="T51" s="96">
        <f t="shared" si="2"/>
        <v>13</v>
      </c>
      <c r="U51" s="98">
        <f t="shared" si="35"/>
        <v>0.22564102564102567</v>
      </c>
      <c r="V51" s="97">
        <f t="shared" si="36"/>
        <v>2</v>
      </c>
      <c r="W51" s="96">
        <f t="shared" si="37"/>
        <v>0.43478260869565216</v>
      </c>
      <c r="X51" s="98">
        <f t="shared" si="38"/>
        <v>0.56521739130434789</v>
      </c>
      <c r="Y51" s="97">
        <f t="shared" si="18"/>
        <v>0.85638998682476952</v>
      </c>
      <c r="Z51" s="96">
        <f t="shared" si="33"/>
        <v>1.3753643457991285</v>
      </c>
      <c r="AA51" s="96">
        <f t="shared" si="19"/>
        <v>0.33471010827303194</v>
      </c>
      <c r="AB51" s="96">
        <v>0</v>
      </c>
      <c r="AC51" s="96">
        <f t="shared" si="20"/>
        <v>1.1203085658014476E-3</v>
      </c>
      <c r="AD51" s="98">
        <f t="shared" si="21"/>
        <v>1.1203085658014476E-3</v>
      </c>
      <c r="AE51" s="97">
        <f t="shared" si="22"/>
        <v>2.8777406168710516E-2</v>
      </c>
      <c r="AF51" s="96">
        <f t="shared" si="23"/>
        <v>0.33471010827303194</v>
      </c>
      <c r="AG51" s="96">
        <f t="shared" si="39"/>
        <v>5.0413885461065146E-4</v>
      </c>
      <c r="AH51" s="96">
        <f t="shared" si="40"/>
        <v>0.12952381563046952</v>
      </c>
      <c r="AI51" s="98">
        <f t="shared" si="24"/>
        <v>0.13002795448508017</v>
      </c>
      <c r="AJ51" s="97">
        <f t="shared" si="25"/>
        <v>0.29333333333333333</v>
      </c>
      <c r="AK51" s="96">
        <f t="shared" si="26"/>
        <v>0.73594683057508947</v>
      </c>
      <c r="AL51" s="96">
        <f t="shared" si="27"/>
        <v>0.20533333333333331</v>
      </c>
      <c r="AM51" s="96">
        <f t="shared" si="41"/>
        <v>0.47399999999999998</v>
      </c>
      <c r="AN51" s="98">
        <f t="shared" si="28"/>
        <v>0.67933333333333334</v>
      </c>
      <c r="AO51" s="97">
        <f t="shared" si="42"/>
        <v>3.0248331276639087E-3</v>
      </c>
      <c r="AP51" s="96">
        <f t="shared" si="16"/>
        <v>0.22950000000000001</v>
      </c>
      <c r="AQ51" s="98">
        <f t="shared" si="29"/>
        <v>5.8500000000000002E-3</v>
      </c>
      <c r="AR51" s="97">
        <f t="shared" si="30"/>
        <v>1.0477361209460774</v>
      </c>
      <c r="AS51" s="96">
        <f t="shared" si="31"/>
        <v>2.9333333333333336</v>
      </c>
      <c r="AT51" s="98">
        <f t="shared" si="32"/>
        <v>73.682043657394019</v>
      </c>
    </row>
    <row r="52" spans="17:46" x14ac:dyDescent="0.3">
      <c r="Q52" s="32">
        <v>45</v>
      </c>
      <c r="R52" s="97">
        <f t="shared" si="0"/>
        <v>10</v>
      </c>
      <c r="S52" s="96">
        <f t="shared" si="34"/>
        <v>0.30000000000000004</v>
      </c>
      <c r="T52" s="96">
        <f t="shared" si="2"/>
        <v>13</v>
      </c>
      <c r="U52" s="98">
        <f t="shared" si="35"/>
        <v>0.23076923076923081</v>
      </c>
      <c r="V52" s="97">
        <f t="shared" si="36"/>
        <v>2</v>
      </c>
      <c r="W52" s="96">
        <f t="shared" si="37"/>
        <v>0.43478260869565216</v>
      </c>
      <c r="X52" s="98">
        <f t="shared" si="38"/>
        <v>0.56521739130434789</v>
      </c>
      <c r="Y52" s="97">
        <f t="shared" si="18"/>
        <v>0.85638998682476952</v>
      </c>
      <c r="Z52" s="96">
        <f t="shared" si="33"/>
        <v>1.3871592175940004</v>
      </c>
      <c r="AA52" s="96">
        <f t="shared" si="19"/>
        <v>0.33818844154943151</v>
      </c>
      <c r="AB52" s="96">
        <v>0</v>
      </c>
      <c r="AC52" s="96">
        <f t="shared" si="20"/>
        <v>1.1437142199763326E-3</v>
      </c>
      <c r="AD52" s="98">
        <f t="shared" si="21"/>
        <v>1.1437142199763326E-3</v>
      </c>
      <c r="AE52" s="97">
        <f t="shared" si="22"/>
        <v>3.0100334448160543E-2</v>
      </c>
      <c r="AF52" s="96">
        <f t="shared" si="23"/>
        <v>0.33818844154943151</v>
      </c>
      <c r="AG52" s="96">
        <f t="shared" si="39"/>
        <v>5.1467139898934966E-4</v>
      </c>
      <c r="AH52" s="96">
        <f t="shared" si="40"/>
        <v>0.13246753871298023</v>
      </c>
      <c r="AI52" s="98">
        <f t="shared" si="24"/>
        <v>0.13298221011196956</v>
      </c>
      <c r="AJ52" s="97">
        <f t="shared" si="25"/>
        <v>0.30000000000000004</v>
      </c>
      <c r="AK52" s="96">
        <f t="shared" si="26"/>
        <v>0.74453025097079972</v>
      </c>
      <c r="AL52" s="96">
        <f t="shared" si="27"/>
        <v>0.21000000000000002</v>
      </c>
      <c r="AM52" s="96">
        <f t="shared" si="41"/>
        <v>0.47399999999999998</v>
      </c>
      <c r="AN52" s="98">
        <f t="shared" si="28"/>
        <v>0.68399999999999994</v>
      </c>
      <c r="AO52" s="97">
        <f t="shared" si="42"/>
        <v>3.0880283939360978E-3</v>
      </c>
      <c r="AP52" s="96">
        <f t="shared" si="16"/>
        <v>0.22950000000000001</v>
      </c>
      <c r="AQ52" s="98">
        <f t="shared" si="29"/>
        <v>5.8500000000000002E-3</v>
      </c>
      <c r="AR52" s="97">
        <f t="shared" si="30"/>
        <v>1.0554202385059055</v>
      </c>
      <c r="AS52" s="96">
        <f t="shared" si="31"/>
        <v>3.0000000000000004</v>
      </c>
      <c r="AT52" s="98">
        <f t="shared" si="32"/>
        <v>73.975070980689722</v>
      </c>
    </row>
    <row r="53" spans="17:46" x14ac:dyDescent="0.3">
      <c r="Q53" s="32">
        <v>46</v>
      </c>
      <c r="R53" s="97">
        <f t="shared" si="0"/>
        <v>10</v>
      </c>
      <c r="S53" s="96">
        <f t="shared" si="34"/>
        <v>0.3066666666666667</v>
      </c>
      <c r="T53" s="96">
        <f t="shared" si="2"/>
        <v>13</v>
      </c>
      <c r="U53" s="98">
        <f t="shared" si="35"/>
        <v>0.23589743589743592</v>
      </c>
      <c r="V53" s="97">
        <f t="shared" si="36"/>
        <v>2</v>
      </c>
      <c r="W53" s="96">
        <f t="shared" si="37"/>
        <v>0.43478260869565216</v>
      </c>
      <c r="X53" s="98">
        <f t="shared" si="38"/>
        <v>0.56521739130434789</v>
      </c>
      <c r="Y53" s="97">
        <f t="shared" si="18"/>
        <v>0.85638998682476952</v>
      </c>
      <c r="Z53" s="96">
        <f t="shared" si="33"/>
        <v>1.3989540893888721</v>
      </c>
      <c r="AA53" s="96">
        <f t="shared" si="19"/>
        <v>0.34170833234030984</v>
      </c>
      <c r="AB53" s="96">
        <v>0</v>
      </c>
      <c r="AC53" s="96">
        <f t="shared" si="20"/>
        <v>1.1676458439079565E-3</v>
      </c>
      <c r="AD53" s="98">
        <f t="shared" si="21"/>
        <v>1.1676458439079565E-3</v>
      </c>
      <c r="AE53" s="97">
        <f t="shared" si="22"/>
        <v>3.1452991452991456E-2</v>
      </c>
      <c r="AF53" s="96">
        <f t="shared" si="23"/>
        <v>0.34170833234030984</v>
      </c>
      <c r="AG53" s="96">
        <f t="shared" si="39"/>
        <v>5.2544062975858042E-4</v>
      </c>
      <c r="AH53" s="96">
        <f t="shared" si="40"/>
        <v>0.13541126179549087</v>
      </c>
      <c r="AI53" s="98">
        <f t="shared" si="24"/>
        <v>0.13593670242524944</v>
      </c>
      <c r="AJ53" s="97">
        <f t="shared" si="25"/>
        <v>0.3066666666666667</v>
      </c>
      <c r="AK53" s="96">
        <f t="shared" si="26"/>
        <v>0.75312025384066617</v>
      </c>
      <c r="AL53" s="96">
        <f t="shared" si="27"/>
        <v>0.21466666666666667</v>
      </c>
      <c r="AM53" s="96">
        <f t="shared" si="41"/>
        <v>0.47399999999999998</v>
      </c>
      <c r="AN53" s="98">
        <f t="shared" si="28"/>
        <v>0.68866666666666665</v>
      </c>
      <c r="AO53" s="97">
        <f t="shared" si="42"/>
        <v>3.1526437785514821E-3</v>
      </c>
      <c r="AP53" s="96">
        <f t="shared" si="16"/>
        <v>0.22950000000000001</v>
      </c>
      <c r="AQ53" s="98">
        <f t="shared" si="29"/>
        <v>5.8500000000000002E-3</v>
      </c>
      <c r="AR53" s="97">
        <f t="shared" si="30"/>
        <v>1.0631060128704675</v>
      </c>
      <c r="AS53" s="96">
        <f t="shared" si="31"/>
        <v>3.0666666666666669</v>
      </c>
      <c r="AT53" s="98">
        <f t="shared" si="32"/>
        <v>74.257517414018523</v>
      </c>
    </row>
    <row r="54" spans="17:46" x14ac:dyDescent="0.3">
      <c r="Q54" s="32">
        <v>47</v>
      </c>
      <c r="R54" s="97">
        <f t="shared" si="0"/>
        <v>10</v>
      </c>
      <c r="S54" s="96">
        <f t="shared" si="34"/>
        <v>0.31333333333333335</v>
      </c>
      <c r="T54" s="96">
        <f t="shared" si="2"/>
        <v>13</v>
      </c>
      <c r="U54" s="98">
        <f t="shared" si="35"/>
        <v>0.24102564102564106</v>
      </c>
      <c r="V54" s="97">
        <f t="shared" si="36"/>
        <v>2</v>
      </c>
      <c r="W54" s="96">
        <f t="shared" si="37"/>
        <v>0.43478260869565216</v>
      </c>
      <c r="X54" s="98">
        <f t="shared" si="38"/>
        <v>0.56521739130434789</v>
      </c>
      <c r="Y54" s="97">
        <f t="shared" si="18"/>
        <v>0.85638998682476952</v>
      </c>
      <c r="Z54" s="96">
        <f t="shared" si="33"/>
        <v>1.410748961183744</v>
      </c>
      <c r="AA54" s="96">
        <f t="shared" si="19"/>
        <v>0.34526850965535782</v>
      </c>
      <c r="AB54" s="96">
        <v>0</v>
      </c>
      <c r="AC54" s="96">
        <f t="shared" si="20"/>
        <v>1.1921034375963193E-3</v>
      </c>
      <c r="AD54" s="98">
        <f t="shared" si="21"/>
        <v>1.1921034375963193E-3</v>
      </c>
      <c r="AE54" s="97">
        <f t="shared" si="22"/>
        <v>3.2835377183203278E-2</v>
      </c>
      <c r="AF54" s="96">
        <f t="shared" si="23"/>
        <v>0.34526850965535782</v>
      </c>
      <c r="AG54" s="96">
        <f t="shared" si="39"/>
        <v>5.3644654691834372E-4</v>
      </c>
      <c r="AH54" s="96">
        <f t="shared" si="40"/>
        <v>0.13835498487800157</v>
      </c>
      <c r="AI54" s="98">
        <f t="shared" si="24"/>
        <v>0.13889143142491991</v>
      </c>
      <c r="AJ54" s="97">
        <f t="shared" si="25"/>
        <v>0.31333333333333335</v>
      </c>
      <c r="AK54" s="96">
        <f t="shared" si="26"/>
        <v>0.76171661648980826</v>
      </c>
      <c r="AL54" s="96">
        <f t="shared" si="27"/>
        <v>0.21933333333333332</v>
      </c>
      <c r="AM54" s="96">
        <f t="shared" si="41"/>
        <v>0.47399999999999998</v>
      </c>
      <c r="AN54" s="98">
        <f t="shared" si="28"/>
        <v>0.69333333333333336</v>
      </c>
      <c r="AO54" s="97">
        <f t="shared" si="42"/>
        <v>3.2186792815100617E-3</v>
      </c>
      <c r="AP54" s="96">
        <f t="shared" si="16"/>
        <v>0.22950000000000001</v>
      </c>
      <c r="AQ54" s="98">
        <f t="shared" si="29"/>
        <v>5.8500000000000002E-3</v>
      </c>
      <c r="AR54" s="97">
        <f t="shared" si="30"/>
        <v>1.0707934440397633</v>
      </c>
      <c r="AS54" s="96">
        <f t="shared" si="31"/>
        <v>3.1333333333333337</v>
      </c>
      <c r="AT54" s="98">
        <f t="shared" si="32"/>
        <v>74.529944011135711</v>
      </c>
    </row>
    <row r="55" spans="17:46" x14ac:dyDescent="0.3">
      <c r="Q55" s="32">
        <v>48</v>
      </c>
      <c r="R55" s="97">
        <f t="shared" si="0"/>
        <v>10</v>
      </c>
      <c r="S55" s="96">
        <f t="shared" si="34"/>
        <v>0.32</v>
      </c>
      <c r="T55" s="96">
        <f t="shared" si="2"/>
        <v>13</v>
      </c>
      <c r="U55" s="98">
        <f t="shared" si="35"/>
        <v>0.24615384615384617</v>
      </c>
      <c r="V55" s="97">
        <f t="shared" si="36"/>
        <v>2</v>
      </c>
      <c r="W55" s="96">
        <f t="shared" si="37"/>
        <v>0.43478260869565216</v>
      </c>
      <c r="X55" s="98">
        <f t="shared" si="38"/>
        <v>0.56521739130434789</v>
      </c>
      <c r="Y55" s="97">
        <f t="shared" si="18"/>
        <v>0.85638998682476952</v>
      </c>
      <c r="Z55" s="96">
        <f t="shared" si="33"/>
        <v>1.4225438329786158</v>
      </c>
      <c r="AA55" s="96">
        <f t="shared" si="19"/>
        <v>0.34886774013104466</v>
      </c>
      <c r="AB55" s="96">
        <v>0</v>
      </c>
      <c r="AC55" s="96">
        <f t="shared" si="20"/>
        <v>1.217087001041421E-3</v>
      </c>
      <c r="AD55" s="98">
        <f t="shared" si="21"/>
        <v>1.217087001041421E-3</v>
      </c>
      <c r="AE55" s="97">
        <f t="shared" si="22"/>
        <v>3.4247491638795986E-2</v>
      </c>
      <c r="AF55" s="96">
        <f t="shared" si="23"/>
        <v>0.34886774013104466</v>
      </c>
      <c r="AG55" s="96">
        <f t="shared" si="39"/>
        <v>5.4768915046863947E-4</v>
      </c>
      <c r="AH55" s="96">
        <f t="shared" si="40"/>
        <v>0.14129870796051225</v>
      </c>
      <c r="AI55" s="98">
        <f t="shared" si="24"/>
        <v>0.14184639711098088</v>
      </c>
      <c r="AJ55" s="97">
        <f t="shared" si="25"/>
        <v>0.32</v>
      </c>
      <c r="AK55" s="96">
        <f t="shared" si="26"/>
        <v>0.77031912600272301</v>
      </c>
      <c r="AL55" s="96">
        <f t="shared" si="27"/>
        <v>0.22399999999999998</v>
      </c>
      <c r="AM55" s="96">
        <f t="shared" si="41"/>
        <v>0.47399999999999998</v>
      </c>
      <c r="AN55" s="98">
        <f t="shared" si="28"/>
        <v>0.69799999999999995</v>
      </c>
      <c r="AO55" s="97">
        <f t="shared" si="42"/>
        <v>3.2861349028118366E-3</v>
      </c>
      <c r="AP55" s="96">
        <f t="shared" si="16"/>
        <v>0.22950000000000001</v>
      </c>
      <c r="AQ55" s="98">
        <f t="shared" si="29"/>
        <v>5.8500000000000002E-3</v>
      </c>
      <c r="AR55" s="97">
        <f t="shared" si="30"/>
        <v>1.0784825320137925</v>
      </c>
      <c r="AS55" s="96">
        <f t="shared" si="31"/>
        <v>3.2</v>
      </c>
      <c r="AT55" s="98">
        <f t="shared" si="32"/>
        <v>74.792872848164393</v>
      </c>
    </row>
    <row r="56" spans="17:46" x14ac:dyDescent="0.3">
      <c r="Q56" s="32">
        <v>49</v>
      </c>
      <c r="R56" s="97">
        <f t="shared" si="0"/>
        <v>10</v>
      </c>
      <c r="S56" s="96">
        <f t="shared" si="34"/>
        <v>0.32666666666666666</v>
      </c>
      <c r="T56" s="96">
        <f t="shared" si="2"/>
        <v>13</v>
      </c>
      <c r="U56" s="98">
        <f t="shared" si="35"/>
        <v>0.25128205128205128</v>
      </c>
      <c r="V56" s="97">
        <f t="shared" si="36"/>
        <v>2</v>
      </c>
      <c r="W56" s="96">
        <f t="shared" si="37"/>
        <v>0.43478260869565216</v>
      </c>
      <c r="X56" s="98">
        <f t="shared" si="38"/>
        <v>0.56521739130434789</v>
      </c>
      <c r="Y56" s="97">
        <f t="shared" si="18"/>
        <v>0.85638998682476952</v>
      </c>
      <c r="Z56" s="96">
        <f t="shared" si="33"/>
        <v>1.4343387047734875</v>
      </c>
      <c r="AA56" s="96">
        <f t="shared" si="19"/>
        <v>0.35250482751917911</v>
      </c>
      <c r="AB56" s="96">
        <v>0</v>
      </c>
      <c r="AC56" s="96">
        <f t="shared" si="20"/>
        <v>1.2425965342432622E-3</v>
      </c>
      <c r="AD56" s="98">
        <f t="shared" si="21"/>
        <v>1.2425965342432622E-3</v>
      </c>
      <c r="AE56" s="97">
        <f t="shared" si="22"/>
        <v>3.5689334819769603E-2</v>
      </c>
      <c r="AF56" s="96">
        <f t="shared" si="23"/>
        <v>0.35250482751917911</v>
      </c>
      <c r="AG56" s="96">
        <f t="shared" si="39"/>
        <v>5.5916844040946798E-4</v>
      </c>
      <c r="AH56" s="96">
        <f t="shared" si="40"/>
        <v>0.14424243104302287</v>
      </c>
      <c r="AI56" s="98">
        <f t="shared" si="24"/>
        <v>0.14480159948343233</v>
      </c>
      <c r="AJ56" s="97">
        <f t="shared" si="25"/>
        <v>0.32666666666666666</v>
      </c>
      <c r="AK56" s="96">
        <f t="shared" si="26"/>
        <v>0.7789275787207568</v>
      </c>
      <c r="AL56" s="96">
        <f t="shared" si="27"/>
        <v>0.22866666666666666</v>
      </c>
      <c r="AM56" s="96">
        <f t="shared" si="41"/>
        <v>0.47399999999999998</v>
      </c>
      <c r="AN56" s="98">
        <f t="shared" si="28"/>
        <v>0.70266666666666666</v>
      </c>
      <c r="AO56" s="97">
        <f t="shared" si="42"/>
        <v>3.3550106424568077E-3</v>
      </c>
      <c r="AP56" s="96">
        <f t="shared" si="16"/>
        <v>0.22950000000000001</v>
      </c>
      <c r="AQ56" s="98">
        <f t="shared" si="29"/>
        <v>5.8500000000000002E-3</v>
      </c>
      <c r="AR56" s="97">
        <f t="shared" si="30"/>
        <v>1.0861732767925556</v>
      </c>
      <c r="AS56" s="96">
        <f t="shared" si="31"/>
        <v>3.2666666666666666</v>
      </c>
      <c r="AT56" s="98">
        <f t="shared" si="32"/>
        <v>75.046790350637878</v>
      </c>
    </row>
    <row r="57" spans="17:46" x14ac:dyDescent="0.3">
      <c r="Q57" s="32">
        <v>50</v>
      </c>
      <c r="R57" s="97">
        <f t="shared" si="0"/>
        <v>10</v>
      </c>
      <c r="S57" s="96">
        <f t="shared" si="34"/>
        <v>0.33333333333333337</v>
      </c>
      <c r="T57" s="96">
        <f t="shared" si="2"/>
        <v>13</v>
      </c>
      <c r="U57" s="98">
        <f t="shared" si="35"/>
        <v>0.25641025641025644</v>
      </c>
      <c r="V57" s="97">
        <f t="shared" si="36"/>
        <v>2</v>
      </c>
      <c r="W57" s="96">
        <f t="shared" si="37"/>
        <v>0.43478260869565216</v>
      </c>
      <c r="X57" s="98">
        <f t="shared" si="38"/>
        <v>0.56521739130434789</v>
      </c>
      <c r="Y57" s="97">
        <f t="shared" si="18"/>
        <v>0.85638998682476952</v>
      </c>
      <c r="Z57" s="96">
        <f t="shared" si="33"/>
        <v>1.4461335765683594</v>
      </c>
      <c r="AA57" s="96">
        <f t="shared" si="19"/>
        <v>0.35617861210379292</v>
      </c>
      <c r="AB57" s="96">
        <v>0</v>
      </c>
      <c r="AC57" s="96">
        <f t="shared" si="20"/>
        <v>1.2686320372018417E-3</v>
      </c>
      <c r="AD57" s="98">
        <f t="shared" si="21"/>
        <v>1.2686320372018417E-3</v>
      </c>
      <c r="AE57" s="97">
        <f t="shared" si="22"/>
        <v>3.7160906726124127E-2</v>
      </c>
      <c r="AF57" s="96">
        <f t="shared" si="23"/>
        <v>0.35617861210379292</v>
      </c>
      <c r="AG57" s="96">
        <f t="shared" si="39"/>
        <v>5.7088441674082882E-4</v>
      </c>
      <c r="AH57" s="96">
        <f t="shared" si="40"/>
        <v>0.1471861541255336</v>
      </c>
      <c r="AI57" s="98">
        <f t="shared" si="24"/>
        <v>0.14775703854227443</v>
      </c>
      <c r="AJ57" s="97">
        <f t="shared" si="25"/>
        <v>0.33333333333333337</v>
      </c>
      <c r="AK57" s="96">
        <f t="shared" si="26"/>
        <v>0.78754177975217809</v>
      </c>
      <c r="AL57" s="96">
        <f t="shared" si="27"/>
        <v>0.23333333333333334</v>
      </c>
      <c r="AM57" s="96">
        <f t="shared" si="41"/>
        <v>0.47399999999999998</v>
      </c>
      <c r="AN57" s="98">
        <f t="shared" si="28"/>
        <v>0.70733333333333337</v>
      </c>
      <c r="AO57" s="97">
        <f t="shared" si="42"/>
        <v>3.4253065004449727E-3</v>
      </c>
      <c r="AP57" s="96">
        <f t="shared" si="16"/>
        <v>0.22950000000000001</v>
      </c>
      <c r="AQ57" s="98">
        <f t="shared" si="29"/>
        <v>5.8500000000000002E-3</v>
      </c>
      <c r="AR57" s="97">
        <f t="shared" si="30"/>
        <v>1.0938656783760525</v>
      </c>
      <c r="AS57" s="96">
        <f t="shared" si="31"/>
        <v>3.3333333333333339</v>
      </c>
      <c r="AT57" s="98">
        <f t="shared" si="32"/>
        <v>75.292150285475884</v>
      </c>
    </row>
    <row r="58" spans="17:46" x14ac:dyDescent="0.3">
      <c r="Q58" s="32">
        <v>51</v>
      </c>
      <c r="R58" s="97">
        <f t="shared" si="0"/>
        <v>10</v>
      </c>
      <c r="S58" s="96">
        <f t="shared" si="34"/>
        <v>0.34</v>
      </c>
      <c r="T58" s="96">
        <f t="shared" si="2"/>
        <v>13</v>
      </c>
      <c r="U58" s="98">
        <f t="shared" si="35"/>
        <v>0.26153846153846155</v>
      </c>
      <c r="V58" s="97">
        <f t="shared" si="36"/>
        <v>2</v>
      </c>
      <c r="W58" s="96">
        <f t="shared" si="37"/>
        <v>0.43478260869565216</v>
      </c>
      <c r="X58" s="98">
        <f t="shared" si="38"/>
        <v>0.56521739130434789</v>
      </c>
      <c r="Y58" s="97">
        <f t="shared" si="18"/>
        <v>0.85638998682476952</v>
      </c>
      <c r="Z58" s="96">
        <f t="shared" si="33"/>
        <v>1.4579284483632311</v>
      </c>
      <c r="AA58" s="96">
        <f t="shared" si="19"/>
        <v>0.35988797005695544</v>
      </c>
      <c r="AB58" s="96">
        <v>0</v>
      </c>
      <c r="AC58" s="96">
        <f t="shared" si="20"/>
        <v>1.2951935099171604E-3</v>
      </c>
      <c r="AD58" s="98">
        <f t="shared" si="21"/>
        <v>1.2951935099171604E-3</v>
      </c>
      <c r="AE58" s="97">
        <f t="shared" si="22"/>
        <v>3.8662207357859538E-2</v>
      </c>
      <c r="AF58" s="96">
        <f t="shared" si="23"/>
        <v>0.35988797005695544</v>
      </c>
      <c r="AG58" s="96">
        <f t="shared" si="39"/>
        <v>5.8283707946272232E-4</v>
      </c>
      <c r="AH58" s="96">
        <f t="shared" si="40"/>
        <v>0.15012987720804424</v>
      </c>
      <c r="AI58" s="98">
        <f t="shared" si="24"/>
        <v>0.15071271428750696</v>
      </c>
      <c r="AJ58" s="97">
        <f t="shared" si="25"/>
        <v>0.34</v>
      </c>
      <c r="AK58" s="96">
        <f t="shared" si="26"/>
        <v>0.79616154251253579</v>
      </c>
      <c r="AL58" s="96">
        <f t="shared" si="27"/>
        <v>0.23799999999999999</v>
      </c>
      <c r="AM58" s="96">
        <f t="shared" si="41"/>
        <v>0.47399999999999998</v>
      </c>
      <c r="AN58" s="98">
        <f t="shared" si="28"/>
        <v>0.71199999999999997</v>
      </c>
      <c r="AO58" s="97">
        <f t="shared" si="42"/>
        <v>3.4970224767763331E-3</v>
      </c>
      <c r="AP58" s="96">
        <f t="shared" si="16"/>
        <v>0.22950000000000001</v>
      </c>
      <c r="AQ58" s="98">
        <f t="shared" si="29"/>
        <v>5.8500000000000002E-3</v>
      </c>
      <c r="AR58" s="97">
        <f t="shared" si="30"/>
        <v>1.1015597367642831</v>
      </c>
      <c r="AS58" s="96">
        <f t="shared" si="31"/>
        <v>3.4000000000000004</v>
      </c>
      <c r="AT58" s="98">
        <f t="shared" si="32"/>
        <v>75.529376456612724</v>
      </c>
    </row>
    <row r="59" spans="17:46" x14ac:dyDescent="0.3">
      <c r="Q59" s="32">
        <v>52</v>
      </c>
      <c r="R59" s="97">
        <f t="shared" si="0"/>
        <v>10</v>
      </c>
      <c r="S59" s="96">
        <f t="shared" si="34"/>
        <v>0.34666666666666668</v>
      </c>
      <c r="T59" s="96">
        <f t="shared" si="2"/>
        <v>13</v>
      </c>
      <c r="U59" s="98">
        <f t="shared" si="35"/>
        <v>0.26666666666666666</v>
      </c>
      <c r="V59" s="97">
        <f t="shared" si="36"/>
        <v>2</v>
      </c>
      <c r="W59" s="96">
        <f t="shared" si="37"/>
        <v>0.43478260869565216</v>
      </c>
      <c r="X59" s="98">
        <f t="shared" si="38"/>
        <v>0.56521739130434789</v>
      </c>
      <c r="Y59" s="97">
        <f t="shared" si="18"/>
        <v>0.85638998682476952</v>
      </c>
      <c r="Z59" s="96">
        <f t="shared" si="33"/>
        <v>1.4697233201581028</v>
      </c>
      <c r="AA59" s="96">
        <f t="shared" si="19"/>
        <v>0.36363181274322226</v>
      </c>
      <c r="AB59" s="96">
        <v>0</v>
      </c>
      <c r="AC59" s="96">
        <f t="shared" si="20"/>
        <v>1.3222809523892188E-3</v>
      </c>
      <c r="AD59" s="98">
        <f t="shared" si="21"/>
        <v>1.3222809523892188E-3</v>
      </c>
      <c r="AE59" s="97">
        <f t="shared" si="22"/>
        <v>4.0193236714975843E-2</v>
      </c>
      <c r="AF59" s="96">
        <f t="shared" si="23"/>
        <v>0.36363181274322226</v>
      </c>
      <c r="AG59" s="96">
        <f t="shared" si="39"/>
        <v>5.9502642857514848E-4</v>
      </c>
      <c r="AH59" s="96">
        <f t="shared" si="40"/>
        <v>0.15307360029055489</v>
      </c>
      <c r="AI59" s="98">
        <f t="shared" si="24"/>
        <v>0.15366862671913004</v>
      </c>
      <c r="AJ59" s="97">
        <f t="shared" si="25"/>
        <v>0.34666666666666668</v>
      </c>
      <c r="AK59" s="96">
        <f t="shared" si="26"/>
        <v>0.80478668829318822</v>
      </c>
      <c r="AL59" s="96">
        <f t="shared" si="27"/>
        <v>0.24266666666666667</v>
      </c>
      <c r="AM59" s="96">
        <f t="shared" si="41"/>
        <v>0.47399999999999998</v>
      </c>
      <c r="AN59" s="98">
        <f t="shared" si="28"/>
        <v>0.71666666666666667</v>
      </c>
      <c r="AO59" s="97">
        <f t="shared" si="42"/>
        <v>3.5701585714508904E-3</v>
      </c>
      <c r="AP59" s="96">
        <f t="shared" si="16"/>
        <v>0.22950000000000001</v>
      </c>
      <c r="AQ59" s="98">
        <f t="shared" si="29"/>
        <v>5.8500000000000002E-3</v>
      </c>
      <c r="AR59" s="97">
        <f t="shared" si="30"/>
        <v>1.1092554519572475</v>
      </c>
      <c r="AS59" s="96">
        <f t="shared" si="31"/>
        <v>3.4666666666666668</v>
      </c>
      <c r="AT59" s="98">
        <f t="shared" si="32"/>
        <v>75.75886513796641</v>
      </c>
    </row>
    <row r="60" spans="17:46" x14ac:dyDescent="0.3">
      <c r="Q60" s="32">
        <v>53</v>
      </c>
      <c r="R60" s="97">
        <f t="shared" si="0"/>
        <v>10</v>
      </c>
      <c r="S60" s="96">
        <f t="shared" si="34"/>
        <v>0.35333333333333333</v>
      </c>
      <c r="T60" s="96">
        <f t="shared" si="2"/>
        <v>13</v>
      </c>
      <c r="U60" s="98">
        <f t="shared" si="35"/>
        <v>0.27179487179487177</v>
      </c>
      <c r="V60" s="97">
        <f t="shared" si="36"/>
        <v>2</v>
      </c>
      <c r="W60" s="96">
        <f t="shared" si="37"/>
        <v>0.43478260869565216</v>
      </c>
      <c r="X60" s="98">
        <f t="shared" si="38"/>
        <v>0.56521739130434789</v>
      </c>
      <c r="Y60" s="97">
        <f t="shared" si="18"/>
        <v>0.85638998682476952</v>
      </c>
      <c r="Z60" s="96">
        <f t="shared" si="33"/>
        <v>1.4815181919529747</v>
      </c>
      <c r="AA60" s="96">
        <f t="shared" si="19"/>
        <v>0.36740908598155481</v>
      </c>
      <c r="AB60" s="96">
        <v>0</v>
      </c>
      <c r="AC60" s="96">
        <f t="shared" si="20"/>
        <v>1.3498943646180154E-3</v>
      </c>
      <c r="AD60" s="98">
        <f t="shared" si="21"/>
        <v>1.3498943646180154E-3</v>
      </c>
      <c r="AE60" s="97">
        <f t="shared" si="22"/>
        <v>4.1753994797473049E-2</v>
      </c>
      <c r="AF60" s="96">
        <f t="shared" si="23"/>
        <v>0.36740908598155481</v>
      </c>
      <c r="AG60" s="96">
        <f t="shared" si="39"/>
        <v>6.0745246407810697E-4</v>
      </c>
      <c r="AH60" s="96">
        <f t="shared" si="40"/>
        <v>0.15601732337306556</v>
      </c>
      <c r="AI60" s="98">
        <f t="shared" si="24"/>
        <v>0.15662477583714368</v>
      </c>
      <c r="AJ60" s="97">
        <f t="shared" si="25"/>
        <v>0.35333333333333333</v>
      </c>
      <c r="AK60" s="96">
        <f t="shared" si="26"/>
        <v>0.81341704585603536</v>
      </c>
      <c r="AL60" s="96">
        <f t="shared" si="27"/>
        <v>0.24733333333333332</v>
      </c>
      <c r="AM60" s="96">
        <f t="shared" si="41"/>
        <v>0.47399999999999998</v>
      </c>
      <c r="AN60" s="98">
        <f t="shared" si="28"/>
        <v>0.72133333333333327</v>
      </c>
      <c r="AO60" s="97">
        <f t="shared" si="42"/>
        <v>3.6447147844686414E-3</v>
      </c>
      <c r="AP60" s="96">
        <f t="shared" si="16"/>
        <v>0.22950000000000001</v>
      </c>
      <c r="AQ60" s="98">
        <f t="shared" si="29"/>
        <v>5.8500000000000002E-3</v>
      </c>
      <c r="AR60" s="97">
        <f t="shared" si="30"/>
        <v>1.1169528239549456</v>
      </c>
      <c r="AS60" s="96">
        <f t="shared" si="31"/>
        <v>3.5333333333333332</v>
      </c>
      <c r="AT60" s="98">
        <f t="shared" si="32"/>
        <v>75.980987273129998</v>
      </c>
    </row>
    <row r="61" spans="17:46" x14ac:dyDescent="0.3">
      <c r="Q61" s="32">
        <v>54</v>
      </c>
      <c r="R61" s="97">
        <f t="shared" si="0"/>
        <v>10</v>
      </c>
      <c r="S61" s="96">
        <f t="shared" si="34"/>
        <v>0.36000000000000004</v>
      </c>
      <c r="T61" s="96">
        <f t="shared" si="2"/>
        <v>13</v>
      </c>
      <c r="U61" s="98">
        <f t="shared" si="35"/>
        <v>0.27692307692307694</v>
      </c>
      <c r="V61" s="97">
        <f t="shared" si="36"/>
        <v>2</v>
      </c>
      <c r="W61" s="96">
        <f t="shared" si="37"/>
        <v>0.43478260869565216</v>
      </c>
      <c r="X61" s="98">
        <f t="shared" si="38"/>
        <v>0.56521739130434789</v>
      </c>
      <c r="Y61" s="97">
        <f t="shared" si="18"/>
        <v>0.85638998682476952</v>
      </c>
      <c r="Z61" s="96">
        <f t="shared" si="33"/>
        <v>1.4933130637478464</v>
      </c>
      <c r="AA61" s="96">
        <f t="shared" si="19"/>
        <v>0.37121876927272296</v>
      </c>
      <c r="AB61" s="96">
        <v>0</v>
      </c>
      <c r="AC61" s="96">
        <f t="shared" si="20"/>
        <v>1.3780337466035512E-3</v>
      </c>
      <c r="AD61" s="98">
        <f t="shared" si="21"/>
        <v>1.3780337466035512E-3</v>
      </c>
      <c r="AE61" s="97">
        <f t="shared" si="22"/>
        <v>4.3344481605351176E-2</v>
      </c>
      <c r="AF61" s="96">
        <f t="shared" si="23"/>
        <v>0.37121876927272296</v>
      </c>
      <c r="AG61" s="96">
        <f t="shared" si="39"/>
        <v>6.2011518597159811E-4</v>
      </c>
      <c r="AH61" s="96">
        <f t="shared" si="40"/>
        <v>0.15896104645557624</v>
      </c>
      <c r="AI61" s="98">
        <f t="shared" si="24"/>
        <v>0.15958116164154784</v>
      </c>
      <c r="AJ61" s="97">
        <f t="shared" si="25"/>
        <v>0.36000000000000004</v>
      </c>
      <c r="AK61" s="96">
        <f t="shared" si="26"/>
        <v>0.82205245105264824</v>
      </c>
      <c r="AL61" s="96">
        <f t="shared" si="27"/>
        <v>0.252</v>
      </c>
      <c r="AM61" s="96">
        <f t="shared" si="41"/>
        <v>0.47399999999999998</v>
      </c>
      <c r="AN61" s="98">
        <f t="shared" si="28"/>
        <v>0.72599999999999998</v>
      </c>
      <c r="AO61" s="97">
        <f t="shared" si="42"/>
        <v>3.720691115829588E-3</v>
      </c>
      <c r="AP61" s="96">
        <f t="shared" si="16"/>
        <v>0.22950000000000001</v>
      </c>
      <c r="AQ61" s="98">
        <f t="shared" si="29"/>
        <v>5.8500000000000002E-3</v>
      </c>
      <c r="AR61" s="97">
        <f t="shared" si="30"/>
        <v>1.1246518527573774</v>
      </c>
      <c r="AS61" s="96">
        <f t="shared" si="31"/>
        <v>3.6000000000000005</v>
      </c>
      <c r="AT61" s="98">
        <f t="shared" si="32"/>
        <v>76.196090467469816</v>
      </c>
    </row>
    <row r="62" spans="17:46" x14ac:dyDescent="0.3">
      <c r="Q62" s="32">
        <v>55</v>
      </c>
      <c r="R62" s="97">
        <f t="shared" si="0"/>
        <v>10</v>
      </c>
      <c r="S62" s="96">
        <f t="shared" si="34"/>
        <v>0.3666666666666667</v>
      </c>
      <c r="T62" s="96">
        <f t="shared" si="2"/>
        <v>13</v>
      </c>
      <c r="U62" s="98">
        <f t="shared" si="35"/>
        <v>0.28205128205128205</v>
      </c>
      <c r="V62" s="97">
        <f t="shared" si="36"/>
        <v>2</v>
      </c>
      <c r="W62" s="96">
        <f t="shared" si="37"/>
        <v>0.43478260869565216</v>
      </c>
      <c r="X62" s="98">
        <f t="shared" si="38"/>
        <v>0.56521739130434789</v>
      </c>
      <c r="Y62" s="97">
        <f t="shared" si="18"/>
        <v>0.85638998682476952</v>
      </c>
      <c r="Z62" s="96">
        <f t="shared" si="33"/>
        <v>1.5051079355427182</v>
      </c>
      <c r="AA62" s="96">
        <f t="shared" si="19"/>
        <v>0.37505987499942273</v>
      </c>
      <c r="AB62" s="96">
        <v>0</v>
      </c>
      <c r="AC62" s="96">
        <f t="shared" si="20"/>
        <v>1.406699098345826E-3</v>
      </c>
      <c r="AD62" s="98">
        <f t="shared" si="21"/>
        <v>1.406699098345826E-3</v>
      </c>
      <c r="AE62" s="97">
        <f t="shared" si="22"/>
        <v>4.4964697138610184E-2</v>
      </c>
      <c r="AF62" s="96">
        <f t="shared" si="23"/>
        <v>0.37505987499942273</v>
      </c>
      <c r="AG62" s="96">
        <f t="shared" si="39"/>
        <v>6.3301459425562181E-4</v>
      </c>
      <c r="AH62" s="96">
        <f t="shared" si="40"/>
        <v>0.16190476953808691</v>
      </c>
      <c r="AI62" s="98">
        <f t="shared" si="24"/>
        <v>0.16253778413234254</v>
      </c>
      <c r="AJ62" s="97">
        <f t="shared" si="25"/>
        <v>0.3666666666666667</v>
      </c>
      <c r="AK62" s="96">
        <f t="shared" si="26"/>
        <v>0.83069274646612767</v>
      </c>
      <c r="AL62" s="96">
        <f t="shared" si="27"/>
        <v>0.25666666666666665</v>
      </c>
      <c r="AM62" s="96">
        <f t="shared" si="41"/>
        <v>0.47399999999999998</v>
      </c>
      <c r="AN62" s="98">
        <f t="shared" si="28"/>
        <v>0.73066666666666658</v>
      </c>
      <c r="AO62" s="97">
        <f t="shared" si="42"/>
        <v>3.7980875655337304E-3</v>
      </c>
      <c r="AP62" s="96">
        <f t="shared" si="16"/>
        <v>0.22950000000000001</v>
      </c>
      <c r="AQ62" s="98">
        <f t="shared" si="29"/>
        <v>5.8500000000000002E-3</v>
      </c>
      <c r="AR62" s="97">
        <f t="shared" si="30"/>
        <v>1.1323525383645427</v>
      </c>
      <c r="AS62" s="96">
        <f t="shared" si="31"/>
        <v>3.666666666666667</v>
      </c>
      <c r="AT62" s="98">
        <f t="shared" si="32"/>
        <v>76.404500795133231</v>
      </c>
    </row>
    <row r="63" spans="17:46" x14ac:dyDescent="0.3">
      <c r="Q63" s="32">
        <v>56</v>
      </c>
      <c r="R63" s="97">
        <f t="shared" si="0"/>
        <v>10</v>
      </c>
      <c r="S63" s="96">
        <f t="shared" si="34"/>
        <v>0.37333333333333335</v>
      </c>
      <c r="T63" s="96">
        <f t="shared" si="2"/>
        <v>13</v>
      </c>
      <c r="U63" s="98">
        <f t="shared" si="35"/>
        <v>0.28717948717948716</v>
      </c>
      <c r="V63" s="97">
        <f t="shared" si="36"/>
        <v>2</v>
      </c>
      <c r="W63" s="96">
        <f t="shared" si="37"/>
        <v>0.43478260869565216</v>
      </c>
      <c r="X63" s="98">
        <f t="shared" si="38"/>
        <v>0.56521739130434789</v>
      </c>
      <c r="Y63" s="97">
        <f t="shared" si="18"/>
        <v>0.85638998682476952</v>
      </c>
      <c r="Z63" s="96">
        <f t="shared" si="33"/>
        <v>1.5169028073375901</v>
      </c>
      <c r="AA63" s="96">
        <f t="shared" si="19"/>
        <v>0.37893144760561109</v>
      </c>
      <c r="AB63" s="96">
        <v>0</v>
      </c>
      <c r="AC63" s="96">
        <f t="shared" si="20"/>
        <v>1.4358904198448399E-3</v>
      </c>
      <c r="AD63" s="98">
        <f t="shared" si="21"/>
        <v>1.4358904198448399E-3</v>
      </c>
      <c r="AE63" s="97">
        <f t="shared" si="22"/>
        <v>4.6614641397250092E-2</v>
      </c>
      <c r="AF63" s="96">
        <f t="shared" si="23"/>
        <v>0.37893144760561109</v>
      </c>
      <c r="AG63" s="96">
        <f t="shared" si="39"/>
        <v>6.4615068893017805E-4</v>
      </c>
      <c r="AH63" s="96">
        <f t="shared" si="40"/>
        <v>0.16484849262059759</v>
      </c>
      <c r="AI63" s="98">
        <f t="shared" si="24"/>
        <v>0.16549464330952776</v>
      </c>
      <c r="AJ63" s="97">
        <f t="shared" si="25"/>
        <v>0.37333333333333335</v>
      </c>
      <c r="AK63" s="96">
        <f t="shared" si="26"/>
        <v>0.83933778107414869</v>
      </c>
      <c r="AL63" s="96">
        <f t="shared" si="27"/>
        <v>0.26133333333333331</v>
      </c>
      <c r="AM63" s="96">
        <f t="shared" si="41"/>
        <v>0.47399999999999998</v>
      </c>
      <c r="AN63" s="98">
        <f t="shared" si="28"/>
        <v>0.73533333333333328</v>
      </c>
      <c r="AO63" s="97">
        <f t="shared" si="42"/>
        <v>3.8769041335810677E-3</v>
      </c>
      <c r="AP63" s="96">
        <f t="shared" si="16"/>
        <v>0.22950000000000001</v>
      </c>
      <c r="AQ63" s="98">
        <f t="shared" si="29"/>
        <v>5.8500000000000002E-3</v>
      </c>
      <c r="AR63" s="97">
        <f t="shared" si="30"/>
        <v>1.1400548807764421</v>
      </c>
      <c r="AS63" s="96">
        <f t="shared" si="31"/>
        <v>3.7333333333333334</v>
      </c>
      <c r="AT63" s="98">
        <f t="shared" si="32"/>
        <v>76.606524440723291</v>
      </c>
    </row>
    <row r="64" spans="17:46" x14ac:dyDescent="0.3">
      <c r="Q64" s="32">
        <v>57</v>
      </c>
      <c r="R64" s="97">
        <f t="shared" si="0"/>
        <v>10</v>
      </c>
      <c r="S64" s="96">
        <f t="shared" si="34"/>
        <v>0.38</v>
      </c>
      <c r="T64" s="96">
        <f t="shared" si="2"/>
        <v>13</v>
      </c>
      <c r="U64" s="98">
        <f t="shared" si="35"/>
        <v>0.29230769230769227</v>
      </c>
      <c r="V64" s="97">
        <f t="shared" si="36"/>
        <v>2</v>
      </c>
      <c r="W64" s="96">
        <f t="shared" si="37"/>
        <v>0.43478260869565216</v>
      </c>
      <c r="X64" s="98">
        <f t="shared" si="38"/>
        <v>0.56521739130434789</v>
      </c>
      <c r="Y64" s="97">
        <f t="shared" si="18"/>
        <v>0.85638998682476952</v>
      </c>
      <c r="Z64" s="96">
        <f t="shared" si="33"/>
        <v>1.5286976791324618</v>
      </c>
      <c r="AA64" s="96">
        <f t="shared" si="19"/>
        <v>0.38283256276087496</v>
      </c>
      <c r="AB64" s="96">
        <v>0</v>
      </c>
      <c r="AC64" s="96">
        <f t="shared" si="20"/>
        <v>1.4656077111005928E-3</v>
      </c>
      <c r="AD64" s="98">
        <f t="shared" si="21"/>
        <v>1.4656077111005928E-3</v>
      </c>
      <c r="AE64" s="97">
        <f t="shared" si="22"/>
        <v>4.8294314381270895E-2</v>
      </c>
      <c r="AF64" s="96">
        <f t="shared" si="23"/>
        <v>0.38283256276087496</v>
      </c>
      <c r="AG64" s="96">
        <f t="shared" si="39"/>
        <v>6.5952346999526685E-4</v>
      </c>
      <c r="AH64" s="96">
        <f t="shared" si="40"/>
        <v>0.16779221570310823</v>
      </c>
      <c r="AI64" s="98">
        <f t="shared" si="24"/>
        <v>0.16845173917310349</v>
      </c>
      <c r="AJ64" s="97">
        <f t="shared" si="25"/>
        <v>0.38</v>
      </c>
      <c r="AK64" s="96">
        <f t="shared" si="26"/>
        <v>0.84798740993176136</v>
      </c>
      <c r="AL64" s="96">
        <f t="shared" si="27"/>
        <v>0.26599999999999996</v>
      </c>
      <c r="AM64" s="96">
        <f t="shared" si="41"/>
        <v>0.47399999999999998</v>
      </c>
      <c r="AN64" s="98">
        <f t="shared" si="28"/>
        <v>0.74</v>
      </c>
      <c r="AO64" s="97">
        <f t="shared" si="42"/>
        <v>3.9571408199716007E-3</v>
      </c>
      <c r="AP64" s="96">
        <f t="shared" si="16"/>
        <v>0.22950000000000001</v>
      </c>
      <c r="AQ64" s="98">
        <f t="shared" si="29"/>
        <v>5.8500000000000002E-3</v>
      </c>
      <c r="AR64" s="97">
        <f t="shared" si="30"/>
        <v>1.1477588799930749</v>
      </c>
      <c r="AS64" s="96">
        <f t="shared" si="31"/>
        <v>3.8</v>
      </c>
      <c r="AT64" s="98">
        <f t="shared" si="32"/>
        <v>76.802449193023719</v>
      </c>
    </row>
    <row r="65" spans="17:46" x14ac:dyDescent="0.3">
      <c r="Q65" s="32">
        <v>58</v>
      </c>
      <c r="R65" s="97">
        <f t="shared" si="0"/>
        <v>10</v>
      </c>
      <c r="S65" s="96">
        <f t="shared" si="34"/>
        <v>0.38666666666666671</v>
      </c>
      <c r="T65" s="96">
        <f t="shared" si="2"/>
        <v>13</v>
      </c>
      <c r="U65" s="98">
        <f t="shared" si="35"/>
        <v>0.29743589743589749</v>
      </c>
      <c r="V65" s="97">
        <f t="shared" si="36"/>
        <v>2</v>
      </c>
      <c r="W65" s="96">
        <f t="shared" si="37"/>
        <v>0.43478260869565216</v>
      </c>
      <c r="X65" s="98">
        <f t="shared" si="38"/>
        <v>0.56521739130434789</v>
      </c>
      <c r="Y65" s="97">
        <f t="shared" si="18"/>
        <v>0.85638998682476952</v>
      </c>
      <c r="Z65" s="96">
        <f t="shared" si="33"/>
        <v>1.5404925509273337</v>
      </c>
      <c r="AA65" s="96">
        <f t="shared" si="19"/>
        <v>0.3867623265150168</v>
      </c>
      <c r="AB65" s="96">
        <v>0</v>
      </c>
      <c r="AC65" s="96">
        <f t="shared" si="20"/>
        <v>1.4958509721130846E-3</v>
      </c>
      <c r="AD65" s="98">
        <f t="shared" si="21"/>
        <v>1.4958509721130846E-3</v>
      </c>
      <c r="AE65" s="97">
        <f t="shared" si="22"/>
        <v>5.0003716090672626E-2</v>
      </c>
      <c r="AF65" s="96">
        <f t="shared" si="23"/>
        <v>0.3867623265150168</v>
      </c>
      <c r="AG65" s="96">
        <f t="shared" si="39"/>
        <v>6.7313293745088819E-4</v>
      </c>
      <c r="AH65" s="96">
        <f t="shared" si="40"/>
        <v>0.17073593878561893</v>
      </c>
      <c r="AI65" s="98">
        <f t="shared" si="24"/>
        <v>0.17140907172306982</v>
      </c>
      <c r="AJ65" s="97">
        <f t="shared" si="25"/>
        <v>0.38666666666666671</v>
      </c>
      <c r="AK65" s="96">
        <f t="shared" si="26"/>
        <v>0.85664149387263766</v>
      </c>
      <c r="AL65" s="96">
        <f t="shared" si="27"/>
        <v>0.27066666666666667</v>
      </c>
      <c r="AM65" s="96">
        <f t="shared" si="41"/>
        <v>0.47399999999999998</v>
      </c>
      <c r="AN65" s="98">
        <f t="shared" si="28"/>
        <v>0.74466666666666659</v>
      </c>
      <c r="AO65" s="97">
        <f t="shared" si="42"/>
        <v>4.0387976247053285E-3</v>
      </c>
      <c r="AP65" s="96">
        <f t="shared" si="16"/>
        <v>0.22950000000000001</v>
      </c>
      <c r="AQ65" s="98">
        <f t="shared" si="29"/>
        <v>5.8500000000000002E-3</v>
      </c>
      <c r="AR65" s="97">
        <f t="shared" si="30"/>
        <v>1.1554645360144418</v>
      </c>
      <c r="AS65" s="96">
        <f t="shared" si="31"/>
        <v>3.8666666666666671</v>
      </c>
      <c r="AT65" s="98">
        <f t="shared" si="32"/>
        <v>76.992545806099471</v>
      </c>
    </row>
    <row r="66" spans="17:46" x14ac:dyDescent="0.3">
      <c r="Q66" s="32">
        <v>59</v>
      </c>
      <c r="R66" s="97">
        <f t="shared" si="0"/>
        <v>10</v>
      </c>
      <c r="S66" s="96">
        <f t="shared" si="34"/>
        <v>0.39333333333333337</v>
      </c>
      <c r="T66" s="96">
        <f t="shared" si="2"/>
        <v>13</v>
      </c>
      <c r="U66" s="98">
        <f t="shared" si="35"/>
        <v>0.3025641025641026</v>
      </c>
      <c r="V66" s="97">
        <f t="shared" si="36"/>
        <v>2</v>
      </c>
      <c r="W66" s="96">
        <f t="shared" si="37"/>
        <v>0.43478260869565216</v>
      </c>
      <c r="X66" s="98">
        <f t="shared" si="38"/>
        <v>0.56521739130434789</v>
      </c>
      <c r="Y66" s="97">
        <f t="shared" si="18"/>
        <v>0.85638998682476952</v>
      </c>
      <c r="Z66" s="96">
        <f t="shared" si="33"/>
        <v>1.5522874227222054</v>
      </c>
      <c r="AA66" s="96">
        <f t="shared" si="19"/>
        <v>0.3907198744474506</v>
      </c>
      <c r="AB66" s="96">
        <v>0</v>
      </c>
      <c r="AC66" s="96">
        <f t="shared" si="20"/>
        <v>1.5266202028823156E-3</v>
      </c>
      <c r="AD66" s="98">
        <f t="shared" si="21"/>
        <v>1.5266202028823156E-3</v>
      </c>
      <c r="AE66" s="97">
        <f t="shared" si="22"/>
        <v>5.174284652545523E-2</v>
      </c>
      <c r="AF66" s="96">
        <f t="shared" si="23"/>
        <v>0.3907198744474506</v>
      </c>
      <c r="AG66" s="96">
        <f t="shared" si="39"/>
        <v>6.8697909129704208E-4</v>
      </c>
      <c r="AH66" s="96">
        <f t="shared" si="40"/>
        <v>0.17367966186812961</v>
      </c>
      <c r="AI66" s="98">
        <f t="shared" si="24"/>
        <v>0.17436664095942664</v>
      </c>
      <c r="AJ66" s="97">
        <f t="shared" si="25"/>
        <v>0.39333333333333337</v>
      </c>
      <c r="AK66" s="96">
        <f t="shared" si="26"/>
        <v>0.86529989922753137</v>
      </c>
      <c r="AL66" s="96">
        <f t="shared" si="27"/>
        <v>0.27533333333333332</v>
      </c>
      <c r="AM66" s="96">
        <f t="shared" si="41"/>
        <v>0.47399999999999998</v>
      </c>
      <c r="AN66" s="98">
        <f t="shared" si="28"/>
        <v>0.7493333333333333</v>
      </c>
      <c r="AO66" s="97">
        <f t="shared" si="42"/>
        <v>4.121874547782252E-3</v>
      </c>
      <c r="AP66" s="96">
        <f t="shared" si="16"/>
        <v>0.22950000000000001</v>
      </c>
      <c r="AQ66" s="98">
        <f t="shared" si="29"/>
        <v>5.8500000000000002E-3</v>
      </c>
      <c r="AR66" s="97">
        <f t="shared" si="30"/>
        <v>1.163171848840542</v>
      </c>
      <c r="AS66" s="96">
        <f t="shared" si="31"/>
        <v>3.9333333333333336</v>
      </c>
      <c r="AT66" s="98">
        <f t="shared" si="32"/>
        <v>77.177069241310974</v>
      </c>
    </row>
    <row r="67" spans="17:46" x14ac:dyDescent="0.3">
      <c r="Q67" s="32">
        <v>60</v>
      </c>
      <c r="R67" s="97">
        <f t="shared" si="0"/>
        <v>10</v>
      </c>
      <c r="S67" s="96">
        <f t="shared" si="34"/>
        <v>0.4</v>
      </c>
      <c r="T67" s="96">
        <f t="shared" si="2"/>
        <v>13</v>
      </c>
      <c r="U67" s="98">
        <f t="shared" si="35"/>
        <v>0.30769230769230771</v>
      </c>
      <c r="V67" s="97">
        <f t="shared" si="36"/>
        <v>2</v>
      </c>
      <c r="W67" s="96">
        <f t="shared" si="37"/>
        <v>0.43478260869565216</v>
      </c>
      <c r="X67" s="98">
        <f t="shared" si="38"/>
        <v>0.56521739130434789</v>
      </c>
      <c r="Y67" s="97">
        <f t="shared" si="18"/>
        <v>0.85638998682476952</v>
      </c>
      <c r="Z67" s="96">
        <f t="shared" si="33"/>
        <v>1.5640822945170774</v>
      </c>
      <c r="AA67" s="96">
        <f t="shared" si="19"/>
        <v>0.39470437081546045</v>
      </c>
      <c r="AB67" s="96">
        <v>0</v>
      </c>
      <c r="AC67" s="96">
        <f t="shared" si="20"/>
        <v>1.5579154034082851E-3</v>
      </c>
      <c r="AD67" s="98">
        <f t="shared" si="21"/>
        <v>1.5579154034082851E-3</v>
      </c>
      <c r="AE67" s="97">
        <f t="shared" si="22"/>
        <v>5.3511705685618728E-2</v>
      </c>
      <c r="AF67" s="96">
        <f t="shared" si="23"/>
        <v>0.39470437081546045</v>
      </c>
      <c r="AG67" s="96">
        <f t="shared" si="39"/>
        <v>7.0106193153372841E-4</v>
      </c>
      <c r="AH67" s="96">
        <f t="shared" si="40"/>
        <v>0.17662338495064031</v>
      </c>
      <c r="AI67" s="98">
        <f t="shared" si="24"/>
        <v>0.17732444688217405</v>
      </c>
      <c r="AJ67" s="97">
        <f t="shared" si="25"/>
        <v>0.4</v>
      </c>
      <c r="AK67" s="96">
        <f t="shared" si="26"/>
        <v>0.87396249755883282</v>
      </c>
      <c r="AL67" s="96">
        <f t="shared" si="27"/>
        <v>0.27999999999999997</v>
      </c>
      <c r="AM67" s="96">
        <f t="shared" si="41"/>
        <v>0.47399999999999998</v>
      </c>
      <c r="AN67" s="98">
        <f t="shared" si="28"/>
        <v>0.754</v>
      </c>
      <c r="AO67" s="97">
        <f t="shared" si="42"/>
        <v>4.2063715892023696E-3</v>
      </c>
      <c r="AP67" s="96">
        <f t="shared" si="16"/>
        <v>0.22950000000000001</v>
      </c>
      <c r="AQ67" s="98">
        <f t="shared" si="29"/>
        <v>5.8500000000000002E-3</v>
      </c>
      <c r="AR67" s="97">
        <f t="shared" si="30"/>
        <v>1.1708808184713764</v>
      </c>
      <c r="AS67" s="96">
        <f t="shared" si="31"/>
        <v>4</v>
      </c>
      <c r="AT67" s="98">
        <f t="shared" si="32"/>
        <v>77.356259802222354</v>
      </c>
    </row>
    <row r="68" spans="17:46" x14ac:dyDescent="0.3">
      <c r="Q68" s="32">
        <v>61</v>
      </c>
      <c r="R68" s="97">
        <f t="shared" si="0"/>
        <v>10</v>
      </c>
      <c r="S68" s="96">
        <f t="shared" si="34"/>
        <v>0.40666666666666668</v>
      </c>
      <c r="T68" s="96">
        <f t="shared" si="2"/>
        <v>13</v>
      </c>
      <c r="U68" s="98">
        <f t="shared" si="35"/>
        <v>0.31282051282051282</v>
      </c>
      <c r="V68" s="97">
        <f t="shared" si="36"/>
        <v>2</v>
      </c>
      <c r="W68" s="96">
        <f t="shared" si="37"/>
        <v>0.43478260869565216</v>
      </c>
      <c r="X68" s="98">
        <f t="shared" si="38"/>
        <v>0.56521739130434789</v>
      </c>
      <c r="Y68" s="97">
        <f t="shared" si="18"/>
        <v>0.85638998682476952</v>
      </c>
      <c r="Z68" s="96">
        <f t="shared" si="33"/>
        <v>1.5758771663119491</v>
      </c>
      <c r="AA68" s="96">
        <f t="shared" si="19"/>
        <v>0.39871500770487606</v>
      </c>
      <c r="AB68" s="96">
        <v>0</v>
      </c>
      <c r="AC68" s="96">
        <f t="shared" si="20"/>
        <v>1.5897365736909938E-3</v>
      </c>
      <c r="AD68" s="98">
        <f t="shared" si="21"/>
        <v>1.5897365736909938E-3</v>
      </c>
      <c r="AE68" s="97">
        <f t="shared" si="22"/>
        <v>5.5310293571163134E-2</v>
      </c>
      <c r="AF68" s="96">
        <f t="shared" si="23"/>
        <v>0.39871500770487606</v>
      </c>
      <c r="AG68" s="96">
        <f t="shared" si="39"/>
        <v>7.1538145816094729E-4</v>
      </c>
      <c r="AH68" s="96">
        <f t="shared" si="40"/>
        <v>0.17956710803315096</v>
      </c>
      <c r="AI68" s="98">
        <f t="shared" si="24"/>
        <v>0.1802824894913119</v>
      </c>
      <c r="AJ68" s="97">
        <f t="shared" si="25"/>
        <v>0.40666666666666668</v>
      </c>
      <c r="AK68" s="96">
        <f t="shared" si="26"/>
        <v>0.88262916541015934</v>
      </c>
      <c r="AL68" s="96">
        <f t="shared" si="27"/>
        <v>0.28466666666666668</v>
      </c>
      <c r="AM68" s="96">
        <f t="shared" si="41"/>
        <v>0.47399999999999998</v>
      </c>
      <c r="AN68" s="98">
        <f t="shared" si="28"/>
        <v>0.7586666666666666</v>
      </c>
      <c r="AO68" s="97">
        <f t="shared" si="42"/>
        <v>4.2922887489656829E-3</v>
      </c>
      <c r="AP68" s="96">
        <f t="shared" si="16"/>
        <v>0.22950000000000001</v>
      </c>
      <c r="AQ68" s="98">
        <f t="shared" si="29"/>
        <v>5.8500000000000002E-3</v>
      </c>
      <c r="AR68" s="97">
        <f t="shared" si="30"/>
        <v>1.1785914449069441</v>
      </c>
      <c r="AS68" s="96">
        <f t="shared" si="31"/>
        <v>4.0666666666666664</v>
      </c>
      <c r="AT68" s="98">
        <f t="shared" si="32"/>
        <v>77.530344173027572</v>
      </c>
    </row>
    <row r="69" spans="17:46" x14ac:dyDescent="0.3">
      <c r="Q69" s="32">
        <v>62</v>
      </c>
      <c r="R69" s="97">
        <f t="shared" si="0"/>
        <v>10</v>
      </c>
      <c r="S69" s="96">
        <f t="shared" si="34"/>
        <v>0.41333333333333339</v>
      </c>
      <c r="T69" s="96">
        <f t="shared" si="2"/>
        <v>13</v>
      </c>
      <c r="U69" s="98">
        <f t="shared" si="35"/>
        <v>0.31794871794871798</v>
      </c>
      <c r="V69" s="97">
        <f t="shared" si="36"/>
        <v>2</v>
      </c>
      <c r="W69" s="96">
        <f t="shared" si="37"/>
        <v>0.43478260869565216</v>
      </c>
      <c r="X69" s="98">
        <f t="shared" si="38"/>
        <v>0.56521739130434789</v>
      </c>
      <c r="Y69" s="97">
        <f t="shared" si="18"/>
        <v>0.85638998682476952</v>
      </c>
      <c r="Z69" s="96">
        <f t="shared" si="33"/>
        <v>1.5876720381068208</v>
      </c>
      <c r="AA69" s="96">
        <f t="shared" si="19"/>
        <v>0.40275100418626414</v>
      </c>
      <c r="AB69" s="96">
        <v>0</v>
      </c>
      <c r="AC69" s="96">
        <f t="shared" si="20"/>
        <v>1.6220837137304414E-3</v>
      </c>
      <c r="AD69" s="98">
        <f t="shared" si="21"/>
        <v>1.6220837137304414E-3</v>
      </c>
      <c r="AE69" s="97">
        <f t="shared" si="22"/>
        <v>5.7138610182088448E-2</v>
      </c>
      <c r="AF69" s="96">
        <f t="shared" si="23"/>
        <v>0.40275100418626414</v>
      </c>
      <c r="AG69" s="96">
        <f t="shared" si="39"/>
        <v>7.2993767117869872E-4</v>
      </c>
      <c r="AH69" s="96">
        <f t="shared" si="40"/>
        <v>0.18251083111566166</v>
      </c>
      <c r="AI69" s="98">
        <f t="shared" si="24"/>
        <v>0.18324076878684037</v>
      </c>
      <c r="AJ69" s="97">
        <f t="shared" si="25"/>
        <v>0.41333333333333339</v>
      </c>
      <c r="AK69" s="96">
        <f t="shared" si="26"/>
        <v>0.8912997840700182</v>
      </c>
      <c r="AL69" s="96">
        <f t="shared" si="27"/>
        <v>0.28933333333333333</v>
      </c>
      <c r="AM69" s="96">
        <f t="shared" si="41"/>
        <v>0.47399999999999998</v>
      </c>
      <c r="AN69" s="98">
        <f t="shared" si="28"/>
        <v>0.76333333333333331</v>
      </c>
      <c r="AO69" s="97">
        <f t="shared" si="42"/>
        <v>4.3796260270721919E-3</v>
      </c>
      <c r="AP69" s="96">
        <f t="shared" si="16"/>
        <v>0.22950000000000001</v>
      </c>
      <c r="AQ69" s="98">
        <f t="shared" si="29"/>
        <v>5.8500000000000002E-3</v>
      </c>
      <c r="AR69" s="97">
        <f t="shared" si="30"/>
        <v>1.1863037281472457</v>
      </c>
      <c r="AS69" s="96">
        <f t="shared" si="31"/>
        <v>4.1333333333333337</v>
      </c>
      <c r="AT69" s="98">
        <f t="shared" si="32"/>
        <v>77.699536369929163</v>
      </c>
    </row>
    <row r="70" spans="17:46" x14ac:dyDescent="0.3">
      <c r="Q70" s="32">
        <v>63</v>
      </c>
      <c r="R70" s="97">
        <f t="shared" si="0"/>
        <v>10</v>
      </c>
      <c r="S70" s="96">
        <f t="shared" si="34"/>
        <v>0.42000000000000004</v>
      </c>
      <c r="T70" s="96">
        <f t="shared" si="2"/>
        <v>13</v>
      </c>
      <c r="U70" s="98">
        <f t="shared" si="35"/>
        <v>0.32307692307692309</v>
      </c>
      <c r="V70" s="97">
        <f t="shared" si="36"/>
        <v>2</v>
      </c>
      <c r="W70" s="96">
        <f t="shared" si="37"/>
        <v>0.43478260869565216</v>
      </c>
      <c r="X70" s="98">
        <f t="shared" si="38"/>
        <v>0.56521739130434789</v>
      </c>
      <c r="Y70" s="97">
        <f t="shared" si="18"/>
        <v>0.85638998682476952</v>
      </c>
      <c r="Z70" s="96">
        <f t="shared" si="33"/>
        <v>1.5994669099016927</v>
      </c>
      <c r="AA70" s="96">
        <f t="shared" si="19"/>
        <v>0.4068116054793211</v>
      </c>
      <c r="AB70" s="96">
        <v>0</v>
      </c>
      <c r="AC70" s="96">
        <f t="shared" si="20"/>
        <v>1.6549568235266279E-3</v>
      </c>
      <c r="AD70" s="98">
        <f t="shared" si="21"/>
        <v>1.6549568235266279E-3</v>
      </c>
      <c r="AE70" s="97">
        <f t="shared" si="22"/>
        <v>5.8996655518394663E-2</v>
      </c>
      <c r="AF70" s="96">
        <f t="shared" si="23"/>
        <v>0.4068116054793211</v>
      </c>
      <c r="AG70" s="96">
        <f t="shared" si="39"/>
        <v>7.447305705869827E-4</v>
      </c>
      <c r="AH70" s="96">
        <f t="shared" si="40"/>
        <v>0.18545455419817231</v>
      </c>
      <c r="AI70" s="98">
        <f t="shared" si="24"/>
        <v>0.1861992847687593</v>
      </c>
      <c r="AJ70" s="97">
        <f t="shared" si="25"/>
        <v>0.42000000000000004</v>
      </c>
      <c r="AK70" s="96">
        <f t="shared" si="26"/>
        <v>0.8999742393486343</v>
      </c>
      <c r="AL70" s="96">
        <f t="shared" si="27"/>
        <v>0.29399999999999998</v>
      </c>
      <c r="AM70" s="96">
        <f t="shared" si="41"/>
        <v>0.47399999999999998</v>
      </c>
      <c r="AN70" s="98">
        <f t="shared" si="28"/>
        <v>0.76800000000000002</v>
      </c>
      <c r="AO70" s="97">
        <f t="shared" si="42"/>
        <v>4.4683834235218958E-3</v>
      </c>
      <c r="AP70" s="96">
        <f t="shared" si="16"/>
        <v>0.22950000000000001</v>
      </c>
      <c r="AQ70" s="98">
        <f t="shared" si="29"/>
        <v>5.8500000000000002E-3</v>
      </c>
      <c r="AR70" s="97">
        <f t="shared" si="30"/>
        <v>1.1940176681922812</v>
      </c>
      <c r="AS70" s="96">
        <f t="shared" si="31"/>
        <v>4.2</v>
      </c>
      <c r="AT70" s="98">
        <f t="shared" si="32"/>
        <v>77.864038613866143</v>
      </c>
    </row>
    <row r="71" spans="17:46" x14ac:dyDescent="0.3">
      <c r="Q71" s="32">
        <v>64</v>
      </c>
      <c r="R71" s="97">
        <f t="shared" ref="R71:R134" si="43">VOUT</f>
        <v>10</v>
      </c>
      <c r="S71" s="96">
        <f t="shared" ref="S71:S102" si="44">Q71*$O$12</f>
        <v>0.42666666666666669</v>
      </c>
      <c r="T71" s="96">
        <f t="shared" ref="T71:T134" si="45">VIN_var</f>
        <v>13</v>
      </c>
      <c r="U71" s="98">
        <f t="shared" ref="U71:U102" si="46">(R71*S71)/(T71*EFF_est)</f>
        <v>0.3282051282051282</v>
      </c>
      <c r="V71" s="97">
        <f t="shared" ref="V71:V102" si="47">IF(S71&lt;((T71^2)*R71)/(2*Fsw*Lm*((T71+R71)^2)),1,2)</f>
        <v>2</v>
      </c>
      <c r="W71" s="96">
        <f t="shared" ref="W71:W102" si="48">CHOOSE(V71,SQRT(2*Lm*R71*S71*Fsw)/T71,R71/(T71+R71))</f>
        <v>0.43478260869565216</v>
      </c>
      <c r="X71" s="98">
        <f t="shared" ref="X71:X102" si="49">CHOOSE(V71,(Lm*Z71*Fsw)/(R71),1-W71)</f>
        <v>0.56521739130434789</v>
      </c>
      <c r="Y71" s="97">
        <f t="shared" si="18"/>
        <v>0.85638998682476952</v>
      </c>
      <c r="Z71" s="96">
        <f t="shared" si="33"/>
        <v>1.6112617816965644</v>
      </c>
      <c r="AA71" s="96">
        <f t="shared" si="19"/>
        <v>0.41089608212777523</v>
      </c>
      <c r="AB71" s="96">
        <v>0</v>
      </c>
      <c r="AC71" s="96">
        <f t="shared" si="20"/>
        <v>1.6883559030795542E-3</v>
      </c>
      <c r="AD71" s="98">
        <f t="shared" si="21"/>
        <v>1.6883559030795542E-3</v>
      </c>
      <c r="AE71" s="97">
        <f t="shared" si="22"/>
        <v>6.0884429580081757E-2</v>
      </c>
      <c r="AF71" s="96">
        <f t="shared" si="23"/>
        <v>0.41089608212777523</v>
      </c>
      <c r="AG71" s="96">
        <f t="shared" ref="AG71:AG102" si="50">(AF71^2)*RDS_on</f>
        <v>7.5976015638579944E-4</v>
      </c>
      <c r="AH71" s="96">
        <f t="shared" ref="AH71:AH102" si="51">(((R71+T71)*(U71+S71))/2)*Fsw*(tr_sw+tf_sw)</f>
        <v>0.18839827728068298</v>
      </c>
      <c r="AI71" s="98">
        <f t="shared" si="24"/>
        <v>0.18915803743706877</v>
      </c>
      <c r="AJ71" s="97">
        <f t="shared" si="25"/>
        <v>0.42666666666666669</v>
      </c>
      <c r="AK71" s="96">
        <f t="shared" si="26"/>
        <v>0.90865242136710855</v>
      </c>
      <c r="AL71" s="96">
        <f t="shared" si="27"/>
        <v>0.29866666666666669</v>
      </c>
      <c r="AM71" s="96">
        <f t="shared" ref="AM71:AM102" si="52">(R71+T71+Vd_rect)*Qrr*Fsw</f>
        <v>0.47399999999999998</v>
      </c>
      <c r="AN71" s="98">
        <f t="shared" si="28"/>
        <v>0.77266666666666661</v>
      </c>
      <c r="AO71" s="97">
        <f t="shared" ref="AO71:AO102" si="53">(AF71^2)*R_cs</f>
        <v>4.5585609383147962E-3</v>
      </c>
      <c r="AP71" s="96">
        <f t="shared" ref="AP71:AP134" si="54">Qg_tot*Vcc*Fsw</f>
        <v>0.22950000000000001</v>
      </c>
      <c r="AQ71" s="98">
        <f t="shared" si="29"/>
        <v>5.8500000000000002E-3</v>
      </c>
      <c r="AR71" s="97">
        <f t="shared" si="30"/>
        <v>1.20173326504205</v>
      </c>
      <c r="AS71" s="96">
        <f t="shared" si="31"/>
        <v>4.2666666666666666</v>
      </c>
      <c r="AT71" s="98">
        <f t="shared" si="32"/>
        <v>78.024042132073106</v>
      </c>
    </row>
    <row r="72" spans="17:46" x14ac:dyDescent="0.3">
      <c r="Q72" s="32">
        <v>65</v>
      </c>
      <c r="R72" s="97">
        <f t="shared" si="43"/>
        <v>10</v>
      </c>
      <c r="S72" s="96">
        <f t="shared" si="44"/>
        <v>0.43333333333333335</v>
      </c>
      <c r="T72" s="96">
        <f t="shared" si="45"/>
        <v>13</v>
      </c>
      <c r="U72" s="98">
        <f t="shared" si="46"/>
        <v>0.33333333333333337</v>
      </c>
      <c r="V72" s="97">
        <f t="shared" si="47"/>
        <v>2</v>
      </c>
      <c r="W72" s="96">
        <f t="shared" si="48"/>
        <v>0.43478260869565216</v>
      </c>
      <c r="X72" s="98">
        <f t="shared" si="49"/>
        <v>0.56521739130434789</v>
      </c>
      <c r="Y72" s="97">
        <f t="shared" ref="Y72:Y135" si="55">(T72*W72)/(Lm*Fsw)</f>
        <v>0.85638998682476952</v>
      </c>
      <c r="Z72" s="96">
        <f t="shared" ref="Z72:Z135" si="56">CHOOSE(V72,Y72,U72+S72+(Y72))</f>
        <v>1.6230566534914361</v>
      </c>
      <c r="AA72" s="96">
        <f t="shared" ref="AA72:AA135" si="57">CHOOSE(V72,Z72*SQRT((W72+X72)/3),SQRT((U72^2)+((Y72^2)/12)))</f>
        <v>0.41500372918676509</v>
      </c>
      <c r="AB72" s="96">
        <v>0</v>
      </c>
      <c r="AC72" s="96">
        <f t="shared" ref="AC72:AC135" si="58">(AA72^2)*Rdcr</f>
        <v>1.7222809523892186E-3</v>
      </c>
      <c r="AD72" s="98">
        <f t="shared" ref="AD72:AD135" si="59">AB72+AC72</f>
        <v>1.7222809523892186E-3</v>
      </c>
      <c r="AE72" s="97">
        <f t="shared" ref="AE72:AE135" si="60">U72*S72*W72</f>
        <v>6.280193236714976E-2</v>
      </c>
      <c r="AF72" s="96">
        <f t="shared" ref="AF72:AF135" si="61">AA72</f>
        <v>0.41500372918676509</v>
      </c>
      <c r="AG72" s="96">
        <f t="shared" si="50"/>
        <v>7.7502642857514841E-4</v>
      </c>
      <c r="AH72" s="96">
        <f t="shared" si="51"/>
        <v>0.1913420003631936</v>
      </c>
      <c r="AI72" s="98">
        <f t="shared" ref="AI72:AI135" si="62">AG72+AH72</f>
        <v>0.19211702679176876</v>
      </c>
      <c r="AJ72" s="97">
        <f t="shared" ref="AJ72:AJ135" si="63">S72</f>
        <v>0.43333333333333335</v>
      </c>
      <c r="AK72" s="96">
        <f t="shared" ref="AK72:AK135" si="64">CHOOSE(V72,Z72*SQRT(X72/3),SQRT(X72*((Z72^2)+((Y72^2)/3)-(Y72*Z72))))</f>
        <v>0.91733422435812928</v>
      </c>
      <c r="AL72" s="96">
        <f t="shared" ref="AL72:AL135" si="65">S72*Vd_rect</f>
        <v>0.30333333333333334</v>
      </c>
      <c r="AM72" s="96">
        <f t="shared" si="52"/>
        <v>0.47399999999999998</v>
      </c>
      <c r="AN72" s="98">
        <f t="shared" ref="AN72:AN135" si="66">AL72+AM72</f>
        <v>0.77733333333333332</v>
      </c>
      <c r="AO72" s="97">
        <f t="shared" si="53"/>
        <v>4.6501585714508898E-3</v>
      </c>
      <c r="AP72" s="96">
        <f t="shared" si="54"/>
        <v>0.22950000000000001</v>
      </c>
      <c r="AQ72" s="98">
        <f t="shared" ref="AQ72:AQ135" si="67">IQ*T72</f>
        <v>5.8500000000000002E-3</v>
      </c>
      <c r="AR72" s="97">
        <f t="shared" ref="AR72:AR135" si="68">AO72+AN72+AI72+AP72+AQ72</f>
        <v>1.209450518696553</v>
      </c>
      <c r="AS72" s="96">
        <f t="shared" ref="AS72:AS135" si="69">R72*S72</f>
        <v>4.3333333333333339</v>
      </c>
      <c r="AT72" s="98">
        <f t="shared" ref="AT72:AT135" si="70">(AS72/(AS72+AR72))*100</f>
        <v>78.17972789515099</v>
      </c>
    </row>
    <row r="73" spans="17:46" x14ac:dyDescent="0.3">
      <c r="Q73" s="32">
        <v>66</v>
      </c>
      <c r="R73" s="97">
        <f t="shared" si="43"/>
        <v>10</v>
      </c>
      <c r="S73" s="96">
        <f t="shared" si="44"/>
        <v>0.44</v>
      </c>
      <c r="T73" s="96">
        <f t="shared" si="45"/>
        <v>13</v>
      </c>
      <c r="U73" s="98">
        <f t="shared" si="46"/>
        <v>0.33846153846153848</v>
      </c>
      <c r="V73" s="97">
        <f t="shared" si="47"/>
        <v>2</v>
      </c>
      <c r="W73" s="96">
        <f t="shared" si="48"/>
        <v>0.43478260869565216</v>
      </c>
      <c r="X73" s="98">
        <f t="shared" si="49"/>
        <v>0.56521739130434789</v>
      </c>
      <c r="Y73" s="97">
        <f t="shared" si="55"/>
        <v>0.85638998682476952</v>
      </c>
      <c r="Z73" s="96">
        <f t="shared" si="56"/>
        <v>1.6348515252863081</v>
      </c>
      <c r="AA73" s="96">
        <f t="shared" si="57"/>
        <v>0.4191338654243561</v>
      </c>
      <c r="AB73" s="96">
        <v>0</v>
      </c>
      <c r="AC73" s="96">
        <f t="shared" si="58"/>
        <v>1.7567319714556226E-3</v>
      </c>
      <c r="AD73" s="98">
        <f t="shared" si="59"/>
        <v>1.7567319714556226E-3</v>
      </c>
      <c r="AE73" s="97">
        <f t="shared" si="60"/>
        <v>6.474916387959867E-2</v>
      </c>
      <c r="AF73" s="96">
        <f t="shared" si="61"/>
        <v>0.4191338654243561</v>
      </c>
      <c r="AG73" s="96">
        <f t="shared" si="50"/>
        <v>7.9052938715503025E-4</v>
      </c>
      <c r="AH73" s="96">
        <f t="shared" si="51"/>
        <v>0.19428572344570433</v>
      </c>
      <c r="AI73" s="98">
        <f t="shared" si="62"/>
        <v>0.19507625283285937</v>
      </c>
      <c r="AJ73" s="97">
        <f t="shared" si="63"/>
        <v>0.44</v>
      </c>
      <c r="AK73" s="96">
        <f t="shared" si="64"/>
        <v>0.92601954647751228</v>
      </c>
      <c r="AL73" s="96">
        <f t="shared" si="65"/>
        <v>0.308</v>
      </c>
      <c r="AM73" s="96">
        <f t="shared" si="52"/>
        <v>0.47399999999999998</v>
      </c>
      <c r="AN73" s="98">
        <f t="shared" si="66"/>
        <v>0.78200000000000003</v>
      </c>
      <c r="AO73" s="97">
        <f t="shared" si="53"/>
        <v>4.7431763229301808E-3</v>
      </c>
      <c r="AP73" s="96">
        <f t="shared" si="54"/>
        <v>0.22950000000000001</v>
      </c>
      <c r="AQ73" s="98">
        <f t="shared" si="67"/>
        <v>5.8500000000000002E-3</v>
      </c>
      <c r="AR73" s="97">
        <f t="shared" si="68"/>
        <v>1.2171694291557895</v>
      </c>
      <c r="AS73" s="96">
        <f t="shared" si="69"/>
        <v>4.4000000000000004</v>
      </c>
      <c r="AT73" s="98">
        <f t="shared" si="70"/>
        <v>78.331267295622254</v>
      </c>
    </row>
    <row r="74" spans="17:46" x14ac:dyDescent="0.3">
      <c r="Q74" s="32">
        <v>67</v>
      </c>
      <c r="R74" s="97">
        <f t="shared" si="43"/>
        <v>10</v>
      </c>
      <c r="S74" s="96">
        <f t="shared" si="44"/>
        <v>0.44666666666666671</v>
      </c>
      <c r="T74" s="96">
        <f t="shared" si="45"/>
        <v>13</v>
      </c>
      <c r="U74" s="98">
        <f t="shared" si="46"/>
        <v>0.34358974358974359</v>
      </c>
      <c r="V74" s="97">
        <f t="shared" si="47"/>
        <v>2</v>
      </c>
      <c r="W74" s="96">
        <f t="shared" si="48"/>
        <v>0.43478260869565216</v>
      </c>
      <c r="X74" s="98">
        <f t="shared" si="49"/>
        <v>0.56521739130434789</v>
      </c>
      <c r="Y74" s="97">
        <f t="shared" si="55"/>
        <v>0.85638998682476952</v>
      </c>
      <c r="Z74" s="96">
        <f t="shared" si="56"/>
        <v>1.6466463970811798</v>
      </c>
      <c r="AA74" s="96">
        <f t="shared" si="57"/>
        <v>0.42328583253857732</v>
      </c>
      <c r="AB74" s="96">
        <v>0</v>
      </c>
      <c r="AC74" s="96">
        <f t="shared" si="58"/>
        <v>1.7917089602787653E-3</v>
      </c>
      <c r="AD74" s="98">
        <f t="shared" si="59"/>
        <v>1.7917089602787653E-3</v>
      </c>
      <c r="AE74" s="97">
        <f t="shared" si="60"/>
        <v>6.6726124117428467E-2</v>
      </c>
      <c r="AF74" s="96">
        <f t="shared" si="61"/>
        <v>0.42328583253857732</v>
      </c>
      <c r="AG74" s="96">
        <f t="shared" si="50"/>
        <v>8.0626903212544453E-4</v>
      </c>
      <c r="AH74" s="96">
        <f t="shared" si="51"/>
        <v>0.19722944652821497</v>
      </c>
      <c r="AI74" s="98">
        <f t="shared" si="62"/>
        <v>0.19803571556034041</v>
      </c>
      <c r="AJ74" s="97">
        <f t="shared" si="63"/>
        <v>0.44666666666666671</v>
      </c>
      <c r="AK74" s="96">
        <f t="shared" si="64"/>
        <v>0.93470828962589647</v>
      </c>
      <c r="AL74" s="96">
        <f t="shared" si="65"/>
        <v>0.3126666666666667</v>
      </c>
      <c r="AM74" s="96">
        <f t="shared" si="52"/>
        <v>0.47399999999999998</v>
      </c>
      <c r="AN74" s="98">
        <f t="shared" si="66"/>
        <v>0.78666666666666663</v>
      </c>
      <c r="AO74" s="97">
        <f t="shared" si="53"/>
        <v>4.8376141927526659E-3</v>
      </c>
      <c r="AP74" s="96">
        <f t="shared" si="54"/>
        <v>0.22950000000000001</v>
      </c>
      <c r="AQ74" s="98">
        <f t="shared" si="67"/>
        <v>5.8500000000000002E-3</v>
      </c>
      <c r="AR74" s="97">
        <f t="shared" si="68"/>
        <v>1.2248899964197595</v>
      </c>
      <c r="AS74" s="96">
        <f t="shared" si="69"/>
        <v>4.4666666666666668</v>
      </c>
      <c r="AT74" s="98">
        <f t="shared" si="70"/>
        <v>78.478822773319735</v>
      </c>
    </row>
    <row r="75" spans="17:46" x14ac:dyDescent="0.3">
      <c r="Q75" s="32">
        <v>68</v>
      </c>
      <c r="R75" s="97">
        <f t="shared" si="43"/>
        <v>10</v>
      </c>
      <c r="S75" s="96">
        <f t="shared" si="44"/>
        <v>0.45333333333333337</v>
      </c>
      <c r="T75" s="96">
        <f t="shared" si="45"/>
        <v>13</v>
      </c>
      <c r="U75" s="98">
        <f t="shared" si="46"/>
        <v>0.3487179487179487</v>
      </c>
      <c r="V75" s="97">
        <f t="shared" si="47"/>
        <v>2</v>
      </c>
      <c r="W75" s="96">
        <f t="shared" si="48"/>
        <v>0.43478260869565216</v>
      </c>
      <c r="X75" s="98">
        <f t="shared" si="49"/>
        <v>0.56521739130434789</v>
      </c>
      <c r="Y75" s="97">
        <f t="shared" si="55"/>
        <v>0.85638998682476952</v>
      </c>
      <c r="Z75" s="96">
        <f t="shared" si="56"/>
        <v>1.6584412688760515</v>
      </c>
      <c r="AA75" s="96">
        <f t="shared" si="57"/>
        <v>0.42745899439111662</v>
      </c>
      <c r="AB75" s="96">
        <v>0</v>
      </c>
      <c r="AC75" s="96">
        <f t="shared" si="58"/>
        <v>1.8272119188586467E-3</v>
      </c>
      <c r="AD75" s="98">
        <f t="shared" si="59"/>
        <v>1.8272119188586467E-3</v>
      </c>
      <c r="AE75" s="97">
        <f t="shared" si="60"/>
        <v>6.8732813080639166E-2</v>
      </c>
      <c r="AF75" s="96">
        <f t="shared" si="61"/>
        <v>0.42745899439111662</v>
      </c>
      <c r="AG75" s="96">
        <f t="shared" si="50"/>
        <v>8.2224536348639104E-4</v>
      </c>
      <c r="AH75" s="96">
        <f t="shared" si="51"/>
        <v>0.20017316961072565</v>
      </c>
      <c r="AI75" s="98">
        <f t="shared" si="62"/>
        <v>0.20099541497421203</v>
      </c>
      <c r="AJ75" s="97">
        <f t="shared" si="63"/>
        <v>0.45333333333333337</v>
      </c>
      <c r="AK75" s="96">
        <f t="shared" si="64"/>
        <v>0.94340035927997457</v>
      </c>
      <c r="AL75" s="96">
        <f t="shared" si="65"/>
        <v>0.31733333333333336</v>
      </c>
      <c r="AM75" s="96">
        <f t="shared" si="52"/>
        <v>0.47399999999999998</v>
      </c>
      <c r="AN75" s="98">
        <f t="shared" si="66"/>
        <v>0.79133333333333333</v>
      </c>
      <c r="AO75" s="97">
        <f t="shared" si="53"/>
        <v>4.9334721809183458E-3</v>
      </c>
      <c r="AP75" s="96">
        <f t="shared" si="54"/>
        <v>0.22950000000000001</v>
      </c>
      <c r="AQ75" s="98">
        <f t="shared" si="67"/>
        <v>5.8500000000000002E-3</v>
      </c>
      <c r="AR75" s="97">
        <f t="shared" si="68"/>
        <v>1.2326122204884635</v>
      </c>
      <c r="AS75" s="96">
        <f t="shared" si="69"/>
        <v>4.5333333333333332</v>
      </c>
      <c r="AT75" s="98">
        <f t="shared" si="70"/>
        <v>78.622548392406159</v>
      </c>
    </row>
    <row r="76" spans="17:46" x14ac:dyDescent="0.3">
      <c r="Q76" s="32">
        <v>69</v>
      </c>
      <c r="R76" s="97">
        <f t="shared" si="43"/>
        <v>10</v>
      </c>
      <c r="S76" s="96">
        <f t="shared" si="44"/>
        <v>0.46</v>
      </c>
      <c r="T76" s="96">
        <f t="shared" si="45"/>
        <v>13</v>
      </c>
      <c r="U76" s="98">
        <f t="shared" si="46"/>
        <v>0.35384615384615387</v>
      </c>
      <c r="V76" s="97">
        <f t="shared" si="47"/>
        <v>2</v>
      </c>
      <c r="W76" s="96">
        <f t="shared" si="48"/>
        <v>0.43478260869565216</v>
      </c>
      <c r="X76" s="98">
        <f t="shared" si="49"/>
        <v>0.56521739130434789</v>
      </c>
      <c r="Y76" s="97">
        <f t="shared" si="55"/>
        <v>0.85638998682476952</v>
      </c>
      <c r="Z76" s="96">
        <f t="shared" si="56"/>
        <v>1.6702361406709234</v>
      </c>
      <c r="AA76" s="96">
        <f t="shared" si="57"/>
        <v>0.43165273625858869</v>
      </c>
      <c r="AB76" s="96">
        <v>0</v>
      </c>
      <c r="AC76" s="96">
        <f t="shared" si="58"/>
        <v>1.8632408471952672E-3</v>
      </c>
      <c r="AD76" s="98">
        <f t="shared" si="59"/>
        <v>1.8632408471952672E-3</v>
      </c>
      <c r="AE76" s="97">
        <f t="shared" si="60"/>
        <v>7.0769230769230765E-2</v>
      </c>
      <c r="AF76" s="96">
        <f t="shared" si="61"/>
        <v>0.43165273625858869</v>
      </c>
      <c r="AG76" s="96">
        <f t="shared" si="50"/>
        <v>8.3845838123787031E-4</v>
      </c>
      <c r="AH76" s="96">
        <f t="shared" si="51"/>
        <v>0.20311689269323632</v>
      </c>
      <c r="AI76" s="98">
        <f t="shared" si="62"/>
        <v>0.20395535107447418</v>
      </c>
      <c r="AJ76" s="97">
        <f t="shared" si="63"/>
        <v>0.46</v>
      </c>
      <c r="AK76" s="96">
        <f t="shared" si="64"/>
        <v>0.95209566433266912</v>
      </c>
      <c r="AL76" s="96">
        <f t="shared" si="65"/>
        <v>0.32200000000000001</v>
      </c>
      <c r="AM76" s="96">
        <f t="shared" si="52"/>
        <v>0.47399999999999998</v>
      </c>
      <c r="AN76" s="98">
        <f t="shared" si="66"/>
        <v>0.79600000000000004</v>
      </c>
      <c r="AO76" s="97">
        <f t="shared" si="53"/>
        <v>5.0307502874272214E-3</v>
      </c>
      <c r="AP76" s="96">
        <f t="shared" si="54"/>
        <v>0.22950000000000001</v>
      </c>
      <c r="AQ76" s="98">
        <f t="shared" si="67"/>
        <v>5.8500000000000002E-3</v>
      </c>
      <c r="AR76" s="97">
        <f t="shared" si="68"/>
        <v>1.2403361013619014</v>
      </c>
      <c r="AS76" s="96">
        <f t="shared" si="69"/>
        <v>4.6000000000000005</v>
      </c>
      <c r="AT76" s="98">
        <f t="shared" si="70"/>
        <v>78.762590374333612</v>
      </c>
    </row>
    <row r="77" spans="17:46" x14ac:dyDescent="0.3">
      <c r="Q77" s="32">
        <v>70</v>
      </c>
      <c r="R77" s="97">
        <f t="shared" si="43"/>
        <v>10</v>
      </c>
      <c r="S77" s="96">
        <f t="shared" si="44"/>
        <v>0.46666666666666667</v>
      </c>
      <c r="T77" s="96">
        <f t="shared" si="45"/>
        <v>13</v>
      </c>
      <c r="U77" s="98">
        <f t="shared" si="46"/>
        <v>0.35897435897435898</v>
      </c>
      <c r="V77" s="97">
        <f t="shared" si="47"/>
        <v>2</v>
      </c>
      <c r="W77" s="96">
        <f t="shared" si="48"/>
        <v>0.43478260869565216</v>
      </c>
      <c r="X77" s="98">
        <f t="shared" si="49"/>
        <v>0.56521739130434789</v>
      </c>
      <c r="Y77" s="97">
        <f t="shared" si="55"/>
        <v>0.85638998682476952</v>
      </c>
      <c r="Z77" s="96">
        <f t="shared" si="56"/>
        <v>1.6820310124657951</v>
      </c>
      <c r="AA77" s="96">
        <f t="shared" si="57"/>
        <v>0.43586646410209479</v>
      </c>
      <c r="AB77" s="96">
        <v>0</v>
      </c>
      <c r="AC77" s="96">
        <f t="shared" si="58"/>
        <v>1.8997957452886269E-3</v>
      </c>
      <c r="AD77" s="98">
        <f t="shared" si="59"/>
        <v>1.8997957452886269E-3</v>
      </c>
      <c r="AE77" s="97">
        <f t="shared" si="60"/>
        <v>7.2835377183203279E-2</v>
      </c>
      <c r="AF77" s="96">
        <f t="shared" si="61"/>
        <v>0.43586646410209479</v>
      </c>
      <c r="AG77" s="96">
        <f t="shared" si="50"/>
        <v>8.5490808537988224E-4</v>
      </c>
      <c r="AH77" s="96">
        <f t="shared" si="51"/>
        <v>0.20606061577574697</v>
      </c>
      <c r="AI77" s="98">
        <f t="shared" si="62"/>
        <v>0.20691552386112685</v>
      </c>
      <c r="AJ77" s="97">
        <f t="shared" si="63"/>
        <v>0.46666666666666667</v>
      </c>
      <c r="AK77" s="96">
        <f t="shared" si="64"/>
        <v>0.96079411694171657</v>
      </c>
      <c r="AL77" s="96">
        <f t="shared" si="65"/>
        <v>0.32666666666666666</v>
      </c>
      <c r="AM77" s="96">
        <f t="shared" si="52"/>
        <v>0.47399999999999998</v>
      </c>
      <c r="AN77" s="98">
        <f t="shared" si="66"/>
        <v>0.80066666666666664</v>
      </c>
      <c r="AO77" s="97">
        <f t="shared" si="53"/>
        <v>5.1294485122792928E-3</v>
      </c>
      <c r="AP77" s="96">
        <f t="shared" si="54"/>
        <v>0.22950000000000001</v>
      </c>
      <c r="AQ77" s="98">
        <f t="shared" si="67"/>
        <v>5.8500000000000002E-3</v>
      </c>
      <c r="AR77" s="97">
        <f t="shared" si="68"/>
        <v>1.2480616390400727</v>
      </c>
      <c r="AS77" s="96">
        <f t="shared" si="69"/>
        <v>4.666666666666667</v>
      </c>
      <c r="AT77" s="98">
        <f t="shared" si="70"/>
        <v>78.899087590618507</v>
      </c>
    </row>
    <row r="78" spans="17:46" x14ac:dyDescent="0.3">
      <c r="Q78" s="32">
        <v>71</v>
      </c>
      <c r="R78" s="97">
        <f t="shared" si="43"/>
        <v>10</v>
      </c>
      <c r="S78" s="96">
        <f t="shared" si="44"/>
        <v>0.47333333333333338</v>
      </c>
      <c r="T78" s="96">
        <f t="shared" si="45"/>
        <v>13</v>
      </c>
      <c r="U78" s="98">
        <f t="shared" si="46"/>
        <v>0.3641025641025642</v>
      </c>
      <c r="V78" s="97">
        <f t="shared" si="47"/>
        <v>2</v>
      </c>
      <c r="W78" s="96">
        <f t="shared" si="48"/>
        <v>0.43478260869565216</v>
      </c>
      <c r="X78" s="98">
        <f t="shared" si="49"/>
        <v>0.56521739130434789</v>
      </c>
      <c r="Y78" s="97">
        <f t="shared" si="55"/>
        <v>0.85638998682476952</v>
      </c>
      <c r="Z78" s="96">
        <f t="shared" si="56"/>
        <v>1.693825884260667</v>
      </c>
      <c r="AA78" s="96">
        <f t="shared" si="57"/>
        <v>0.4400996038556188</v>
      </c>
      <c r="AB78" s="96">
        <v>0</v>
      </c>
      <c r="AC78" s="96">
        <f t="shared" si="58"/>
        <v>1.9368766131387261E-3</v>
      </c>
      <c r="AD78" s="98">
        <f t="shared" si="59"/>
        <v>1.9368766131387261E-3</v>
      </c>
      <c r="AE78" s="97">
        <f t="shared" si="60"/>
        <v>7.4931252322556707E-2</v>
      </c>
      <c r="AF78" s="96">
        <f t="shared" si="61"/>
        <v>0.4400996038556188</v>
      </c>
      <c r="AG78" s="96">
        <f t="shared" si="50"/>
        <v>8.7159447591242682E-4</v>
      </c>
      <c r="AH78" s="96">
        <f t="shared" si="51"/>
        <v>0.20900433885825767</v>
      </c>
      <c r="AI78" s="98">
        <f t="shared" si="62"/>
        <v>0.2098759333341701</v>
      </c>
      <c r="AJ78" s="97">
        <f t="shared" si="63"/>
        <v>0.47333333333333338</v>
      </c>
      <c r="AK78" s="96">
        <f t="shared" si="64"/>
        <v>0.96949563238615177</v>
      </c>
      <c r="AL78" s="96">
        <f t="shared" si="65"/>
        <v>0.33133333333333337</v>
      </c>
      <c r="AM78" s="96">
        <f t="shared" si="52"/>
        <v>0.47399999999999998</v>
      </c>
      <c r="AN78" s="98">
        <f t="shared" si="66"/>
        <v>0.80533333333333335</v>
      </c>
      <c r="AO78" s="97">
        <f t="shared" si="53"/>
        <v>5.2295668554745607E-3</v>
      </c>
      <c r="AP78" s="96">
        <f t="shared" si="54"/>
        <v>0.22950000000000001</v>
      </c>
      <c r="AQ78" s="98">
        <f t="shared" si="67"/>
        <v>5.8500000000000002E-3</v>
      </c>
      <c r="AR78" s="97">
        <f t="shared" si="68"/>
        <v>1.2557888335229781</v>
      </c>
      <c r="AS78" s="96">
        <f t="shared" si="69"/>
        <v>4.7333333333333343</v>
      </c>
      <c r="AT78" s="98">
        <f t="shared" si="70"/>
        <v>79.032172018923092</v>
      </c>
    </row>
    <row r="79" spans="17:46" x14ac:dyDescent="0.3">
      <c r="Q79" s="32">
        <v>72</v>
      </c>
      <c r="R79" s="97">
        <f t="shared" si="43"/>
        <v>10</v>
      </c>
      <c r="S79" s="96">
        <f t="shared" si="44"/>
        <v>0.48000000000000004</v>
      </c>
      <c r="T79" s="96">
        <f t="shared" si="45"/>
        <v>13</v>
      </c>
      <c r="U79" s="98">
        <f t="shared" si="46"/>
        <v>0.36923076923076931</v>
      </c>
      <c r="V79" s="97">
        <f t="shared" si="47"/>
        <v>2</v>
      </c>
      <c r="W79" s="96">
        <f t="shared" si="48"/>
        <v>0.43478260869565216</v>
      </c>
      <c r="X79" s="98">
        <f t="shared" si="49"/>
        <v>0.56521739130434789</v>
      </c>
      <c r="Y79" s="97">
        <f t="shared" si="55"/>
        <v>0.85638998682476952</v>
      </c>
      <c r="Z79" s="96">
        <f t="shared" si="56"/>
        <v>1.7056207560555388</v>
      </c>
      <c r="AA79" s="96">
        <f t="shared" si="57"/>
        <v>0.44435160073364915</v>
      </c>
      <c r="AB79" s="96">
        <v>0</v>
      </c>
      <c r="AC79" s="96">
        <f t="shared" si="58"/>
        <v>1.9744834507455637E-3</v>
      </c>
      <c r="AD79" s="98">
        <f t="shared" si="59"/>
        <v>1.9744834507455637E-3</v>
      </c>
      <c r="AE79" s="97">
        <f t="shared" si="60"/>
        <v>7.7056856187290981E-2</v>
      </c>
      <c r="AF79" s="96">
        <f t="shared" si="61"/>
        <v>0.44435160073364915</v>
      </c>
      <c r="AG79" s="96">
        <f t="shared" si="50"/>
        <v>8.8851755283550374E-4</v>
      </c>
      <c r="AH79" s="96">
        <f t="shared" si="51"/>
        <v>0.21194806194076832</v>
      </c>
      <c r="AI79" s="98">
        <f t="shared" si="62"/>
        <v>0.21283657949360382</v>
      </c>
      <c r="AJ79" s="97">
        <f t="shared" si="63"/>
        <v>0.48000000000000004</v>
      </c>
      <c r="AK79" s="96">
        <f t="shared" si="64"/>
        <v>0.97820012893022068</v>
      </c>
      <c r="AL79" s="96">
        <f t="shared" si="65"/>
        <v>0.33600000000000002</v>
      </c>
      <c r="AM79" s="96">
        <f t="shared" si="52"/>
        <v>0.47399999999999998</v>
      </c>
      <c r="AN79" s="98">
        <f t="shared" si="66"/>
        <v>0.81</v>
      </c>
      <c r="AO79" s="97">
        <f t="shared" si="53"/>
        <v>5.3311053170130218E-3</v>
      </c>
      <c r="AP79" s="96">
        <f t="shared" si="54"/>
        <v>0.22950000000000001</v>
      </c>
      <c r="AQ79" s="98">
        <f t="shared" si="67"/>
        <v>5.8500000000000002E-3</v>
      </c>
      <c r="AR79" s="97">
        <f t="shared" si="68"/>
        <v>1.2635176848106169</v>
      </c>
      <c r="AS79" s="96">
        <f t="shared" si="69"/>
        <v>4.8000000000000007</v>
      </c>
      <c r="AT79" s="98">
        <f t="shared" si="70"/>
        <v>79.161969165592026</v>
      </c>
    </row>
    <row r="80" spans="17:46" x14ac:dyDescent="0.3">
      <c r="Q80" s="32">
        <v>73</v>
      </c>
      <c r="R80" s="97">
        <f t="shared" si="43"/>
        <v>10</v>
      </c>
      <c r="S80" s="96">
        <f t="shared" si="44"/>
        <v>0.48666666666666669</v>
      </c>
      <c r="T80" s="96">
        <f t="shared" si="45"/>
        <v>13</v>
      </c>
      <c r="U80" s="98">
        <f t="shared" si="46"/>
        <v>0.37435897435897442</v>
      </c>
      <c r="V80" s="97">
        <f t="shared" si="47"/>
        <v>2</v>
      </c>
      <c r="W80" s="96">
        <f t="shared" si="48"/>
        <v>0.43478260869565216</v>
      </c>
      <c r="X80" s="98">
        <f t="shared" si="49"/>
        <v>0.56521739130434789</v>
      </c>
      <c r="Y80" s="97">
        <f t="shared" si="55"/>
        <v>0.85638998682476952</v>
      </c>
      <c r="Z80" s="96">
        <f t="shared" si="56"/>
        <v>1.7174156278504107</v>
      </c>
      <c r="AA80" s="96">
        <f t="shared" si="57"/>
        <v>0.44862191855828221</v>
      </c>
      <c r="AB80" s="96">
        <v>0</v>
      </c>
      <c r="AC80" s="96">
        <f t="shared" si="58"/>
        <v>2.01261625810914E-3</v>
      </c>
      <c r="AD80" s="98">
        <f t="shared" si="59"/>
        <v>2.01261625810914E-3</v>
      </c>
      <c r="AE80" s="97">
        <f t="shared" si="60"/>
        <v>7.9212188777406184E-2</v>
      </c>
      <c r="AF80" s="96">
        <f t="shared" si="61"/>
        <v>0.44862191855828221</v>
      </c>
      <c r="AG80" s="96">
        <f t="shared" si="50"/>
        <v>9.056773161491131E-4</v>
      </c>
      <c r="AH80" s="96">
        <f t="shared" si="51"/>
        <v>0.21489178502327905</v>
      </c>
      <c r="AI80" s="98">
        <f t="shared" si="62"/>
        <v>0.21579746233942815</v>
      </c>
      <c r="AJ80" s="97">
        <f t="shared" si="63"/>
        <v>0.48666666666666669</v>
      </c>
      <c r="AK80" s="96">
        <f t="shared" si="64"/>
        <v>0.98690752769428303</v>
      </c>
      <c r="AL80" s="96">
        <f t="shared" si="65"/>
        <v>0.34066666666666667</v>
      </c>
      <c r="AM80" s="96">
        <f t="shared" si="52"/>
        <v>0.47399999999999998</v>
      </c>
      <c r="AN80" s="98">
        <f t="shared" si="66"/>
        <v>0.81466666666666665</v>
      </c>
      <c r="AO80" s="97">
        <f t="shared" si="53"/>
        <v>5.4340638968946777E-3</v>
      </c>
      <c r="AP80" s="96">
        <f t="shared" si="54"/>
        <v>0.22950000000000001</v>
      </c>
      <c r="AQ80" s="98">
        <f t="shared" si="67"/>
        <v>5.8500000000000002E-3</v>
      </c>
      <c r="AR80" s="97">
        <f t="shared" si="68"/>
        <v>1.2712481929029895</v>
      </c>
      <c r="AS80" s="96">
        <f t="shared" si="69"/>
        <v>4.8666666666666671</v>
      </c>
      <c r="AT80" s="98">
        <f t="shared" si="70"/>
        <v>79.288598457487893</v>
      </c>
    </row>
    <row r="81" spans="17:46" x14ac:dyDescent="0.3">
      <c r="Q81" s="32">
        <v>74</v>
      </c>
      <c r="R81" s="97">
        <f t="shared" si="43"/>
        <v>10</v>
      </c>
      <c r="S81" s="96">
        <f t="shared" si="44"/>
        <v>0.49333333333333335</v>
      </c>
      <c r="T81" s="96">
        <f t="shared" si="45"/>
        <v>13</v>
      </c>
      <c r="U81" s="98">
        <f t="shared" si="46"/>
        <v>0.37948717948717953</v>
      </c>
      <c r="V81" s="97">
        <f t="shared" si="47"/>
        <v>2</v>
      </c>
      <c r="W81" s="96">
        <f t="shared" si="48"/>
        <v>0.43478260869565216</v>
      </c>
      <c r="X81" s="98">
        <f t="shared" si="49"/>
        <v>0.56521739130434789</v>
      </c>
      <c r="Y81" s="97">
        <f t="shared" si="55"/>
        <v>0.85638998682476952</v>
      </c>
      <c r="Z81" s="96">
        <f t="shared" si="56"/>
        <v>1.7292104996452824</v>
      </c>
      <c r="AA81" s="96">
        <f t="shared" si="57"/>
        <v>0.45291003910594163</v>
      </c>
      <c r="AB81" s="96">
        <v>0</v>
      </c>
      <c r="AC81" s="96">
        <f t="shared" si="58"/>
        <v>2.0512750352294556E-3</v>
      </c>
      <c r="AD81" s="98">
        <f t="shared" si="59"/>
        <v>2.0512750352294556E-3</v>
      </c>
      <c r="AE81" s="97">
        <f t="shared" si="60"/>
        <v>8.1397250092902274E-2</v>
      </c>
      <c r="AF81" s="96">
        <f t="shared" si="61"/>
        <v>0.45291003910594163</v>
      </c>
      <c r="AG81" s="96">
        <f t="shared" si="50"/>
        <v>9.2307376585325511E-4</v>
      </c>
      <c r="AH81" s="96">
        <f t="shared" si="51"/>
        <v>0.21783550810578967</v>
      </c>
      <c r="AI81" s="98">
        <f t="shared" si="62"/>
        <v>0.21875858187164293</v>
      </c>
      <c r="AJ81" s="97">
        <f t="shared" si="63"/>
        <v>0.49333333333333335</v>
      </c>
      <c r="AK81" s="96">
        <f t="shared" si="64"/>
        <v>0.99561775253228979</v>
      </c>
      <c r="AL81" s="96">
        <f t="shared" si="65"/>
        <v>0.34533333333333333</v>
      </c>
      <c r="AM81" s="96">
        <f t="shared" si="52"/>
        <v>0.47399999999999998</v>
      </c>
      <c r="AN81" s="98">
        <f t="shared" si="66"/>
        <v>0.81933333333333325</v>
      </c>
      <c r="AO81" s="97">
        <f t="shared" si="53"/>
        <v>5.5384425951195302E-3</v>
      </c>
      <c r="AP81" s="96">
        <f t="shared" si="54"/>
        <v>0.22950000000000001</v>
      </c>
      <c r="AQ81" s="98">
        <f t="shared" si="67"/>
        <v>5.8500000000000002E-3</v>
      </c>
      <c r="AR81" s="97">
        <f t="shared" si="68"/>
        <v>1.2789803578000956</v>
      </c>
      <c r="AS81" s="96">
        <f t="shared" si="69"/>
        <v>4.9333333333333336</v>
      </c>
      <c r="AT81" s="98">
        <f t="shared" si="70"/>
        <v>79.412173605696537</v>
      </c>
    </row>
    <row r="82" spans="17:46" x14ac:dyDescent="0.3">
      <c r="Q82" s="32">
        <v>75</v>
      </c>
      <c r="R82" s="97">
        <f t="shared" si="43"/>
        <v>10</v>
      </c>
      <c r="S82" s="96">
        <f t="shared" si="44"/>
        <v>0.5</v>
      </c>
      <c r="T82" s="96">
        <f t="shared" si="45"/>
        <v>13</v>
      </c>
      <c r="U82" s="98">
        <f t="shared" si="46"/>
        <v>0.38461538461538464</v>
      </c>
      <c r="V82" s="97">
        <f t="shared" si="47"/>
        <v>2</v>
      </c>
      <c r="W82" s="96">
        <f t="shared" si="48"/>
        <v>0.43478260869565216</v>
      </c>
      <c r="X82" s="98">
        <f t="shared" si="49"/>
        <v>0.56521739130434789</v>
      </c>
      <c r="Y82" s="97">
        <f t="shared" si="55"/>
        <v>0.85638998682476952</v>
      </c>
      <c r="Z82" s="96">
        <f t="shared" si="56"/>
        <v>1.7410053714401541</v>
      </c>
      <c r="AA82" s="96">
        <f t="shared" si="57"/>
        <v>0.45721546147374653</v>
      </c>
      <c r="AB82" s="96">
        <v>0</v>
      </c>
      <c r="AC82" s="96">
        <f t="shared" si="58"/>
        <v>2.09045978210651E-3</v>
      </c>
      <c r="AD82" s="98">
        <f t="shared" si="59"/>
        <v>2.09045978210651E-3</v>
      </c>
      <c r="AE82" s="97">
        <f t="shared" si="60"/>
        <v>8.3612040133779264E-2</v>
      </c>
      <c r="AF82" s="96">
        <f t="shared" si="61"/>
        <v>0.45721546147374653</v>
      </c>
      <c r="AG82" s="96">
        <f t="shared" si="50"/>
        <v>9.4070690194792957E-4</v>
      </c>
      <c r="AH82" s="96">
        <f t="shared" si="51"/>
        <v>0.22077923118830037</v>
      </c>
      <c r="AI82" s="98">
        <f t="shared" si="62"/>
        <v>0.22171993809024829</v>
      </c>
      <c r="AJ82" s="97">
        <f t="shared" si="63"/>
        <v>0.5</v>
      </c>
      <c r="AK82" s="96">
        <f t="shared" si="64"/>
        <v>1.0043307299154591</v>
      </c>
      <c r="AL82" s="96">
        <f t="shared" si="65"/>
        <v>0.35</v>
      </c>
      <c r="AM82" s="96">
        <f t="shared" si="52"/>
        <v>0.47399999999999998</v>
      </c>
      <c r="AN82" s="98">
        <f t="shared" si="66"/>
        <v>0.82399999999999995</v>
      </c>
      <c r="AO82" s="97">
        <f t="shared" si="53"/>
        <v>5.6442414116875768E-3</v>
      </c>
      <c r="AP82" s="96">
        <f t="shared" si="54"/>
        <v>0.22950000000000001</v>
      </c>
      <c r="AQ82" s="98">
        <f t="shared" si="67"/>
        <v>5.8500000000000002E-3</v>
      </c>
      <c r="AR82" s="97">
        <f t="shared" si="68"/>
        <v>1.2867141795019359</v>
      </c>
      <c r="AS82" s="96">
        <f t="shared" si="69"/>
        <v>5</v>
      </c>
      <c r="AT82" s="98">
        <f t="shared" si="70"/>
        <v>79.532802943430852</v>
      </c>
    </row>
    <row r="83" spans="17:46" x14ac:dyDescent="0.3">
      <c r="Q83" s="32">
        <v>76</v>
      </c>
      <c r="R83" s="97">
        <f t="shared" si="43"/>
        <v>10</v>
      </c>
      <c r="S83" s="96">
        <f t="shared" si="44"/>
        <v>0.50666666666666671</v>
      </c>
      <c r="T83" s="96">
        <f t="shared" si="45"/>
        <v>13</v>
      </c>
      <c r="U83" s="98">
        <f t="shared" si="46"/>
        <v>0.3897435897435898</v>
      </c>
      <c r="V83" s="97">
        <f t="shared" si="47"/>
        <v>2</v>
      </c>
      <c r="W83" s="96">
        <f t="shared" si="48"/>
        <v>0.43478260869565216</v>
      </c>
      <c r="X83" s="98">
        <f t="shared" si="49"/>
        <v>0.56521739130434789</v>
      </c>
      <c r="Y83" s="97">
        <f t="shared" si="55"/>
        <v>0.85638998682476952</v>
      </c>
      <c r="Z83" s="96">
        <f t="shared" si="56"/>
        <v>1.752800243235026</v>
      </c>
      <c r="AA83" s="96">
        <f t="shared" si="57"/>
        <v>0.46153770146547118</v>
      </c>
      <c r="AB83" s="96">
        <v>0</v>
      </c>
      <c r="AC83" s="96">
        <f t="shared" si="58"/>
        <v>2.1301704987403041E-3</v>
      </c>
      <c r="AD83" s="98">
        <f t="shared" si="59"/>
        <v>2.1301704987403041E-3</v>
      </c>
      <c r="AE83" s="97">
        <f t="shared" si="60"/>
        <v>8.5856558900037183E-2</v>
      </c>
      <c r="AF83" s="96">
        <f t="shared" si="61"/>
        <v>0.46153770146547118</v>
      </c>
      <c r="AG83" s="96">
        <f t="shared" si="50"/>
        <v>9.585767244331369E-4</v>
      </c>
      <c r="AH83" s="96">
        <f t="shared" si="51"/>
        <v>0.22372295427081104</v>
      </c>
      <c r="AI83" s="98">
        <f t="shared" si="62"/>
        <v>0.22468153099524418</v>
      </c>
      <c r="AJ83" s="97">
        <f t="shared" si="63"/>
        <v>0.50666666666666671</v>
      </c>
      <c r="AK83" s="96">
        <f t="shared" si="64"/>
        <v>1.0130463888217829</v>
      </c>
      <c r="AL83" s="96">
        <f t="shared" si="65"/>
        <v>0.35466666666666669</v>
      </c>
      <c r="AM83" s="96">
        <f t="shared" si="52"/>
        <v>0.47399999999999998</v>
      </c>
      <c r="AN83" s="98">
        <f t="shared" si="66"/>
        <v>0.82866666666666666</v>
      </c>
      <c r="AO83" s="97">
        <f t="shared" si="53"/>
        <v>5.7514603465988207E-3</v>
      </c>
      <c r="AP83" s="96">
        <f t="shared" si="54"/>
        <v>0.22950000000000001</v>
      </c>
      <c r="AQ83" s="98">
        <f t="shared" si="67"/>
        <v>5.8500000000000002E-3</v>
      </c>
      <c r="AR83" s="97">
        <f t="shared" si="68"/>
        <v>1.2944496580085096</v>
      </c>
      <c r="AS83" s="96">
        <f t="shared" si="69"/>
        <v>5.0666666666666673</v>
      </c>
      <c r="AT83" s="98">
        <f t="shared" si="70"/>
        <v>79.650589740243291</v>
      </c>
    </row>
    <row r="84" spans="17:46" x14ac:dyDescent="0.3">
      <c r="Q84" s="32">
        <v>77</v>
      </c>
      <c r="R84" s="97">
        <f t="shared" si="43"/>
        <v>10</v>
      </c>
      <c r="S84" s="96">
        <f t="shared" si="44"/>
        <v>0.51333333333333342</v>
      </c>
      <c r="T84" s="96">
        <f t="shared" si="45"/>
        <v>13</v>
      </c>
      <c r="U84" s="98">
        <f t="shared" si="46"/>
        <v>0.39487179487179497</v>
      </c>
      <c r="V84" s="97">
        <f t="shared" si="47"/>
        <v>2</v>
      </c>
      <c r="W84" s="96">
        <f t="shared" si="48"/>
        <v>0.43478260869565216</v>
      </c>
      <c r="X84" s="98">
        <f t="shared" si="49"/>
        <v>0.56521739130434789</v>
      </c>
      <c r="Y84" s="97">
        <f t="shared" si="55"/>
        <v>0.85638998682476952</v>
      </c>
      <c r="Z84" s="96">
        <f t="shared" si="56"/>
        <v>1.764595115029898</v>
      </c>
      <c r="AA84" s="96">
        <f t="shared" si="57"/>
        <v>0.46587629099695949</v>
      </c>
      <c r="AB84" s="96">
        <v>0</v>
      </c>
      <c r="AC84" s="96">
        <f t="shared" si="58"/>
        <v>2.1704071851308369E-3</v>
      </c>
      <c r="AD84" s="98">
        <f t="shared" si="59"/>
        <v>2.1704071851308369E-3</v>
      </c>
      <c r="AE84" s="97">
        <f t="shared" si="60"/>
        <v>8.8130806391675989E-2</v>
      </c>
      <c r="AF84" s="96">
        <f t="shared" si="61"/>
        <v>0.46587629099695949</v>
      </c>
      <c r="AG84" s="96">
        <f t="shared" si="50"/>
        <v>9.7668323330887667E-4</v>
      </c>
      <c r="AH84" s="96">
        <f t="shared" si="51"/>
        <v>0.22666667735332174</v>
      </c>
      <c r="AI84" s="98">
        <f t="shared" si="62"/>
        <v>0.22764336058663062</v>
      </c>
      <c r="AJ84" s="97">
        <f t="shared" si="63"/>
        <v>0.51333333333333342</v>
      </c>
      <c r="AK84" s="96">
        <f t="shared" si="64"/>
        <v>1.0217646606310362</v>
      </c>
      <c r="AL84" s="96">
        <f t="shared" si="65"/>
        <v>0.35933333333333339</v>
      </c>
      <c r="AM84" s="96">
        <f t="shared" si="52"/>
        <v>0.47399999999999998</v>
      </c>
      <c r="AN84" s="98">
        <f t="shared" si="66"/>
        <v>0.83333333333333337</v>
      </c>
      <c r="AO84" s="97">
        <f t="shared" si="53"/>
        <v>5.8600993998532596E-3</v>
      </c>
      <c r="AP84" s="96">
        <f t="shared" si="54"/>
        <v>0.22950000000000001</v>
      </c>
      <c r="AQ84" s="98">
        <f t="shared" si="67"/>
        <v>5.8500000000000002E-3</v>
      </c>
      <c r="AR84" s="97">
        <f t="shared" si="68"/>
        <v>1.3021867933198172</v>
      </c>
      <c r="AS84" s="96">
        <f t="shared" si="69"/>
        <v>5.1333333333333346</v>
      </c>
      <c r="AT84" s="98">
        <f t="shared" si="70"/>
        <v>79.765632494462707</v>
      </c>
    </row>
    <row r="85" spans="17:46" x14ac:dyDescent="0.3">
      <c r="Q85" s="32">
        <v>78</v>
      </c>
      <c r="R85" s="97">
        <f t="shared" si="43"/>
        <v>10</v>
      </c>
      <c r="S85" s="96">
        <f t="shared" si="44"/>
        <v>0.52</v>
      </c>
      <c r="T85" s="96">
        <f t="shared" si="45"/>
        <v>13</v>
      </c>
      <c r="U85" s="98">
        <f t="shared" si="46"/>
        <v>0.4</v>
      </c>
      <c r="V85" s="97">
        <f t="shared" si="47"/>
        <v>2</v>
      </c>
      <c r="W85" s="96">
        <f t="shared" si="48"/>
        <v>0.43478260869565216</v>
      </c>
      <c r="X85" s="98">
        <f t="shared" si="49"/>
        <v>0.56521739130434789</v>
      </c>
      <c r="Y85" s="97">
        <f t="shared" si="55"/>
        <v>0.85638998682476952</v>
      </c>
      <c r="Z85" s="96">
        <f t="shared" si="56"/>
        <v>1.7763899868247695</v>
      </c>
      <c r="AA85" s="96">
        <f t="shared" si="57"/>
        <v>0.47023077752079434</v>
      </c>
      <c r="AB85" s="96">
        <v>0</v>
      </c>
      <c r="AC85" s="96">
        <f t="shared" si="58"/>
        <v>2.2111698412781077E-3</v>
      </c>
      <c r="AD85" s="98">
        <f t="shared" si="59"/>
        <v>2.2111698412781077E-3</v>
      </c>
      <c r="AE85" s="97">
        <f t="shared" si="60"/>
        <v>9.0434782608695655E-2</v>
      </c>
      <c r="AF85" s="96">
        <f t="shared" si="61"/>
        <v>0.47023077752079434</v>
      </c>
      <c r="AG85" s="96">
        <f t="shared" si="50"/>
        <v>9.9502642857514866E-4</v>
      </c>
      <c r="AH85" s="96">
        <f t="shared" si="51"/>
        <v>0.22961040043583236</v>
      </c>
      <c r="AI85" s="98">
        <f t="shared" si="62"/>
        <v>0.23060542686440752</v>
      </c>
      <c r="AJ85" s="97">
        <f t="shared" si="63"/>
        <v>0.52</v>
      </c>
      <c r="AK85" s="96">
        <f t="shared" si="64"/>
        <v>1.03048547902497</v>
      </c>
      <c r="AL85" s="96">
        <f t="shared" si="65"/>
        <v>0.36399999999999999</v>
      </c>
      <c r="AM85" s="96">
        <f t="shared" si="52"/>
        <v>0.47399999999999998</v>
      </c>
      <c r="AN85" s="98">
        <f t="shared" si="66"/>
        <v>0.83799999999999997</v>
      </c>
      <c r="AO85" s="97">
        <f t="shared" si="53"/>
        <v>5.9701585714508907E-3</v>
      </c>
      <c r="AP85" s="96">
        <f t="shared" si="54"/>
        <v>0.22950000000000001</v>
      </c>
      <c r="AQ85" s="98">
        <f t="shared" si="67"/>
        <v>5.8500000000000002E-3</v>
      </c>
      <c r="AR85" s="97">
        <f t="shared" si="68"/>
        <v>1.3099255854358582</v>
      </c>
      <c r="AS85" s="96">
        <f t="shared" si="69"/>
        <v>5.2</v>
      </c>
      <c r="AT85" s="98">
        <f t="shared" si="70"/>
        <v>79.878025205596032</v>
      </c>
    </row>
    <row r="86" spans="17:46" x14ac:dyDescent="0.3">
      <c r="Q86" s="32">
        <v>79</v>
      </c>
      <c r="R86" s="97">
        <f t="shared" si="43"/>
        <v>10</v>
      </c>
      <c r="S86" s="96">
        <f t="shared" si="44"/>
        <v>0.52666666666666673</v>
      </c>
      <c r="T86" s="96">
        <f t="shared" si="45"/>
        <v>13</v>
      </c>
      <c r="U86" s="98">
        <f t="shared" si="46"/>
        <v>0.40512820512820519</v>
      </c>
      <c r="V86" s="97">
        <f t="shared" si="47"/>
        <v>2</v>
      </c>
      <c r="W86" s="96">
        <f t="shared" si="48"/>
        <v>0.43478260869565216</v>
      </c>
      <c r="X86" s="98">
        <f t="shared" si="49"/>
        <v>0.56521739130434789</v>
      </c>
      <c r="Y86" s="97">
        <f t="shared" si="55"/>
        <v>0.85638998682476952</v>
      </c>
      <c r="Z86" s="96">
        <f t="shared" si="56"/>
        <v>1.7881848586196414</v>
      </c>
      <c r="AA86" s="96">
        <f t="shared" si="57"/>
        <v>0.47460072346996252</v>
      </c>
      <c r="AB86" s="96">
        <v>0</v>
      </c>
      <c r="AC86" s="96">
        <f t="shared" si="58"/>
        <v>2.2524584671821182E-3</v>
      </c>
      <c r="AD86" s="98">
        <f t="shared" si="59"/>
        <v>2.2524584671821182E-3</v>
      </c>
      <c r="AE86" s="97">
        <f t="shared" si="60"/>
        <v>9.2768487551096276E-2</v>
      </c>
      <c r="AF86" s="96">
        <f t="shared" si="61"/>
        <v>0.47460072346996252</v>
      </c>
      <c r="AG86" s="96">
        <f t="shared" si="50"/>
        <v>1.0136063102319534E-3</v>
      </c>
      <c r="AH86" s="96">
        <f t="shared" si="51"/>
        <v>0.23255412351834304</v>
      </c>
      <c r="AI86" s="98">
        <f t="shared" si="62"/>
        <v>0.23356772982857499</v>
      </c>
      <c r="AJ86" s="97">
        <f t="shared" si="63"/>
        <v>0.52666666666666673</v>
      </c>
      <c r="AK86" s="96">
        <f t="shared" si="64"/>
        <v>1.0392087798924012</v>
      </c>
      <c r="AL86" s="96">
        <f t="shared" si="65"/>
        <v>0.3686666666666667</v>
      </c>
      <c r="AM86" s="96">
        <f t="shared" si="52"/>
        <v>0.47399999999999998</v>
      </c>
      <c r="AN86" s="98">
        <f t="shared" si="66"/>
        <v>0.84266666666666667</v>
      </c>
      <c r="AO86" s="97">
        <f t="shared" si="53"/>
        <v>6.0816378613917192E-3</v>
      </c>
      <c r="AP86" s="96">
        <f t="shared" si="54"/>
        <v>0.22950000000000001</v>
      </c>
      <c r="AQ86" s="98">
        <f t="shared" si="67"/>
        <v>5.8500000000000002E-3</v>
      </c>
      <c r="AR86" s="97">
        <f t="shared" si="68"/>
        <v>1.3176660343566333</v>
      </c>
      <c r="AS86" s="96">
        <f t="shared" si="69"/>
        <v>5.2666666666666675</v>
      </c>
      <c r="AT86" s="98">
        <f t="shared" si="70"/>
        <v>79.987857628277979</v>
      </c>
    </row>
    <row r="87" spans="17:46" x14ac:dyDescent="0.3">
      <c r="Q87" s="32">
        <v>80</v>
      </c>
      <c r="R87" s="97">
        <f t="shared" si="43"/>
        <v>10</v>
      </c>
      <c r="S87" s="96">
        <f t="shared" si="44"/>
        <v>0.53333333333333333</v>
      </c>
      <c r="T87" s="96">
        <f t="shared" si="45"/>
        <v>13</v>
      </c>
      <c r="U87" s="98">
        <f t="shared" si="46"/>
        <v>0.41025641025641024</v>
      </c>
      <c r="V87" s="97">
        <f t="shared" si="47"/>
        <v>2</v>
      </c>
      <c r="W87" s="96">
        <f t="shared" si="48"/>
        <v>0.43478260869565216</v>
      </c>
      <c r="X87" s="98">
        <f t="shared" si="49"/>
        <v>0.56521739130434789</v>
      </c>
      <c r="Y87" s="97">
        <f t="shared" si="55"/>
        <v>0.85638998682476952</v>
      </c>
      <c r="Z87" s="96">
        <f t="shared" si="56"/>
        <v>1.7999797304145131</v>
      </c>
      <c r="AA87" s="96">
        <f t="shared" si="57"/>
        <v>0.4789857057202091</v>
      </c>
      <c r="AB87" s="96">
        <v>0</v>
      </c>
      <c r="AC87" s="96">
        <f t="shared" si="58"/>
        <v>2.2942730628428675E-3</v>
      </c>
      <c r="AD87" s="98">
        <f t="shared" si="59"/>
        <v>2.2942730628428675E-3</v>
      </c>
      <c r="AE87" s="97">
        <f t="shared" si="60"/>
        <v>9.5131921218877744E-2</v>
      </c>
      <c r="AF87" s="96">
        <f t="shared" si="61"/>
        <v>0.4789857057202091</v>
      </c>
      <c r="AG87" s="96">
        <f t="shared" si="50"/>
        <v>1.0324228782792905E-3</v>
      </c>
      <c r="AH87" s="96">
        <f t="shared" si="51"/>
        <v>0.23549784660085371</v>
      </c>
      <c r="AI87" s="98">
        <f t="shared" si="62"/>
        <v>0.236530269479133</v>
      </c>
      <c r="AJ87" s="97">
        <f t="shared" si="63"/>
        <v>0.53333333333333333</v>
      </c>
      <c r="AK87" s="96">
        <f t="shared" si="64"/>
        <v>1.0479345012389127</v>
      </c>
      <c r="AL87" s="96">
        <f t="shared" si="65"/>
        <v>0.37333333333333329</v>
      </c>
      <c r="AM87" s="96">
        <f t="shared" si="52"/>
        <v>0.47399999999999998</v>
      </c>
      <c r="AN87" s="98">
        <f t="shared" si="66"/>
        <v>0.84733333333333327</v>
      </c>
      <c r="AO87" s="97">
        <f t="shared" si="53"/>
        <v>6.1945372696757426E-3</v>
      </c>
      <c r="AP87" s="96">
        <f t="shared" si="54"/>
        <v>0.22950000000000001</v>
      </c>
      <c r="AQ87" s="98">
        <f t="shared" si="67"/>
        <v>5.8500000000000002E-3</v>
      </c>
      <c r="AR87" s="97">
        <f t="shared" si="68"/>
        <v>1.325408140082142</v>
      </c>
      <c r="AS87" s="96">
        <f t="shared" si="69"/>
        <v>5.333333333333333</v>
      </c>
      <c r="AT87" s="98">
        <f t="shared" si="70"/>
        <v>80.095215509210945</v>
      </c>
    </row>
    <row r="88" spans="17:46" x14ac:dyDescent="0.3">
      <c r="Q88" s="32">
        <v>81</v>
      </c>
      <c r="R88" s="97">
        <f t="shared" si="43"/>
        <v>10</v>
      </c>
      <c r="S88" s="96">
        <f t="shared" si="44"/>
        <v>0.54</v>
      </c>
      <c r="T88" s="96">
        <f t="shared" si="45"/>
        <v>13</v>
      </c>
      <c r="U88" s="98">
        <f t="shared" si="46"/>
        <v>0.41538461538461541</v>
      </c>
      <c r="V88" s="97">
        <f t="shared" si="47"/>
        <v>2</v>
      </c>
      <c r="W88" s="96">
        <f t="shared" si="48"/>
        <v>0.43478260869565216</v>
      </c>
      <c r="X88" s="98">
        <f t="shared" si="49"/>
        <v>0.56521739130434789</v>
      </c>
      <c r="Y88" s="97">
        <f t="shared" si="55"/>
        <v>0.85638998682476952</v>
      </c>
      <c r="Z88" s="96">
        <f t="shared" si="56"/>
        <v>1.811774602209385</v>
      </c>
      <c r="AA88" s="96">
        <f t="shared" si="57"/>
        <v>0.48338531507073695</v>
      </c>
      <c r="AB88" s="96">
        <v>0</v>
      </c>
      <c r="AC88" s="96">
        <f t="shared" si="58"/>
        <v>2.3366136282603565E-3</v>
      </c>
      <c r="AD88" s="98">
        <f t="shared" si="59"/>
        <v>2.3366136282603565E-3</v>
      </c>
      <c r="AE88" s="97">
        <f t="shared" si="60"/>
        <v>9.7525083612040153E-2</v>
      </c>
      <c r="AF88" s="96">
        <f t="shared" si="61"/>
        <v>0.48338531507073695</v>
      </c>
      <c r="AG88" s="96">
        <f t="shared" si="50"/>
        <v>1.0514761327171606E-3</v>
      </c>
      <c r="AH88" s="96">
        <f t="shared" si="51"/>
        <v>0.23844156968336438</v>
      </c>
      <c r="AI88" s="98">
        <f t="shared" si="62"/>
        <v>0.23949304581608155</v>
      </c>
      <c r="AJ88" s="97">
        <f t="shared" si="63"/>
        <v>0.54</v>
      </c>
      <c r="AK88" s="96">
        <f t="shared" si="64"/>
        <v>1.0566625831009204</v>
      </c>
      <c r="AL88" s="96">
        <f t="shared" si="65"/>
        <v>0.378</v>
      </c>
      <c r="AM88" s="96">
        <f t="shared" si="52"/>
        <v>0.47399999999999998</v>
      </c>
      <c r="AN88" s="98">
        <f t="shared" si="66"/>
        <v>0.85199999999999998</v>
      </c>
      <c r="AO88" s="97">
        <f t="shared" si="53"/>
        <v>6.3088567963029626E-3</v>
      </c>
      <c r="AP88" s="96">
        <f t="shared" si="54"/>
        <v>0.22950000000000001</v>
      </c>
      <c r="AQ88" s="98">
        <f t="shared" si="67"/>
        <v>5.8500000000000002E-3</v>
      </c>
      <c r="AR88" s="97">
        <f t="shared" si="68"/>
        <v>1.3331519026123844</v>
      </c>
      <c r="AS88" s="96">
        <f t="shared" si="69"/>
        <v>5.4</v>
      </c>
      <c r="AT88" s="98">
        <f t="shared" si="70"/>
        <v>80.200180808409556</v>
      </c>
    </row>
    <row r="89" spans="17:46" x14ac:dyDescent="0.3">
      <c r="Q89" s="32">
        <v>82</v>
      </c>
      <c r="R89" s="97">
        <f t="shared" si="43"/>
        <v>10</v>
      </c>
      <c r="S89" s="96">
        <f t="shared" si="44"/>
        <v>0.54666666666666675</v>
      </c>
      <c r="T89" s="96">
        <f t="shared" si="45"/>
        <v>13</v>
      </c>
      <c r="U89" s="98">
        <f t="shared" si="46"/>
        <v>0.42051282051282057</v>
      </c>
      <c r="V89" s="97">
        <f t="shared" si="47"/>
        <v>2</v>
      </c>
      <c r="W89" s="96">
        <f t="shared" si="48"/>
        <v>0.43478260869565216</v>
      </c>
      <c r="X89" s="98">
        <f t="shared" si="49"/>
        <v>0.56521739130434789</v>
      </c>
      <c r="Y89" s="97">
        <f t="shared" si="55"/>
        <v>0.85638998682476952</v>
      </c>
      <c r="Z89" s="96">
        <f t="shared" si="56"/>
        <v>1.8235694740042567</v>
      </c>
      <c r="AA89" s="96">
        <f t="shared" si="57"/>
        <v>0.48779915574287169</v>
      </c>
      <c r="AB89" s="96">
        <v>0</v>
      </c>
      <c r="AC89" s="96">
        <f t="shared" si="58"/>
        <v>2.3794801634345838E-3</v>
      </c>
      <c r="AD89" s="98">
        <f t="shared" si="59"/>
        <v>2.3794801634345838E-3</v>
      </c>
      <c r="AE89" s="97">
        <f t="shared" si="60"/>
        <v>9.994797473058345E-2</v>
      </c>
      <c r="AF89" s="96">
        <f t="shared" si="61"/>
        <v>0.48779915574287169</v>
      </c>
      <c r="AG89" s="96">
        <f t="shared" si="50"/>
        <v>1.0707660735455628E-3</v>
      </c>
      <c r="AH89" s="96">
        <f t="shared" si="51"/>
        <v>0.24138529276587506</v>
      </c>
      <c r="AI89" s="98">
        <f t="shared" si="62"/>
        <v>0.24245605883942062</v>
      </c>
      <c r="AJ89" s="97">
        <f t="shared" si="63"/>
        <v>0.54666666666666675</v>
      </c>
      <c r="AK89" s="96">
        <f t="shared" si="64"/>
        <v>1.0653929674638536</v>
      </c>
      <c r="AL89" s="96">
        <f t="shared" si="65"/>
        <v>0.38266666666666671</v>
      </c>
      <c r="AM89" s="96">
        <f t="shared" si="52"/>
        <v>0.47399999999999998</v>
      </c>
      <c r="AN89" s="98">
        <f t="shared" si="66"/>
        <v>0.85666666666666669</v>
      </c>
      <c r="AO89" s="97">
        <f t="shared" si="53"/>
        <v>6.4245964412733766E-3</v>
      </c>
      <c r="AP89" s="96">
        <f t="shared" si="54"/>
        <v>0.22950000000000001</v>
      </c>
      <c r="AQ89" s="98">
        <f t="shared" si="67"/>
        <v>5.8500000000000002E-3</v>
      </c>
      <c r="AR89" s="97">
        <f t="shared" si="68"/>
        <v>1.3408973219473606</v>
      </c>
      <c r="AS89" s="96">
        <f t="shared" si="69"/>
        <v>5.4666666666666677</v>
      </c>
      <c r="AT89" s="98">
        <f t="shared" si="70"/>
        <v>80.302831905949404</v>
      </c>
    </row>
    <row r="90" spans="17:46" x14ac:dyDescent="0.3">
      <c r="Q90" s="32">
        <v>83</v>
      </c>
      <c r="R90" s="97">
        <f t="shared" si="43"/>
        <v>10</v>
      </c>
      <c r="S90" s="96">
        <f t="shared" si="44"/>
        <v>0.55333333333333334</v>
      </c>
      <c r="T90" s="96">
        <f t="shared" si="45"/>
        <v>13</v>
      </c>
      <c r="U90" s="98">
        <f t="shared" si="46"/>
        <v>0.42564102564102563</v>
      </c>
      <c r="V90" s="97">
        <f t="shared" si="47"/>
        <v>2</v>
      </c>
      <c r="W90" s="96">
        <f t="shared" si="48"/>
        <v>0.43478260869565216</v>
      </c>
      <c r="X90" s="98">
        <f t="shared" si="49"/>
        <v>0.56521739130434789</v>
      </c>
      <c r="Y90" s="97">
        <f t="shared" si="55"/>
        <v>0.85638998682476952</v>
      </c>
      <c r="Z90" s="96">
        <f t="shared" si="56"/>
        <v>1.8353643457991284</v>
      </c>
      <c r="AA90" s="96">
        <f t="shared" si="57"/>
        <v>0.49222684489628865</v>
      </c>
      <c r="AB90" s="96">
        <v>0</v>
      </c>
      <c r="AC90" s="96">
        <f t="shared" si="58"/>
        <v>2.4228726683655499E-3</v>
      </c>
      <c r="AD90" s="98">
        <f t="shared" si="59"/>
        <v>2.4228726683655499E-3</v>
      </c>
      <c r="AE90" s="97">
        <f t="shared" si="60"/>
        <v>0.10240059457450761</v>
      </c>
      <c r="AF90" s="96">
        <f t="shared" si="61"/>
        <v>0.49222684489628865</v>
      </c>
      <c r="AG90" s="96">
        <f t="shared" si="50"/>
        <v>1.0902927007644975E-3</v>
      </c>
      <c r="AH90" s="96">
        <f t="shared" si="51"/>
        <v>0.24432901584838565</v>
      </c>
      <c r="AI90" s="98">
        <f t="shared" si="62"/>
        <v>0.24541930854915014</v>
      </c>
      <c r="AJ90" s="97">
        <f t="shared" si="63"/>
        <v>0.55333333333333334</v>
      </c>
      <c r="AK90" s="96">
        <f t="shared" si="64"/>
        <v>1.0741255981842281</v>
      </c>
      <c r="AL90" s="96">
        <f t="shared" si="65"/>
        <v>0.38733333333333331</v>
      </c>
      <c r="AM90" s="96">
        <f t="shared" si="52"/>
        <v>0.47399999999999998</v>
      </c>
      <c r="AN90" s="98">
        <f t="shared" si="66"/>
        <v>0.86133333333333328</v>
      </c>
      <c r="AO90" s="97">
        <f t="shared" si="53"/>
        <v>6.5417562045869846E-3</v>
      </c>
      <c r="AP90" s="96">
        <f t="shared" si="54"/>
        <v>0.22950000000000001</v>
      </c>
      <c r="AQ90" s="98">
        <f t="shared" si="67"/>
        <v>5.8500000000000002E-3</v>
      </c>
      <c r="AR90" s="97">
        <f t="shared" si="68"/>
        <v>1.3486443980870704</v>
      </c>
      <c r="AS90" s="96">
        <f t="shared" si="69"/>
        <v>5.5333333333333332</v>
      </c>
      <c r="AT90" s="98">
        <f t="shared" si="70"/>
        <v>80.403243795316428</v>
      </c>
    </row>
    <row r="91" spans="17:46" x14ac:dyDescent="0.3">
      <c r="Q91" s="32">
        <v>84</v>
      </c>
      <c r="R91" s="97">
        <f t="shared" si="43"/>
        <v>10</v>
      </c>
      <c r="S91" s="96">
        <f t="shared" si="44"/>
        <v>0.56000000000000005</v>
      </c>
      <c r="T91" s="96">
        <f t="shared" si="45"/>
        <v>13</v>
      </c>
      <c r="U91" s="98">
        <f t="shared" si="46"/>
        <v>0.43076923076923079</v>
      </c>
      <c r="V91" s="97">
        <f t="shared" si="47"/>
        <v>2</v>
      </c>
      <c r="W91" s="96">
        <f t="shared" si="48"/>
        <v>0.43478260869565216</v>
      </c>
      <c r="X91" s="98">
        <f t="shared" si="49"/>
        <v>0.56521739130434789</v>
      </c>
      <c r="Y91" s="97">
        <f t="shared" si="55"/>
        <v>0.85638998682476952</v>
      </c>
      <c r="Z91" s="96">
        <f t="shared" si="56"/>
        <v>1.8471592175940004</v>
      </c>
      <c r="AA91" s="96">
        <f t="shared" si="57"/>
        <v>0.49666801216237549</v>
      </c>
      <c r="AB91" s="96">
        <v>0</v>
      </c>
      <c r="AC91" s="96">
        <f t="shared" si="58"/>
        <v>2.4667911430532557E-3</v>
      </c>
      <c r="AD91" s="98">
        <f t="shared" si="59"/>
        <v>2.4667911430532557E-3</v>
      </c>
      <c r="AE91" s="97">
        <f t="shared" si="60"/>
        <v>0.10488294314381273</v>
      </c>
      <c r="AF91" s="96">
        <f t="shared" si="61"/>
        <v>0.49666801216237549</v>
      </c>
      <c r="AG91" s="96">
        <f t="shared" si="50"/>
        <v>1.1100560143739652E-3</v>
      </c>
      <c r="AH91" s="96">
        <f t="shared" si="51"/>
        <v>0.24727273893089641</v>
      </c>
      <c r="AI91" s="98">
        <f t="shared" si="62"/>
        <v>0.24838279494527038</v>
      </c>
      <c r="AJ91" s="97">
        <f t="shared" si="63"/>
        <v>0.56000000000000005</v>
      </c>
      <c r="AK91" s="96">
        <f t="shared" si="64"/>
        <v>1.0828604209154022</v>
      </c>
      <c r="AL91" s="96">
        <f t="shared" si="65"/>
        <v>0.39200000000000002</v>
      </c>
      <c r="AM91" s="96">
        <f t="shared" si="52"/>
        <v>0.47399999999999998</v>
      </c>
      <c r="AN91" s="98">
        <f t="shared" si="66"/>
        <v>0.86599999999999999</v>
      </c>
      <c r="AO91" s="97">
        <f t="shared" si="53"/>
        <v>6.6603360862437901E-3</v>
      </c>
      <c r="AP91" s="96">
        <f t="shared" si="54"/>
        <v>0.22950000000000001</v>
      </c>
      <c r="AQ91" s="98">
        <f t="shared" si="67"/>
        <v>5.8500000000000002E-3</v>
      </c>
      <c r="AR91" s="97">
        <f t="shared" si="68"/>
        <v>1.3563931310315143</v>
      </c>
      <c r="AS91" s="96">
        <f t="shared" si="69"/>
        <v>5.6000000000000005</v>
      </c>
      <c r="AT91" s="98">
        <f t="shared" si="70"/>
        <v>80.501488264358855</v>
      </c>
    </row>
    <row r="92" spans="17:46" x14ac:dyDescent="0.3">
      <c r="Q92" s="32">
        <v>85</v>
      </c>
      <c r="R92" s="97">
        <f t="shared" si="43"/>
        <v>10</v>
      </c>
      <c r="S92" s="96">
        <f t="shared" si="44"/>
        <v>0.56666666666666665</v>
      </c>
      <c r="T92" s="96">
        <f t="shared" si="45"/>
        <v>13</v>
      </c>
      <c r="U92" s="98">
        <f t="shared" si="46"/>
        <v>0.43589743589743585</v>
      </c>
      <c r="V92" s="97">
        <f t="shared" si="47"/>
        <v>2</v>
      </c>
      <c r="W92" s="96">
        <f t="shared" si="48"/>
        <v>0.43478260869565216</v>
      </c>
      <c r="X92" s="98">
        <f t="shared" si="49"/>
        <v>0.56521739130434789</v>
      </c>
      <c r="Y92" s="97">
        <f t="shared" si="55"/>
        <v>0.85638998682476952</v>
      </c>
      <c r="Z92" s="96">
        <f t="shared" si="56"/>
        <v>1.8589540893888721</v>
      </c>
      <c r="AA92" s="96">
        <f t="shared" si="57"/>
        <v>0.50112229919428841</v>
      </c>
      <c r="AB92" s="96">
        <v>0</v>
      </c>
      <c r="AC92" s="96">
        <f t="shared" si="58"/>
        <v>2.5112355874976995E-3</v>
      </c>
      <c r="AD92" s="98">
        <f t="shared" si="59"/>
        <v>2.5112355874976995E-3</v>
      </c>
      <c r="AE92" s="97">
        <f t="shared" si="60"/>
        <v>0.10739502043849868</v>
      </c>
      <c r="AF92" s="96">
        <f t="shared" si="61"/>
        <v>0.50112229919428841</v>
      </c>
      <c r="AG92" s="96">
        <f t="shared" si="50"/>
        <v>1.1300560143739649E-3</v>
      </c>
      <c r="AH92" s="96">
        <f t="shared" si="51"/>
        <v>0.25021646201340708</v>
      </c>
      <c r="AI92" s="98">
        <f t="shared" si="62"/>
        <v>0.25134651802778107</v>
      </c>
      <c r="AJ92" s="97">
        <f t="shared" si="63"/>
        <v>0.56666666666666665</v>
      </c>
      <c r="AK92" s="96">
        <f t="shared" si="64"/>
        <v>1.0915973830368058</v>
      </c>
      <c r="AL92" s="96">
        <f t="shared" si="65"/>
        <v>0.39666666666666661</v>
      </c>
      <c r="AM92" s="96">
        <f t="shared" si="52"/>
        <v>0.47399999999999998</v>
      </c>
      <c r="AN92" s="98">
        <f t="shared" si="66"/>
        <v>0.87066666666666659</v>
      </c>
      <c r="AO92" s="97">
        <f t="shared" si="53"/>
        <v>6.7803360862437878E-3</v>
      </c>
      <c r="AP92" s="96">
        <f t="shared" si="54"/>
        <v>0.22950000000000001</v>
      </c>
      <c r="AQ92" s="98">
        <f t="shared" si="67"/>
        <v>5.8500000000000002E-3</v>
      </c>
      <c r="AR92" s="97">
        <f t="shared" si="68"/>
        <v>1.3641435207806913</v>
      </c>
      <c r="AS92" s="96">
        <f t="shared" si="69"/>
        <v>5.6666666666666661</v>
      </c>
      <c r="AT92" s="98">
        <f t="shared" si="70"/>
        <v>80.597634064759688</v>
      </c>
    </row>
    <row r="93" spans="17:46" x14ac:dyDescent="0.3">
      <c r="Q93" s="32">
        <v>86</v>
      </c>
      <c r="R93" s="97">
        <f t="shared" si="43"/>
        <v>10</v>
      </c>
      <c r="S93" s="96">
        <f t="shared" si="44"/>
        <v>0.57333333333333336</v>
      </c>
      <c r="T93" s="96">
        <f t="shared" si="45"/>
        <v>13</v>
      </c>
      <c r="U93" s="98">
        <f t="shared" si="46"/>
        <v>0.44102564102564101</v>
      </c>
      <c r="V93" s="97">
        <f t="shared" si="47"/>
        <v>2</v>
      </c>
      <c r="W93" s="96">
        <f t="shared" si="48"/>
        <v>0.43478260869565216</v>
      </c>
      <c r="X93" s="98">
        <f t="shared" si="49"/>
        <v>0.56521739130434789</v>
      </c>
      <c r="Y93" s="97">
        <f t="shared" si="55"/>
        <v>0.85638998682476952</v>
      </c>
      <c r="Z93" s="96">
        <f t="shared" si="56"/>
        <v>1.870748961183744</v>
      </c>
      <c r="AA93" s="96">
        <f t="shared" si="57"/>
        <v>0.50558935923324999</v>
      </c>
      <c r="AB93" s="96">
        <v>0</v>
      </c>
      <c r="AC93" s="96">
        <f t="shared" si="58"/>
        <v>2.5562060016988829E-3</v>
      </c>
      <c r="AD93" s="98">
        <f t="shared" si="59"/>
        <v>2.5562060016988829E-3</v>
      </c>
      <c r="AE93" s="97">
        <f t="shared" si="60"/>
        <v>0.10993682645856559</v>
      </c>
      <c r="AF93" s="96">
        <f t="shared" si="61"/>
        <v>0.50558935923324999</v>
      </c>
      <c r="AG93" s="96">
        <f t="shared" si="50"/>
        <v>1.1502927007644975E-3</v>
      </c>
      <c r="AH93" s="96">
        <f t="shared" si="51"/>
        <v>0.25316018509591776</v>
      </c>
      <c r="AI93" s="98">
        <f t="shared" si="62"/>
        <v>0.25431047779668225</v>
      </c>
      <c r="AJ93" s="97">
        <f t="shared" si="63"/>
        <v>0.57333333333333336</v>
      </c>
      <c r="AK93" s="96">
        <f t="shared" si="64"/>
        <v>1.1003364335864683</v>
      </c>
      <c r="AL93" s="96">
        <f t="shared" si="65"/>
        <v>0.40133333333333332</v>
      </c>
      <c r="AM93" s="96">
        <f t="shared" si="52"/>
        <v>0.47399999999999998</v>
      </c>
      <c r="AN93" s="98">
        <f t="shared" si="66"/>
        <v>0.8753333333333333</v>
      </c>
      <c r="AO93" s="97">
        <f t="shared" si="53"/>
        <v>6.9017562045869838E-3</v>
      </c>
      <c r="AP93" s="96">
        <f t="shared" si="54"/>
        <v>0.22950000000000001</v>
      </c>
      <c r="AQ93" s="98">
        <f t="shared" si="67"/>
        <v>5.8500000000000002E-3</v>
      </c>
      <c r="AR93" s="97">
        <f t="shared" si="68"/>
        <v>1.3718955673346025</v>
      </c>
      <c r="AS93" s="96">
        <f t="shared" si="69"/>
        <v>5.7333333333333334</v>
      </c>
      <c r="AT93" s="98">
        <f t="shared" si="70"/>
        <v>80.691747070870079</v>
      </c>
    </row>
    <row r="94" spans="17:46" x14ac:dyDescent="0.3">
      <c r="Q94" s="32">
        <v>87</v>
      </c>
      <c r="R94" s="97">
        <f t="shared" si="43"/>
        <v>10</v>
      </c>
      <c r="S94" s="96">
        <f t="shared" si="44"/>
        <v>0.58000000000000007</v>
      </c>
      <c r="T94" s="96">
        <f t="shared" si="45"/>
        <v>13</v>
      </c>
      <c r="U94" s="98">
        <f t="shared" si="46"/>
        <v>0.44615384615384623</v>
      </c>
      <c r="V94" s="97">
        <f t="shared" si="47"/>
        <v>2</v>
      </c>
      <c r="W94" s="96">
        <f t="shared" si="48"/>
        <v>0.43478260869565216</v>
      </c>
      <c r="X94" s="98">
        <f t="shared" si="49"/>
        <v>0.56521739130434789</v>
      </c>
      <c r="Y94" s="97">
        <f t="shared" si="55"/>
        <v>0.85638998682476952</v>
      </c>
      <c r="Z94" s="96">
        <f t="shared" si="56"/>
        <v>1.8825438329786159</v>
      </c>
      <c r="AA94" s="96">
        <f t="shared" si="57"/>
        <v>0.51006885669062429</v>
      </c>
      <c r="AB94" s="96">
        <v>0</v>
      </c>
      <c r="AC94" s="96">
        <f t="shared" si="58"/>
        <v>2.601702385656806E-3</v>
      </c>
      <c r="AD94" s="98">
        <f t="shared" si="59"/>
        <v>2.601702385656806E-3</v>
      </c>
      <c r="AE94" s="97">
        <f t="shared" si="60"/>
        <v>0.11250836120401342</v>
      </c>
      <c r="AF94" s="96">
        <f t="shared" si="61"/>
        <v>0.51006885669062429</v>
      </c>
      <c r="AG94" s="96">
        <f t="shared" si="50"/>
        <v>1.1707660735455628E-3</v>
      </c>
      <c r="AH94" s="96">
        <f t="shared" si="51"/>
        <v>0.25610390817842843</v>
      </c>
      <c r="AI94" s="98">
        <f t="shared" si="62"/>
        <v>0.25727467425197398</v>
      </c>
      <c r="AJ94" s="97">
        <f t="shared" si="63"/>
        <v>0.58000000000000007</v>
      </c>
      <c r="AK94" s="96">
        <f t="shared" si="64"/>
        <v>1.1090775231966605</v>
      </c>
      <c r="AL94" s="96">
        <f t="shared" si="65"/>
        <v>0.40600000000000003</v>
      </c>
      <c r="AM94" s="96">
        <f t="shared" si="52"/>
        <v>0.47399999999999998</v>
      </c>
      <c r="AN94" s="98">
        <f t="shared" si="66"/>
        <v>0.88</v>
      </c>
      <c r="AO94" s="97">
        <f t="shared" si="53"/>
        <v>7.0245964412733765E-3</v>
      </c>
      <c r="AP94" s="96">
        <f t="shared" si="54"/>
        <v>0.22950000000000001</v>
      </c>
      <c r="AQ94" s="98">
        <f t="shared" si="67"/>
        <v>5.8500000000000002E-3</v>
      </c>
      <c r="AR94" s="97">
        <f t="shared" si="68"/>
        <v>1.3796492706932473</v>
      </c>
      <c r="AS94" s="96">
        <f t="shared" si="69"/>
        <v>5.8000000000000007</v>
      </c>
      <c r="AT94" s="98">
        <f t="shared" si="70"/>
        <v>80.783890428675051</v>
      </c>
    </row>
    <row r="95" spans="17:46" x14ac:dyDescent="0.3">
      <c r="Q95" s="32">
        <v>88</v>
      </c>
      <c r="R95" s="97">
        <f t="shared" si="43"/>
        <v>10</v>
      </c>
      <c r="S95" s="96">
        <f t="shared" si="44"/>
        <v>0.58666666666666667</v>
      </c>
      <c r="T95" s="96">
        <f t="shared" si="45"/>
        <v>13</v>
      </c>
      <c r="U95" s="98">
        <f t="shared" si="46"/>
        <v>0.45128205128205134</v>
      </c>
      <c r="V95" s="97">
        <f t="shared" si="47"/>
        <v>2</v>
      </c>
      <c r="W95" s="96">
        <f t="shared" si="48"/>
        <v>0.43478260869565216</v>
      </c>
      <c r="X95" s="98">
        <f t="shared" si="49"/>
        <v>0.56521739130434789</v>
      </c>
      <c r="Y95" s="97">
        <f t="shared" si="55"/>
        <v>0.85638998682476952</v>
      </c>
      <c r="Z95" s="96">
        <f t="shared" si="56"/>
        <v>1.8943387047734874</v>
      </c>
      <c r="AA95" s="96">
        <f t="shared" si="57"/>
        <v>0.51456046674530564</v>
      </c>
      <c r="AB95" s="96">
        <v>0</v>
      </c>
      <c r="AC95" s="96">
        <f t="shared" si="58"/>
        <v>2.6477247393714683E-3</v>
      </c>
      <c r="AD95" s="98">
        <f t="shared" si="59"/>
        <v>2.6477247393714683E-3</v>
      </c>
      <c r="AE95" s="97">
        <f t="shared" si="60"/>
        <v>0.11510962467484206</v>
      </c>
      <c r="AF95" s="96">
        <f t="shared" si="61"/>
        <v>0.51456046674530564</v>
      </c>
      <c r="AG95" s="96">
        <f t="shared" si="50"/>
        <v>1.1914761327171607E-3</v>
      </c>
      <c r="AH95" s="96">
        <f t="shared" si="51"/>
        <v>0.25904763126093905</v>
      </c>
      <c r="AI95" s="98">
        <f t="shared" si="62"/>
        <v>0.26023910739365619</v>
      </c>
      <c r="AJ95" s="97">
        <f t="shared" si="63"/>
        <v>0.58666666666666667</v>
      </c>
      <c r="AK95" s="96">
        <f t="shared" si="64"/>
        <v>1.1178206040324872</v>
      </c>
      <c r="AL95" s="96">
        <f t="shared" si="65"/>
        <v>0.41066666666666662</v>
      </c>
      <c r="AM95" s="96">
        <f t="shared" si="52"/>
        <v>0.47399999999999998</v>
      </c>
      <c r="AN95" s="98">
        <f t="shared" si="66"/>
        <v>0.8846666666666666</v>
      </c>
      <c r="AO95" s="97">
        <f t="shared" si="53"/>
        <v>7.148856796302964E-3</v>
      </c>
      <c r="AP95" s="96">
        <f t="shared" si="54"/>
        <v>0.22950000000000001</v>
      </c>
      <c r="AQ95" s="98">
        <f t="shared" si="67"/>
        <v>5.8500000000000002E-3</v>
      </c>
      <c r="AR95" s="97">
        <f t="shared" si="68"/>
        <v>1.3874046308566257</v>
      </c>
      <c r="AS95" s="96">
        <f t="shared" si="69"/>
        <v>5.8666666666666671</v>
      </c>
      <c r="AT95" s="98">
        <f t="shared" si="70"/>
        <v>80.87412469559932</v>
      </c>
    </row>
    <row r="96" spans="17:46" x14ac:dyDescent="0.3">
      <c r="Q96" s="32">
        <v>89</v>
      </c>
      <c r="R96" s="97">
        <f t="shared" si="43"/>
        <v>10</v>
      </c>
      <c r="S96" s="96">
        <f t="shared" si="44"/>
        <v>0.59333333333333338</v>
      </c>
      <c r="T96" s="96">
        <f t="shared" si="45"/>
        <v>13</v>
      </c>
      <c r="U96" s="98">
        <f t="shared" si="46"/>
        <v>0.45641025641025645</v>
      </c>
      <c r="V96" s="97">
        <f t="shared" si="47"/>
        <v>2</v>
      </c>
      <c r="W96" s="96">
        <f t="shared" si="48"/>
        <v>0.43478260869565216</v>
      </c>
      <c r="X96" s="98">
        <f t="shared" si="49"/>
        <v>0.56521739130434789</v>
      </c>
      <c r="Y96" s="97">
        <f t="shared" si="55"/>
        <v>0.85638998682476952</v>
      </c>
      <c r="Z96" s="96">
        <f t="shared" si="56"/>
        <v>1.9061335765683594</v>
      </c>
      <c r="AA96" s="96">
        <f t="shared" si="57"/>
        <v>0.51906387495595063</v>
      </c>
      <c r="AB96" s="96">
        <v>0</v>
      </c>
      <c r="AC96" s="96">
        <f t="shared" si="58"/>
        <v>2.6942730628428673E-3</v>
      </c>
      <c r="AD96" s="98">
        <f t="shared" si="59"/>
        <v>2.6942730628428673E-3</v>
      </c>
      <c r="AE96" s="97">
        <f t="shared" si="60"/>
        <v>0.11774061687105167</v>
      </c>
      <c r="AF96" s="96">
        <f t="shared" si="61"/>
        <v>0.51906387495595063</v>
      </c>
      <c r="AG96" s="96">
        <f t="shared" si="50"/>
        <v>1.2124228782792905E-3</v>
      </c>
      <c r="AH96" s="96">
        <f t="shared" si="51"/>
        <v>0.26199135434344978</v>
      </c>
      <c r="AI96" s="98">
        <f t="shared" si="62"/>
        <v>0.26320377722172905</v>
      </c>
      <c r="AJ96" s="97">
        <f t="shared" si="63"/>
        <v>0.59333333333333338</v>
      </c>
      <c r="AK96" s="96">
        <f t="shared" si="64"/>
        <v>1.1265656297332771</v>
      </c>
      <c r="AL96" s="96">
        <f t="shared" si="65"/>
        <v>0.41533333333333333</v>
      </c>
      <c r="AM96" s="96">
        <f t="shared" si="52"/>
        <v>0.47399999999999998</v>
      </c>
      <c r="AN96" s="98">
        <f t="shared" si="66"/>
        <v>0.88933333333333331</v>
      </c>
      <c r="AO96" s="97">
        <f t="shared" si="53"/>
        <v>7.274537269675742E-3</v>
      </c>
      <c r="AP96" s="96">
        <f t="shared" si="54"/>
        <v>0.22950000000000001</v>
      </c>
      <c r="AQ96" s="98">
        <f t="shared" si="67"/>
        <v>5.8500000000000002E-3</v>
      </c>
      <c r="AR96" s="97">
        <f t="shared" si="68"/>
        <v>1.3951616478247382</v>
      </c>
      <c r="AS96" s="96">
        <f t="shared" si="69"/>
        <v>5.9333333333333336</v>
      </c>
      <c r="AT96" s="98">
        <f t="shared" si="70"/>
        <v>80.962507971803646</v>
      </c>
    </row>
    <row r="97" spans="17:46" x14ac:dyDescent="0.3">
      <c r="Q97" s="32">
        <v>90</v>
      </c>
      <c r="R97" s="97">
        <f t="shared" si="43"/>
        <v>10</v>
      </c>
      <c r="S97" s="96">
        <f t="shared" si="44"/>
        <v>0.60000000000000009</v>
      </c>
      <c r="T97" s="96">
        <f t="shared" si="45"/>
        <v>13</v>
      </c>
      <c r="U97" s="98">
        <f t="shared" si="46"/>
        <v>0.46153846153846162</v>
      </c>
      <c r="V97" s="97">
        <f t="shared" si="47"/>
        <v>2</v>
      </c>
      <c r="W97" s="96">
        <f t="shared" si="48"/>
        <v>0.43478260869565216</v>
      </c>
      <c r="X97" s="98">
        <f t="shared" si="49"/>
        <v>0.56521739130434789</v>
      </c>
      <c r="Y97" s="97">
        <f t="shared" si="55"/>
        <v>0.85638998682476952</v>
      </c>
      <c r="Z97" s="96">
        <f t="shared" si="56"/>
        <v>1.9179284483632313</v>
      </c>
      <c r="AA97" s="96">
        <f t="shared" si="57"/>
        <v>0.52357877688758625</v>
      </c>
      <c r="AB97" s="96">
        <v>0</v>
      </c>
      <c r="AC97" s="96">
        <f t="shared" si="58"/>
        <v>2.7413473560710085E-3</v>
      </c>
      <c r="AD97" s="98">
        <f t="shared" si="59"/>
        <v>2.7413473560710085E-3</v>
      </c>
      <c r="AE97" s="97">
        <f t="shared" si="60"/>
        <v>0.12040133779264217</v>
      </c>
      <c r="AF97" s="96">
        <f t="shared" si="61"/>
        <v>0.52357877688758625</v>
      </c>
      <c r="AG97" s="96">
        <f t="shared" si="50"/>
        <v>1.233606310231954E-3</v>
      </c>
      <c r="AH97" s="96">
        <f t="shared" si="51"/>
        <v>0.26493507742596045</v>
      </c>
      <c r="AI97" s="98">
        <f t="shared" si="62"/>
        <v>0.2661686837361924</v>
      </c>
      <c r="AJ97" s="97">
        <f t="shared" si="63"/>
        <v>0.60000000000000009</v>
      </c>
      <c r="AK97" s="96">
        <f t="shared" si="64"/>
        <v>1.135312555356621</v>
      </c>
      <c r="AL97" s="96">
        <f t="shared" si="65"/>
        <v>0.42000000000000004</v>
      </c>
      <c r="AM97" s="96">
        <f t="shared" si="52"/>
        <v>0.47399999999999998</v>
      </c>
      <c r="AN97" s="98">
        <f t="shared" si="66"/>
        <v>0.89400000000000002</v>
      </c>
      <c r="AO97" s="97">
        <f t="shared" si="53"/>
        <v>7.4016378613917227E-3</v>
      </c>
      <c r="AP97" s="96">
        <f t="shared" si="54"/>
        <v>0.22950000000000001</v>
      </c>
      <c r="AQ97" s="98">
        <f t="shared" si="67"/>
        <v>5.8500000000000002E-3</v>
      </c>
      <c r="AR97" s="97">
        <f t="shared" si="68"/>
        <v>1.4029203215975841</v>
      </c>
      <c r="AS97" s="96">
        <f t="shared" si="69"/>
        <v>6.0000000000000009</v>
      </c>
      <c r="AT97" s="98">
        <f t="shared" si="70"/>
        <v>81.049096023569973</v>
      </c>
    </row>
    <row r="98" spans="17:46" x14ac:dyDescent="0.3">
      <c r="Q98" s="32">
        <v>91</v>
      </c>
      <c r="R98" s="97">
        <f t="shared" si="43"/>
        <v>10</v>
      </c>
      <c r="S98" s="96">
        <f t="shared" si="44"/>
        <v>0.60666666666666669</v>
      </c>
      <c r="T98" s="96">
        <f t="shared" si="45"/>
        <v>13</v>
      </c>
      <c r="U98" s="98">
        <f t="shared" si="46"/>
        <v>0.46666666666666667</v>
      </c>
      <c r="V98" s="97">
        <f t="shared" si="47"/>
        <v>2</v>
      </c>
      <c r="W98" s="96">
        <f t="shared" si="48"/>
        <v>0.43478260869565216</v>
      </c>
      <c r="X98" s="98">
        <f t="shared" si="49"/>
        <v>0.56521739130434789</v>
      </c>
      <c r="Y98" s="97">
        <f t="shared" si="55"/>
        <v>0.85638998682476952</v>
      </c>
      <c r="Z98" s="96">
        <f t="shared" si="56"/>
        <v>1.9297233201581028</v>
      </c>
      <c r="AA98" s="96">
        <f t="shared" si="57"/>
        <v>0.52810487775212656</v>
      </c>
      <c r="AB98" s="96">
        <v>0</v>
      </c>
      <c r="AC98" s="96">
        <f t="shared" si="58"/>
        <v>2.7889476190558855E-3</v>
      </c>
      <c r="AD98" s="98">
        <f t="shared" si="59"/>
        <v>2.7889476190558855E-3</v>
      </c>
      <c r="AE98" s="97">
        <f t="shared" si="60"/>
        <v>0.12309178743961353</v>
      </c>
      <c r="AF98" s="96">
        <f t="shared" si="61"/>
        <v>0.52810487775212656</v>
      </c>
      <c r="AG98" s="96">
        <f t="shared" si="50"/>
        <v>1.2550264285751485E-3</v>
      </c>
      <c r="AH98" s="96">
        <f t="shared" si="51"/>
        <v>0.26787880050847107</v>
      </c>
      <c r="AI98" s="98">
        <f t="shared" si="62"/>
        <v>0.26913382693704624</v>
      </c>
      <c r="AJ98" s="97">
        <f t="shared" si="63"/>
        <v>0.60666666666666669</v>
      </c>
      <c r="AK98" s="96">
        <f t="shared" si="64"/>
        <v>1.1440613373249229</v>
      </c>
      <c r="AL98" s="96">
        <f t="shared" si="65"/>
        <v>0.42466666666666664</v>
      </c>
      <c r="AM98" s="96">
        <f t="shared" si="52"/>
        <v>0.47399999999999998</v>
      </c>
      <c r="AN98" s="98">
        <f t="shared" si="66"/>
        <v>0.89866666666666661</v>
      </c>
      <c r="AO98" s="97">
        <f t="shared" si="53"/>
        <v>7.5301585714508904E-3</v>
      </c>
      <c r="AP98" s="96">
        <f t="shared" si="54"/>
        <v>0.22950000000000001</v>
      </c>
      <c r="AQ98" s="98">
        <f t="shared" si="67"/>
        <v>5.8500000000000002E-3</v>
      </c>
      <c r="AR98" s="97">
        <f t="shared" si="68"/>
        <v>1.4106806521751638</v>
      </c>
      <c r="AS98" s="96">
        <f t="shared" si="69"/>
        <v>6.0666666666666664</v>
      </c>
      <c r="AT98" s="98">
        <f t="shared" si="70"/>
        <v>81.133942399325861</v>
      </c>
    </row>
    <row r="99" spans="17:46" x14ac:dyDescent="0.3">
      <c r="Q99" s="32">
        <v>92</v>
      </c>
      <c r="R99" s="97">
        <f t="shared" si="43"/>
        <v>10</v>
      </c>
      <c r="S99" s="96">
        <f t="shared" si="44"/>
        <v>0.6133333333333334</v>
      </c>
      <c r="T99" s="96">
        <f t="shared" si="45"/>
        <v>13</v>
      </c>
      <c r="U99" s="98">
        <f t="shared" si="46"/>
        <v>0.47179487179487184</v>
      </c>
      <c r="V99" s="97">
        <f t="shared" si="47"/>
        <v>2</v>
      </c>
      <c r="W99" s="96">
        <f t="shared" si="48"/>
        <v>0.43478260869565216</v>
      </c>
      <c r="X99" s="98">
        <f t="shared" si="49"/>
        <v>0.56521739130434789</v>
      </c>
      <c r="Y99" s="97">
        <f t="shared" si="55"/>
        <v>0.85638998682476952</v>
      </c>
      <c r="Z99" s="96">
        <f t="shared" si="56"/>
        <v>1.9415181919529747</v>
      </c>
      <c r="AA99" s="96">
        <f t="shared" si="57"/>
        <v>0.5326418920623408</v>
      </c>
      <c r="AB99" s="96">
        <v>0</v>
      </c>
      <c r="AC99" s="96">
        <f t="shared" si="58"/>
        <v>2.837073851797503E-3</v>
      </c>
      <c r="AD99" s="98">
        <f t="shared" si="59"/>
        <v>2.837073851797503E-3</v>
      </c>
      <c r="AE99" s="97">
        <f t="shared" si="60"/>
        <v>0.12581196581196583</v>
      </c>
      <c r="AF99" s="96">
        <f t="shared" si="61"/>
        <v>0.5326418920623408</v>
      </c>
      <c r="AG99" s="96">
        <f t="shared" si="50"/>
        <v>1.2766832333088766E-3</v>
      </c>
      <c r="AH99" s="96">
        <f t="shared" si="51"/>
        <v>0.27082252359098175</v>
      </c>
      <c r="AI99" s="98">
        <f t="shared" si="62"/>
        <v>0.27209920682429062</v>
      </c>
      <c r="AJ99" s="97">
        <f t="shared" si="63"/>
        <v>0.6133333333333334</v>
      </c>
      <c r="AK99" s="96">
        <f t="shared" si="64"/>
        <v>1.1528119333743325</v>
      </c>
      <c r="AL99" s="96">
        <f t="shared" si="65"/>
        <v>0.42933333333333334</v>
      </c>
      <c r="AM99" s="96">
        <f t="shared" si="52"/>
        <v>0.47399999999999998</v>
      </c>
      <c r="AN99" s="98">
        <f t="shared" si="66"/>
        <v>0.90333333333333332</v>
      </c>
      <c r="AO99" s="97">
        <f t="shared" si="53"/>
        <v>7.6600993998532582E-3</v>
      </c>
      <c r="AP99" s="96">
        <f t="shared" si="54"/>
        <v>0.22950000000000001</v>
      </c>
      <c r="AQ99" s="98">
        <f t="shared" si="67"/>
        <v>5.8500000000000002E-3</v>
      </c>
      <c r="AR99" s="97">
        <f t="shared" si="68"/>
        <v>1.4184426395574772</v>
      </c>
      <c r="AS99" s="96">
        <f t="shared" si="69"/>
        <v>6.1333333333333337</v>
      </c>
      <c r="AT99" s="98">
        <f t="shared" si="70"/>
        <v>81.217098538815648</v>
      </c>
    </row>
    <row r="100" spans="17:46" x14ac:dyDescent="0.3">
      <c r="Q100" s="32">
        <v>93</v>
      </c>
      <c r="R100" s="97">
        <f t="shared" si="43"/>
        <v>10</v>
      </c>
      <c r="S100" s="96">
        <f t="shared" si="44"/>
        <v>0.62</v>
      </c>
      <c r="T100" s="96">
        <f t="shared" si="45"/>
        <v>13</v>
      </c>
      <c r="U100" s="98">
        <f t="shared" si="46"/>
        <v>0.47692307692307695</v>
      </c>
      <c r="V100" s="97">
        <f t="shared" si="47"/>
        <v>2</v>
      </c>
      <c r="W100" s="96">
        <f t="shared" si="48"/>
        <v>0.43478260869565216</v>
      </c>
      <c r="X100" s="98">
        <f t="shared" si="49"/>
        <v>0.56521739130434789</v>
      </c>
      <c r="Y100" s="97">
        <f t="shared" si="55"/>
        <v>0.85638998682476952</v>
      </c>
      <c r="Z100" s="96">
        <f t="shared" si="56"/>
        <v>1.9533130637478464</v>
      </c>
      <c r="AA100" s="96">
        <f t="shared" si="57"/>
        <v>0.53718954329881174</v>
      </c>
      <c r="AB100" s="96">
        <v>0</v>
      </c>
      <c r="AC100" s="96">
        <f t="shared" si="58"/>
        <v>2.8857260542958598E-3</v>
      </c>
      <c r="AD100" s="98">
        <f t="shared" si="59"/>
        <v>2.8857260542958598E-3</v>
      </c>
      <c r="AE100" s="97">
        <f t="shared" si="60"/>
        <v>0.128561872909699</v>
      </c>
      <c r="AF100" s="96">
        <f t="shared" si="61"/>
        <v>0.53718954329881174</v>
      </c>
      <c r="AG100" s="96">
        <f t="shared" si="50"/>
        <v>1.298576724433137E-3</v>
      </c>
      <c r="AH100" s="96">
        <f t="shared" si="51"/>
        <v>0.27376624667349242</v>
      </c>
      <c r="AI100" s="98">
        <f t="shared" si="62"/>
        <v>0.27506482339792554</v>
      </c>
      <c r="AJ100" s="97">
        <f t="shared" si="63"/>
        <v>0.62</v>
      </c>
      <c r="AK100" s="96">
        <f t="shared" si="64"/>
        <v>1.1615643025059381</v>
      </c>
      <c r="AL100" s="96">
        <f t="shared" si="65"/>
        <v>0.434</v>
      </c>
      <c r="AM100" s="96">
        <f t="shared" si="52"/>
        <v>0.47399999999999998</v>
      </c>
      <c r="AN100" s="98">
        <f t="shared" si="66"/>
        <v>0.90799999999999992</v>
      </c>
      <c r="AO100" s="97">
        <f t="shared" si="53"/>
        <v>7.7914603465988209E-3</v>
      </c>
      <c r="AP100" s="96">
        <f t="shared" si="54"/>
        <v>0.22950000000000001</v>
      </c>
      <c r="AQ100" s="98">
        <f t="shared" si="67"/>
        <v>5.8500000000000002E-3</v>
      </c>
      <c r="AR100" s="97">
        <f t="shared" si="68"/>
        <v>1.4262062837445242</v>
      </c>
      <c r="AS100" s="96">
        <f t="shared" si="69"/>
        <v>6.2</v>
      </c>
      <c r="AT100" s="98">
        <f t="shared" si="70"/>
        <v>81.298613875885792</v>
      </c>
    </row>
    <row r="101" spans="17:46" x14ac:dyDescent="0.3">
      <c r="Q101" s="32">
        <v>94</v>
      </c>
      <c r="R101" s="97">
        <f t="shared" si="43"/>
        <v>10</v>
      </c>
      <c r="S101" s="96">
        <f t="shared" si="44"/>
        <v>0.62666666666666671</v>
      </c>
      <c r="T101" s="96">
        <f t="shared" si="45"/>
        <v>13</v>
      </c>
      <c r="U101" s="98">
        <f t="shared" si="46"/>
        <v>0.48205128205128212</v>
      </c>
      <c r="V101" s="97">
        <f t="shared" si="47"/>
        <v>2</v>
      </c>
      <c r="W101" s="96">
        <f t="shared" si="48"/>
        <v>0.43478260869565216</v>
      </c>
      <c r="X101" s="98">
        <f t="shared" si="49"/>
        <v>0.56521739130434789</v>
      </c>
      <c r="Y101" s="97">
        <f t="shared" si="55"/>
        <v>0.85638998682476952</v>
      </c>
      <c r="Z101" s="96">
        <f t="shared" si="56"/>
        <v>1.9651079355427183</v>
      </c>
      <c r="AA101" s="96">
        <f t="shared" si="57"/>
        <v>0.54174756358944109</v>
      </c>
      <c r="AB101" s="96">
        <v>0</v>
      </c>
      <c r="AC101" s="96">
        <f t="shared" si="58"/>
        <v>2.934904226550955E-3</v>
      </c>
      <c r="AD101" s="98">
        <f t="shared" si="59"/>
        <v>2.934904226550955E-3</v>
      </c>
      <c r="AE101" s="97">
        <f t="shared" si="60"/>
        <v>0.13134150873281311</v>
      </c>
      <c r="AF101" s="96">
        <f t="shared" si="61"/>
        <v>0.54174756358944109</v>
      </c>
      <c r="AG101" s="96">
        <f t="shared" si="50"/>
        <v>1.32070690194793E-3</v>
      </c>
      <c r="AH101" s="96">
        <f t="shared" si="51"/>
        <v>0.27670996975600315</v>
      </c>
      <c r="AI101" s="98">
        <f t="shared" si="62"/>
        <v>0.27803067665795106</v>
      </c>
      <c r="AJ101" s="97">
        <f t="shared" si="63"/>
        <v>0.62666666666666671</v>
      </c>
      <c r="AK101" s="96">
        <f t="shared" si="64"/>
        <v>1.1703184049391055</v>
      </c>
      <c r="AL101" s="96">
        <f t="shared" si="65"/>
        <v>0.43866666666666665</v>
      </c>
      <c r="AM101" s="96">
        <f t="shared" si="52"/>
        <v>0.47399999999999998</v>
      </c>
      <c r="AN101" s="98">
        <f t="shared" si="66"/>
        <v>0.91266666666666663</v>
      </c>
      <c r="AO101" s="97">
        <f t="shared" si="53"/>
        <v>7.9242414116875784E-3</v>
      </c>
      <c r="AP101" s="96">
        <f t="shared" si="54"/>
        <v>0.22950000000000001</v>
      </c>
      <c r="AQ101" s="98">
        <f t="shared" si="67"/>
        <v>5.8500000000000002E-3</v>
      </c>
      <c r="AR101" s="97">
        <f t="shared" si="68"/>
        <v>1.4339715847363053</v>
      </c>
      <c r="AS101" s="96">
        <f t="shared" si="69"/>
        <v>6.2666666666666675</v>
      </c>
      <c r="AT101" s="98">
        <f t="shared" si="70"/>
        <v>81.378535935316123</v>
      </c>
    </row>
    <row r="102" spans="17:46" x14ac:dyDescent="0.3">
      <c r="Q102" s="32">
        <v>95</v>
      </c>
      <c r="R102" s="97">
        <f t="shared" si="43"/>
        <v>10</v>
      </c>
      <c r="S102" s="96">
        <f t="shared" si="44"/>
        <v>0.63333333333333341</v>
      </c>
      <c r="T102" s="96">
        <f t="shared" si="45"/>
        <v>13</v>
      </c>
      <c r="U102" s="98">
        <f t="shared" si="46"/>
        <v>0.48717948717948723</v>
      </c>
      <c r="V102" s="97">
        <f t="shared" si="47"/>
        <v>2</v>
      </c>
      <c r="W102" s="96">
        <f t="shared" si="48"/>
        <v>0.43478260869565216</v>
      </c>
      <c r="X102" s="98">
        <f t="shared" si="49"/>
        <v>0.56521739130434789</v>
      </c>
      <c r="Y102" s="97">
        <f t="shared" si="55"/>
        <v>0.85638998682476952</v>
      </c>
      <c r="Z102" s="96">
        <f t="shared" si="56"/>
        <v>1.9769028073375901</v>
      </c>
      <c r="AA102" s="96">
        <f t="shared" si="57"/>
        <v>0.54631569340105812</v>
      </c>
      <c r="AB102" s="96">
        <v>0</v>
      </c>
      <c r="AC102" s="96">
        <f t="shared" si="58"/>
        <v>2.9846083685627894E-3</v>
      </c>
      <c r="AD102" s="98">
        <f t="shared" si="59"/>
        <v>2.9846083685627894E-3</v>
      </c>
      <c r="AE102" s="97">
        <f t="shared" si="60"/>
        <v>0.13415087328130809</v>
      </c>
      <c r="AF102" s="96">
        <f t="shared" si="61"/>
        <v>0.54631569340105812</v>
      </c>
      <c r="AG102" s="96">
        <f t="shared" si="50"/>
        <v>1.3430737658532553E-3</v>
      </c>
      <c r="AH102" s="96">
        <f t="shared" si="51"/>
        <v>0.27965369283851377</v>
      </c>
      <c r="AI102" s="98">
        <f t="shared" si="62"/>
        <v>0.28099676660436701</v>
      </c>
      <c r="AJ102" s="97">
        <f t="shared" si="63"/>
        <v>0.63333333333333341</v>
      </c>
      <c r="AK102" s="96">
        <f t="shared" si="64"/>
        <v>1.1790742020668514</v>
      </c>
      <c r="AL102" s="96">
        <f t="shared" si="65"/>
        <v>0.44333333333333336</v>
      </c>
      <c r="AM102" s="96">
        <f t="shared" si="52"/>
        <v>0.47399999999999998</v>
      </c>
      <c r="AN102" s="98">
        <f t="shared" si="66"/>
        <v>0.91733333333333333</v>
      </c>
      <c r="AO102" s="97">
        <f t="shared" si="53"/>
        <v>8.0584425951195308E-3</v>
      </c>
      <c r="AP102" s="96">
        <f t="shared" si="54"/>
        <v>0.22950000000000001</v>
      </c>
      <c r="AQ102" s="98">
        <f t="shared" si="67"/>
        <v>5.8500000000000002E-3</v>
      </c>
      <c r="AR102" s="97">
        <f t="shared" si="68"/>
        <v>1.44173854253282</v>
      </c>
      <c r="AS102" s="96">
        <f t="shared" si="69"/>
        <v>6.3333333333333339</v>
      </c>
      <c r="AT102" s="98">
        <f t="shared" si="70"/>
        <v>81.456910424095497</v>
      </c>
    </row>
    <row r="103" spans="17:46" x14ac:dyDescent="0.3">
      <c r="Q103" s="32">
        <v>96</v>
      </c>
      <c r="R103" s="97">
        <f t="shared" si="43"/>
        <v>10</v>
      </c>
      <c r="S103" s="96">
        <f t="shared" ref="S103:S134" si="71">Q103*$O$12</f>
        <v>0.64</v>
      </c>
      <c r="T103" s="96">
        <f t="shared" si="45"/>
        <v>13</v>
      </c>
      <c r="U103" s="98">
        <f t="shared" ref="U103:U134" si="72">(R103*S103)/(T103*EFF_est)</f>
        <v>0.49230769230769234</v>
      </c>
      <c r="V103" s="97">
        <f t="shared" ref="V103:V134" si="73">IF(S103&lt;((T103^2)*R103)/(2*Fsw*Lm*((T103+R103)^2)),1,2)</f>
        <v>2</v>
      </c>
      <c r="W103" s="96">
        <f t="shared" ref="W103:W134" si="74">CHOOSE(V103,SQRT(2*Lm*R103*S103*Fsw)/T103,R103/(T103+R103))</f>
        <v>0.43478260869565216</v>
      </c>
      <c r="X103" s="98">
        <f t="shared" ref="X103:X134" si="75">CHOOSE(V103,(Lm*Z103*Fsw)/(R103),1-W103)</f>
        <v>0.56521739130434789</v>
      </c>
      <c r="Y103" s="97">
        <f t="shared" si="55"/>
        <v>0.85638998682476952</v>
      </c>
      <c r="Z103" s="96">
        <f t="shared" si="56"/>
        <v>1.988697679132462</v>
      </c>
      <c r="AA103" s="96">
        <f t="shared" si="57"/>
        <v>0.55089368124270244</v>
      </c>
      <c r="AB103" s="96">
        <v>0</v>
      </c>
      <c r="AC103" s="96">
        <f t="shared" si="58"/>
        <v>3.0348384803313621E-3</v>
      </c>
      <c r="AD103" s="98">
        <f t="shared" si="59"/>
        <v>3.0348384803313621E-3</v>
      </c>
      <c r="AE103" s="97">
        <f t="shared" si="60"/>
        <v>0.13698996655518395</v>
      </c>
      <c r="AF103" s="96">
        <f t="shared" si="61"/>
        <v>0.55089368124270244</v>
      </c>
      <c r="AG103" s="96">
        <f t="shared" ref="AG103:AG134" si="76">(AF103^2)*RDS_on</f>
        <v>1.3656773161491132E-3</v>
      </c>
      <c r="AH103" s="96">
        <f t="shared" ref="AH103:AH134" si="77">(((R103+T103)*(U103+S103))/2)*Fsw*(tr_sw+tf_sw)</f>
        <v>0.2825974159210245</v>
      </c>
      <c r="AI103" s="98">
        <f t="shared" si="62"/>
        <v>0.28396309323717361</v>
      </c>
      <c r="AJ103" s="97">
        <f t="shared" si="63"/>
        <v>0.64</v>
      </c>
      <c r="AK103" s="96">
        <f t="shared" si="64"/>
        <v>1.1878316564131544</v>
      </c>
      <c r="AL103" s="96">
        <f t="shared" si="65"/>
        <v>0.44799999999999995</v>
      </c>
      <c r="AM103" s="96">
        <f t="shared" ref="AM103:AM134" si="78">(R103+T103+Vd_rect)*Qrr*Fsw</f>
        <v>0.47399999999999998</v>
      </c>
      <c r="AN103" s="98">
        <f t="shared" si="66"/>
        <v>0.92199999999999993</v>
      </c>
      <c r="AO103" s="97">
        <f t="shared" ref="AO103:AO134" si="79">(AF103^2)*R_cs</f>
        <v>8.194063896894678E-3</v>
      </c>
      <c r="AP103" s="96">
        <f t="shared" si="54"/>
        <v>0.22950000000000001</v>
      </c>
      <c r="AQ103" s="98">
        <f t="shared" si="67"/>
        <v>5.8500000000000002E-3</v>
      </c>
      <c r="AR103" s="97">
        <f t="shared" si="68"/>
        <v>1.4495071571340681</v>
      </c>
      <c r="AS103" s="96">
        <f t="shared" si="69"/>
        <v>6.4</v>
      </c>
      <c r="AT103" s="98">
        <f t="shared" si="70"/>
        <v>81.533781317510162</v>
      </c>
    </row>
    <row r="104" spans="17:46" x14ac:dyDescent="0.3">
      <c r="Q104" s="32">
        <v>97</v>
      </c>
      <c r="R104" s="97">
        <f t="shared" si="43"/>
        <v>10</v>
      </c>
      <c r="S104" s="96">
        <f t="shared" si="71"/>
        <v>0.64666666666666672</v>
      </c>
      <c r="T104" s="96">
        <f t="shared" si="45"/>
        <v>13</v>
      </c>
      <c r="U104" s="98">
        <f t="shared" si="72"/>
        <v>0.49743589743589745</v>
      </c>
      <c r="V104" s="97">
        <f t="shared" si="73"/>
        <v>2</v>
      </c>
      <c r="W104" s="96">
        <f t="shared" si="74"/>
        <v>0.43478260869565216</v>
      </c>
      <c r="X104" s="98">
        <f t="shared" si="75"/>
        <v>0.56521739130434789</v>
      </c>
      <c r="Y104" s="97">
        <f t="shared" si="55"/>
        <v>0.85638998682476952</v>
      </c>
      <c r="Z104" s="96">
        <f t="shared" si="56"/>
        <v>2.0004925509273335</v>
      </c>
      <c r="AA104" s="96">
        <f t="shared" si="57"/>
        <v>0.55548128338015801</v>
      </c>
      <c r="AB104" s="96">
        <v>0</v>
      </c>
      <c r="AC104" s="96">
        <f t="shared" si="58"/>
        <v>3.0855945618566737E-3</v>
      </c>
      <c r="AD104" s="98">
        <f t="shared" si="59"/>
        <v>3.0855945618566737E-3</v>
      </c>
      <c r="AE104" s="97">
        <f t="shared" si="60"/>
        <v>0.13985878855444075</v>
      </c>
      <c r="AF104" s="96">
        <f t="shared" si="61"/>
        <v>0.55548128338015801</v>
      </c>
      <c r="AG104" s="96">
        <f t="shared" si="76"/>
        <v>1.3885175528355034E-3</v>
      </c>
      <c r="AH104" s="96">
        <f t="shared" si="77"/>
        <v>0.28554113900353512</v>
      </c>
      <c r="AI104" s="98">
        <f t="shared" si="62"/>
        <v>0.28692965655637059</v>
      </c>
      <c r="AJ104" s="97">
        <f t="shared" si="63"/>
        <v>0.64666666666666672</v>
      </c>
      <c r="AK104" s="96">
        <f t="shared" si="64"/>
        <v>1.1965907315921001</v>
      </c>
      <c r="AL104" s="96">
        <f t="shared" si="65"/>
        <v>0.45266666666666666</v>
      </c>
      <c r="AM104" s="96">
        <f t="shared" si="78"/>
        <v>0.47399999999999998</v>
      </c>
      <c r="AN104" s="98">
        <f t="shared" si="66"/>
        <v>0.92666666666666664</v>
      </c>
      <c r="AO104" s="97">
        <f t="shared" si="79"/>
        <v>8.3311053170130184E-3</v>
      </c>
      <c r="AP104" s="96">
        <f t="shared" si="54"/>
        <v>0.22950000000000001</v>
      </c>
      <c r="AQ104" s="98">
        <f t="shared" si="67"/>
        <v>5.8500000000000002E-3</v>
      </c>
      <c r="AR104" s="97">
        <f t="shared" si="68"/>
        <v>1.45727742854005</v>
      </c>
      <c r="AS104" s="96">
        <f t="shared" si="69"/>
        <v>6.4666666666666668</v>
      </c>
      <c r="AT104" s="98">
        <f t="shared" si="70"/>
        <v>81.609190940385687</v>
      </c>
    </row>
    <row r="105" spans="17:46" x14ac:dyDescent="0.3">
      <c r="Q105" s="32">
        <v>98</v>
      </c>
      <c r="R105" s="97">
        <f t="shared" si="43"/>
        <v>10</v>
      </c>
      <c r="S105" s="96">
        <f t="shared" si="71"/>
        <v>0.65333333333333332</v>
      </c>
      <c r="T105" s="96">
        <f t="shared" si="45"/>
        <v>13</v>
      </c>
      <c r="U105" s="98">
        <f t="shared" si="72"/>
        <v>0.50256410256410255</v>
      </c>
      <c r="V105" s="97">
        <f t="shared" si="73"/>
        <v>2</v>
      </c>
      <c r="W105" s="96">
        <f t="shared" si="74"/>
        <v>0.43478260869565216</v>
      </c>
      <c r="X105" s="98">
        <f t="shared" si="75"/>
        <v>0.56521739130434789</v>
      </c>
      <c r="Y105" s="97">
        <f t="shared" si="55"/>
        <v>0.85638998682476952</v>
      </c>
      <c r="Z105" s="96">
        <f t="shared" si="56"/>
        <v>2.0122874227222054</v>
      </c>
      <c r="AA105" s="96">
        <f t="shared" si="57"/>
        <v>0.56007826356132817</v>
      </c>
      <c r="AB105" s="96">
        <v>0</v>
      </c>
      <c r="AC105" s="96">
        <f t="shared" si="58"/>
        <v>3.1368766131387262E-3</v>
      </c>
      <c r="AD105" s="98">
        <f t="shared" si="59"/>
        <v>3.1368766131387262E-3</v>
      </c>
      <c r="AE105" s="97">
        <f t="shared" si="60"/>
        <v>0.14275733927907841</v>
      </c>
      <c r="AF105" s="96">
        <f t="shared" si="61"/>
        <v>0.56007826356132817</v>
      </c>
      <c r="AG105" s="96">
        <f t="shared" si="76"/>
        <v>1.4115944759124268E-3</v>
      </c>
      <c r="AH105" s="96">
        <f t="shared" si="77"/>
        <v>0.28848486208604573</v>
      </c>
      <c r="AI105" s="98">
        <f t="shared" si="62"/>
        <v>0.28989645656195817</v>
      </c>
      <c r="AJ105" s="97">
        <f t="shared" si="63"/>
        <v>0.65333333333333332</v>
      </c>
      <c r="AK105" s="96">
        <f t="shared" si="64"/>
        <v>1.2053513922687786</v>
      </c>
      <c r="AL105" s="96">
        <f t="shared" si="65"/>
        <v>0.45733333333333331</v>
      </c>
      <c r="AM105" s="96">
        <f t="shared" si="78"/>
        <v>0.47399999999999998</v>
      </c>
      <c r="AN105" s="98">
        <f t="shared" si="66"/>
        <v>0.93133333333333335</v>
      </c>
      <c r="AO105" s="97">
        <f t="shared" si="79"/>
        <v>8.4695668554745605E-3</v>
      </c>
      <c r="AP105" s="96">
        <f t="shared" si="54"/>
        <v>0.22950000000000001</v>
      </c>
      <c r="AQ105" s="98">
        <f t="shared" si="67"/>
        <v>5.8500000000000002E-3</v>
      </c>
      <c r="AR105" s="97">
        <f t="shared" si="68"/>
        <v>1.4650493567507659</v>
      </c>
      <c r="AS105" s="96">
        <f t="shared" si="69"/>
        <v>6.5333333333333332</v>
      </c>
      <c r="AT105" s="98">
        <f t="shared" si="70"/>
        <v>81.683180043797549</v>
      </c>
    </row>
    <row r="106" spans="17:46" x14ac:dyDescent="0.3">
      <c r="Q106" s="32">
        <v>99</v>
      </c>
      <c r="R106" s="97">
        <f t="shared" si="43"/>
        <v>10</v>
      </c>
      <c r="S106" s="96">
        <f t="shared" si="71"/>
        <v>0.66</v>
      </c>
      <c r="T106" s="96">
        <f t="shared" si="45"/>
        <v>13</v>
      </c>
      <c r="U106" s="98">
        <f t="shared" si="72"/>
        <v>0.50769230769230778</v>
      </c>
      <c r="V106" s="97">
        <f t="shared" si="73"/>
        <v>2</v>
      </c>
      <c r="W106" s="96">
        <f t="shared" si="74"/>
        <v>0.43478260869565216</v>
      </c>
      <c r="X106" s="98">
        <f t="shared" si="75"/>
        <v>0.56521739130434789</v>
      </c>
      <c r="Y106" s="97">
        <f t="shared" si="55"/>
        <v>0.85638998682476952</v>
      </c>
      <c r="Z106" s="96">
        <f t="shared" si="56"/>
        <v>2.0240822945170773</v>
      </c>
      <c r="AA106" s="96">
        <f t="shared" si="57"/>
        <v>0.56468439275205018</v>
      </c>
      <c r="AB106" s="96">
        <v>0</v>
      </c>
      <c r="AC106" s="96">
        <f t="shared" si="58"/>
        <v>3.1886846341775167E-3</v>
      </c>
      <c r="AD106" s="98">
        <f t="shared" si="59"/>
        <v>3.1886846341775167E-3</v>
      </c>
      <c r="AE106" s="97">
        <f t="shared" si="60"/>
        <v>0.14568561872909702</v>
      </c>
      <c r="AF106" s="96">
        <f t="shared" si="61"/>
        <v>0.56468439275205018</v>
      </c>
      <c r="AG106" s="96">
        <f t="shared" si="76"/>
        <v>1.4349080853798826E-3</v>
      </c>
      <c r="AH106" s="96">
        <f t="shared" si="77"/>
        <v>0.29142858516855646</v>
      </c>
      <c r="AI106" s="98">
        <f t="shared" si="62"/>
        <v>0.29286349325393635</v>
      </c>
      <c r="AJ106" s="97">
        <f t="shared" si="63"/>
        <v>0.66</v>
      </c>
      <c r="AK106" s="96">
        <f t="shared" si="64"/>
        <v>1.2141136041218354</v>
      </c>
      <c r="AL106" s="96">
        <f t="shared" si="65"/>
        <v>0.46199999999999997</v>
      </c>
      <c r="AM106" s="96">
        <f t="shared" si="78"/>
        <v>0.47399999999999998</v>
      </c>
      <c r="AN106" s="98">
        <f t="shared" si="66"/>
        <v>0.93599999999999994</v>
      </c>
      <c r="AO106" s="97">
        <f t="shared" si="79"/>
        <v>8.6094485122792941E-3</v>
      </c>
      <c r="AP106" s="96">
        <f t="shared" si="54"/>
        <v>0.22950000000000001</v>
      </c>
      <c r="AQ106" s="98">
        <f t="shared" si="67"/>
        <v>5.8500000000000002E-3</v>
      </c>
      <c r="AR106" s="97">
        <f t="shared" si="68"/>
        <v>1.4728229417662155</v>
      </c>
      <c r="AS106" s="96">
        <f t="shared" si="69"/>
        <v>6.6000000000000005</v>
      </c>
      <c r="AT106" s="98">
        <f t="shared" si="70"/>
        <v>81.755787877542829</v>
      </c>
    </row>
    <row r="107" spans="17:46" x14ac:dyDescent="0.3">
      <c r="Q107" s="32">
        <v>100</v>
      </c>
      <c r="R107" s="97">
        <f t="shared" si="43"/>
        <v>10</v>
      </c>
      <c r="S107" s="96">
        <f t="shared" si="71"/>
        <v>0.66666666666666674</v>
      </c>
      <c r="T107" s="96">
        <f t="shared" si="45"/>
        <v>13</v>
      </c>
      <c r="U107" s="98">
        <f t="shared" si="72"/>
        <v>0.51282051282051289</v>
      </c>
      <c r="V107" s="97">
        <f t="shared" si="73"/>
        <v>2</v>
      </c>
      <c r="W107" s="96">
        <f t="shared" si="74"/>
        <v>0.43478260869565216</v>
      </c>
      <c r="X107" s="98">
        <f t="shared" si="75"/>
        <v>0.56521739130434789</v>
      </c>
      <c r="Y107" s="97">
        <f t="shared" si="55"/>
        <v>0.85638998682476952</v>
      </c>
      <c r="Z107" s="96">
        <f t="shared" si="56"/>
        <v>2.0358771663119493</v>
      </c>
      <c r="AA107" s="96">
        <f t="shared" si="57"/>
        <v>0.56929944888196105</v>
      </c>
      <c r="AB107" s="96">
        <v>0</v>
      </c>
      <c r="AC107" s="96">
        <f t="shared" si="58"/>
        <v>3.241018624973046E-3</v>
      </c>
      <c r="AD107" s="98">
        <f t="shared" si="59"/>
        <v>3.241018624973046E-3</v>
      </c>
      <c r="AE107" s="97">
        <f t="shared" si="60"/>
        <v>0.14864362690449651</v>
      </c>
      <c r="AF107" s="96">
        <f t="shared" si="61"/>
        <v>0.56929944888196105</v>
      </c>
      <c r="AG107" s="96">
        <f t="shared" si="76"/>
        <v>1.4584583812378708E-3</v>
      </c>
      <c r="AH107" s="96">
        <f t="shared" si="77"/>
        <v>0.29437230825106719</v>
      </c>
      <c r="AI107" s="98">
        <f t="shared" si="62"/>
        <v>0.29583076663230506</v>
      </c>
      <c r="AJ107" s="97">
        <f t="shared" si="63"/>
        <v>0.66666666666666674</v>
      </c>
      <c r="AK107" s="96">
        <f t="shared" si="64"/>
        <v>1.2228773338076098</v>
      </c>
      <c r="AL107" s="96">
        <f t="shared" si="65"/>
        <v>0.46666666666666667</v>
      </c>
      <c r="AM107" s="96">
        <f t="shared" si="78"/>
        <v>0.47399999999999998</v>
      </c>
      <c r="AN107" s="98">
        <f t="shared" si="66"/>
        <v>0.94066666666666665</v>
      </c>
      <c r="AO107" s="97">
        <f t="shared" si="79"/>
        <v>8.7507502874272242E-3</v>
      </c>
      <c r="AP107" s="96">
        <f t="shared" si="54"/>
        <v>0.22950000000000001</v>
      </c>
      <c r="AQ107" s="98">
        <f t="shared" si="67"/>
        <v>5.8500000000000002E-3</v>
      </c>
      <c r="AR107" s="97">
        <f t="shared" si="68"/>
        <v>1.4805981835863988</v>
      </c>
      <c r="AS107" s="96">
        <f t="shared" si="69"/>
        <v>6.6666666666666679</v>
      </c>
      <c r="AT107" s="98">
        <f t="shared" si="70"/>
        <v>81.827052258643491</v>
      </c>
    </row>
    <row r="108" spans="17:46" x14ac:dyDescent="0.3">
      <c r="Q108" s="32">
        <v>101</v>
      </c>
      <c r="R108" s="97">
        <f t="shared" si="43"/>
        <v>10</v>
      </c>
      <c r="S108" s="96">
        <f t="shared" si="71"/>
        <v>0.67333333333333334</v>
      </c>
      <c r="T108" s="96">
        <f t="shared" si="45"/>
        <v>13</v>
      </c>
      <c r="U108" s="98">
        <f t="shared" si="72"/>
        <v>0.517948717948718</v>
      </c>
      <c r="V108" s="97">
        <f t="shared" si="73"/>
        <v>2</v>
      </c>
      <c r="W108" s="96">
        <f t="shared" si="74"/>
        <v>0.43478260869565216</v>
      </c>
      <c r="X108" s="98">
        <f t="shared" si="75"/>
        <v>0.56521739130434789</v>
      </c>
      <c r="Y108" s="97">
        <f t="shared" si="55"/>
        <v>0.85638998682476952</v>
      </c>
      <c r="Z108" s="96">
        <f t="shared" si="56"/>
        <v>2.0476720381068207</v>
      </c>
      <c r="AA108" s="96">
        <f t="shared" si="57"/>
        <v>0.57392321660003565</v>
      </c>
      <c r="AB108" s="96">
        <v>0</v>
      </c>
      <c r="AC108" s="96">
        <f t="shared" si="58"/>
        <v>3.2938785855253145E-3</v>
      </c>
      <c r="AD108" s="98">
        <f t="shared" si="59"/>
        <v>3.2938785855253145E-3</v>
      </c>
      <c r="AE108" s="97">
        <f t="shared" si="60"/>
        <v>0.15163136380527686</v>
      </c>
      <c r="AF108" s="96">
        <f t="shared" si="61"/>
        <v>0.57392321660003565</v>
      </c>
      <c r="AG108" s="96">
        <f t="shared" si="76"/>
        <v>1.4822453634863917E-3</v>
      </c>
      <c r="AH108" s="96">
        <f t="shared" si="77"/>
        <v>0.29731603133357776</v>
      </c>
      <c r="AI108" s="98">
        <f t="shared" si="62"/>
        <v>0.29879827669706416</v>
      </c>
      <c r="AJ108" s="97">
        <f t="shared" si="63"/>
        <v>0.67333333333333334</v>
      </c>
      <c r="AK108" s="96">
        <f t="shared" si="64"/>
        <v>1.2316425489257701</v>
      </c>
      <c r="AL108" s="96">
        <f t="shared" si="65"/>
        <v>0.47133333333333333</v>
      </c>
      <c r="AM108" s="96">
        <f t="shared" si="78"/>
        <v>0.47399999999999998</v>
      </c>
      <c r="AN108" s="98">
        <f t="shared" si="66"/>
        <v>0.94533333333333336</v>
      </c>
      <c r="AO108" s="97">
        <f t="shared" si="79"/>
        <v>8.8934721809183492E-3</v>
      </c>
      <c r="AP108" s="96">
        <f t="shared" si="54"/>
        <v>0.22950000000000001</v>
      </c>
      <c r="AQ108" s="98">
        <f t="shared" si="67"/>
        <v>5.8500000000000002E-3</v>
      </c>
      <c r="AR108" s="97">
        <f t="shared" si="68"/>
        <v>1.488375082211316</v>
      </c>
      <c r="AS108" s="96">
        <f t="shared" si="69"/>
        <v>6.7333333333333334</v>
      </c>
      <c r="AT108" s="98">
        <f t="shared" si="70"/>
        <v>81.897009636132694</v>
      </c>
    </row>
    <row r="109" spans="17:46" x14ac:dyDescent="0.3">
      <c r="Q109" s="32">
        <v>102</v>
      </c>
      <c r="R109" s="97">
        <f t="shared" si="43"/>
        <v>10</v>
      </c>
      <c r="S109" s="96">
        <f t="shared" si="71"/>
        <v>0.68</v>
      </c>
      <c r="T109" s="96">
        <f t="shared" si="45"/>
        <v>13</v>
      </c>
      <c r="U109" s="98">
        <f t="shared" si="72"/>
        <v>0.52307692307692311</v>
      </c>
      <c r="V109" s="97">
        <f t="shared" si="73"/>
        <v>2</v>
      </c>
      <c r="W109" s="96">
        <f t="shared" si="74"/>
        <v>0.43478260869565216</v>
      </c>
      <c r="X109" s="98">
        <f t="shared" si="75"/>
        <v>0.56521739130434789</v>
      </c>
      <c r="Y109" s="97">
        <f t="shared" si="55"/>
        <v>0.85638998682476952</v>
      </c>
      <c r="Z109" s="96">
        <f t="shared" si="56"/>
        <v>2.0594669099016927</v>
      </c>
      <c r="AA109" s="96">
        <f t="shared" si="57"/>
        <v>0.57855548703943005</v>
      </c>
      <c r="AB109" s="96">
        <v>0</v>
      </c>
      <c r="AC109" s="96">
        <f t="shared" si="58"/>
        <v>3.3472645158343214E-3</v>
      </c>
      <c r="AD109" s="98">
        <f t="shared" si="59"/>
        <v>3.3472645158343214E-3</v>
      </c>
      <c r="AE109" s="97">
        <f t="shared" si="60"/>
        <v>0.15464882943143815</v>
      </c>
      <c r="AF109" s="96">
        <f t="shared" si="61"/>
        <v>0.57855548703943005</v>
      </c>
      <c r="AG109" s="96">
        <f t="shared" si="76"/>
        <v>1.5062690321254446E-3</v>
      </c>
      <c r="AH109" s="96">
        <f t="shared" si="77"/>
        <v>0.30025975441608849</v>
      </c>
      <c r="AI109" s="98">
        <f t="shared" si="62"/>
        <v>0.3017660234482139</v>
      </c>
      <c r="AJ109" s="97">
        <f t="shared" si="63"/>
        <v>0.68</v>
      </c>
      <c r="AK109" s="96">
        <f t="shared" si="64"/>
        <v>1.2404092179863841</v>
      </c>
      <c r="AL109" s="96">
        <f t="shared" si="65"/>
        <v>0.47599999999999998</v>
      </c>
      <c r="AM109" s="96">
        <f t="shared" si="78"/>
        <v>0.47399999999999998</v>
      </c>
      <c r="AN109" s="98">
        <f t="shared" si="66"/>
        <v>0.95</v>
      </c>
      <c r="AO109" s="97">
        <f t="shared" si="79"/>
        <v>9.0376141927526674E-3</v>
      </c>
      <c r="AP109" s="96">
        <f t="shared" si="54"/>
        <v>0.22950000000000001</v>
      </c>
      <c r="AQ109" s="98">
        <f t="shared" si="67"/>
        <v>5.8500000000000002E-3</v>
      </c>
      <c r="AR109" s="97">
        <f t="shared" si="68"/>
        <v>1.4961536376409663</v>
      </c>
      <c r="AS109" s="96">
        <f t="shared" si="69"/>
        <v>6.8000000000000007</v>
      </c>
      <c r="AT109" s="98">
        <f t="shared" si="70"/>
        <v>81.96569515235737</v>
      </c>
    </row>
    <row r="110" spans="17:46" x14ac:dyDescent="0.3">
      <c r="Q110" s="32">
        <v>103</v>
      </c>
      <c r="R110" s="97">
        <f t="shared" si="43"/>
        <v>10</v>
      </c>
      <c r="S110" s="96">
        <f t="shared" si="71"/>
        <v>0.68666666666666676</v>
      </c>
      <c r="T110" s="96">
        <f t="shared" si="45"/>
        <v>13</v>
      </c>
      <c r="U110" s="98">
        <f t="shared" si="72"/>
        <v>0.52820512820512822</v>
      </c>
      <c r="V110" s="97">
        <f t="shared" si="73"/>
        <v>2</v>
      </c>
      <c r="W110" s="96">
        <f t="shared" si="74"/>
        <v>0.43478260869565216</v>
      </c>
      <c r="X110" s="98">
        <f t="shared" si="75"/>
        <v>0.56521739130434789</v>
      </c>
      <c r="Y110" s="97">
        <f t="shared" si="55"/>
        <v>0.85638998682476952</v>
      </c>
      <c r="Z110" s="96">
        <f t="shared" si="56"/>
        <v>2.0712617816965646</v>
      </c>
      <c r="AA110" s="96">
        <f t="shared" si="57"/>
        <v>0.5831960575912758</v>
      </c>
      <c r="AB110" s="96">
        <v>0</v>
      </c>
      <c r="AC110" s="96">
        <f t="shared" si="58"/>
        <v>3.4011764159000667E-3</v>
      </c>
      <c r="AD110" s="98">
        <f t="shared" si="59"/>
        <v>3.4011764159000667E-3</v>
      </c>
      <c r="AE110" s="97">
        <f t="shared" si="60"/>
        <v>0.15769602378298034</v>
      </c>
      <c r="AF110" s="96">
        <f t="shared" si="61"/>
        <v>0.5831960575912758</v>
      </c>
      <c r="AG110" s="96">
        <f t="shared" si="76"/>
        <v>1.5305293871550303E-3</v>
      </c>
      <c r="AH110" s="96">
        <f t="shared" si="77"/>
        <v>0.30320347749859916</v>
      </c>
      <c r="AI110" s="98">
        <f t="shared" si="62"/>
        <v>0.30473400688575419</v>
      </c>
      <c r="AJ110" s="97">
        <f t="shared" si="63"/>
        <v>0.68666666666666676</v>
      </c>
      <c r="AK110" s="96">
        <f t="shared" si="64"/>
        <v>1.2491773103783479</v>
      </c>
      <c r="AL110" s="96">
        <f t="shared" si="65"/>
        <v>0.48066666666666669</v>
      </c>
      <c r="AM110" s="96">
        <f t="shared" si="78"/>
        <v>0.47399999999999998</v>
      </c>
      <c r="AN110" s="98">
        <f t="shared" si="66"/>
        <v>0.95466666666666666</v>
      </c>
      <c r="AO110" s="97">
        <f t="shared" si="79"/>
        <v>9.1831763229301804E-3</v>
      </c>
      <c r="AP110" s="96">
        <f t="shared" si="54"/>
        <v>0.22950000000000001</v>
      </c>
      <c r="AQ110" s="98">
        <f t="shared" si="67"/>
        <v>5.8500000000000002E-3</v>
      </c>
      <c r="AR110" s="97">
        <f t="shared" si="68"/>
        <v>1.5039338498753509</v>
      </c>
      <c r="AS110" s="96">
        <f t="shared" si="69"/>
        <v>6.8666666666666671</v>
      </c>
      <c r="AT110" s="98">
        <f t="shared" si="70"/>
        <v>82.033142701013276</v>
      </c>
    </row>
    <row r="111" spans="17:46" x14ac:dyDescent="0.3">
      <c r="Q111" s="32">
        <v>104</v>
      </c>
      <c r="R111" s="97">
        <f t="shared" si="43"/>
        <v>10</v>
      </c>
      <c r="S111" s="96">
        <f t="shared" si="71"/>
        <v>0.69333333333333336</v>
      </c>
      <c r="T111" s="96">
        <f t="shared" si="45"/>
        <v>13</v>
      </c>
      <c r="U111" s="98">
        <f t="shared" si="72"/>
        <v>0.53333333333333333</v>
      </c>
      <c r="V111" s="97">
        <f t="shared" si="73"/>
        <v>2</v>
      </c>
      <c r="W111" s="96">
        <f t="shared" si="74"/>
        <v>0.43478260869565216</v>
      </c>
      <c r="X111" s="98">
        <f t="shared" si="75"/>
        <v>0.56521739130434789</v>
      </c>
      <c r="Y111" s="97">
        <f t="shared" si="55"/>
        <v>0.85638998682476952</v>
      </c>
      <c r="Z111" s="96">
        <f t="shared" si="56"/>
        <v>2.0830566534914361</v>
      </c>
      <c r="AA111" s="96">
        <f t="shared" si="57"/>
        <v>0.58784473168708007</v>
      </c>
      <c r="AB111" s="96">
        <v>0</v>
      </c>
      <c r="AC111" s="96">
        <f t="shared" si="58"/>
        <v>3.4556142857225516E-3</v>
      </c>
      <c r="AD111" s="98">
        <f t="shared" si="59"/>
        <v>3.4556142857225516E-3</v>
      </c>
      <c r="AE111" s="97">
        <f t="shared" si="60"/>
        <v>0.16077294685990337</v>
      </c>
      <c r="AF111" s="96">
        <f t="shared" si="61"/>
        <v>0.58784473168708007</v>
      </c>
      <c r="AG111" s="96">
        <f t="shared" si="76"/>
        <v>1.5550264285751484E-3</v>
      </c>
      <c r="AH111" s="96">
        <f t="shared" si="77"/>
        <v>0.30614720058110978</v>
      </c>
      <c r="AI111" s="98">
        <f t="shared" si="62"/>
        <v>0.30770222700968491</v>
      </c>
      <c r="AJ111" s="97">
        <f t="shared" si="63"/>
        <v>0.69333333333333336</v>
      </c>
      <c r="AK111" s="96">
        <f t="shared" si="64"/>
        <v>1.2579467963391129</v>
      </c>
      <c r="AL111" s="96">
        <f t="shared" si="65"/>
        <v>0.48533333333333334</v>
      </c>
      <c r="AM111" s="96">
        <f t="shared" si="78"/>
        <v>0.47399999999999998</v>
      </c>
      <c r="AN111" s="98">
        <f t="shared" si="66"/>
        <v>0.95933333333333337</v>
      </c>
      <c r="AO111" s="97">
        <f t="shared" si="79"/>
        <v>9.3301585714508882E-3</v>
      </c>
      <c r="AP111" s="96">
        <f t="shared" si="54"/>
        <v>0.22950000000000001</v>
      </c>
      <c r="AQ111" s="98">
        <f t="shared" si="67"/>
        <v>5.8500000000000002E-3</v>
      </c>
      <c r="AR111" s="97">
        <f t="shared" si="68"/>
        <v>1.5117157189144692</v>
      </c>
      <c r="AS111" s="96">
        <f t="shared" si="69"/>
        <v>6.9333333333333336</v>
      </c>
      <c r="AT111" s="98">
        <f t="shared" si="70"/>
        <v>82.099384982114472</v>
      </c>
    </row>
    <row r="112" spans="17:46" x14ac:dyDescent="0.3">
      <c r="Q112" s="32">
        <v>105</v>
      </c>
      <c r="R112" s="97">
        <f t="shared" si="43"/>
        <v>10</v>
      </c>
      <c r="S112" s="96">
        <f t="shared" si="71"/>
        <v>0.70000000000000007</v>
      </c>
      <c r="T112" s="96">
        <f t="shared" si="45"/>
        <v>13</v>
      </c>
      <c r="U112" s="98">
        <f t="shared" si="72"/>
        <v>0.53846153846153855</v>
      </c>
      <c r="V112" s="97">
        <f t="shared" si="73"/>
        <v>2</v>
      </c>
      <c r="W112" s="96">
        <f t="shared" si="74"/>
        <v>0.43478260869565216</v>
      </c>
      <c r="X112" s="98">
        <f t="shared" si="75"/>
        <v>0.56521739130434789</v>
      </c>
      <c r="Y112" s="97">
        <f t="shared" si="55"/>
        <v>0.85638998682476952</v>
      </c>
      <c r="Z112" s="96">
        <f t="shared" si="56"/>
        <v>2.094851525286308</v>
      </c>
      <c r="AA112" s="96">
        <f t="shared" si="57"/>
        <v>0.59250131858940003</v>
      </c>
      <c r="AB112" s="96">
        <v>0</v>
      </c>
      <c r="AC112" s="96">
        <f t="shared" si="58"/>
        <v>3.5105781253017771E-3</v>
      </c>
      <c r="AD112" s="98">
        <f t="shared" si="59"/>
        <v>3.5105781253017771E-3</v>
      </c>
      <c r="AE112" s="97">
        <f t="shared" si="60"/>
        <v>0.16387959866220739</v>
      </c>
      <c r="AF112" s="96">
        <f t="shared" si="61"/>
        <v>0.59250131858940003</v>
      </c>
      <c r="AG112" s="96">
        <f t="shared" si="76"/>
        <v>1.5797601563857999E-3</v>
      </c>
      <c r="AH112" s="96">
        <f t="shared" si="77"/>
        <v>0.30909092366362045</v>
      </c>
      <c r="AI112" s="98">
        <f t="shared" si="62"/>
        <v>0.31067068382000623</v>
      </c>
      <c r="AJ112" s="97">
        <f t="shared" si="63"/>
        <v>0.70000000000000007</v>
      </c>
      <c r="AK112" s="96">
        <f t="shared" si="64"/>
        <v>1.2667176469256507</v>
      </c>
      <c r="AL112" s="96">
        <f t="shared" si="65"/>
        <v>0.49</v>
      </c>
      <c r="AM112" s="96">
        <f t="shared" si="78"/>
        <v>0.47399999999999998</v>
      </c>
      <c r="AN112" s="98">
        <f t="shared" si="66"/>
        <v>0.96399999999999997</v>
      </c>
      <c r="AO112" s="97">
        <f t="shared" si="79"/>
        <v>9.4785609383147978E-3</v>
      </c>
      <c r="AP112" s="96">
        <f t="shared" si="54"/>
        <v>0.22950000000000001</v>
      </c>
      <c r="AQ112" s="98">
        <f t="shared" si="67"/>
        <v>5.8500000000000002E-3</v>
      </c>
      <c r="AR112" s="97">
        <f t="shared" si="68"/>
        <v>1.5194992447583209</v>
      </c>
      <c r="AS112" s="96">
        <f t="shared" si="69"/>
        <v>7.0000000000000009</v>
      </c>
      <c r="AT112" s="98">
        <f t="shared" si="70"/>
        <v>82.164453554084147</v>
      </c>
    </row>
    <row r="113" spans="17:46" x14ac:dyDescent="0.3">
      <c r="Q113" s="32">
        <v>106</v>
      </c>
      <c r="R113" s="97">
        <f t="shared" si="43"/>
        <v>10</v>
      </c>
      <c r="S113" s="96">
        <f t="shared" si="71"/>
        <v>0.70666666666666667</v>
      </c>
      <c r="T113" s="96">
        <f t="shared" si="45"/>
        <v>13</v>
      </c>
      <c r="U113" s="98">
        <f t="shared" si="72"/>
        <v>0.54358974358974355</v>
      </c>
      <c r="V113" s="97">
        <f t="shared" si="73"/>
        <v>2</v>
      </c>
      <c r="W113" s="96">
        <f t="shared" si="74"/>
        <v>0.43478260869565216</v>
      </c>
      <c r="X113" s="98">
        <f t="shared" si="75"/>
        <v>0.56521739130434789</v>
      </c>
      <c r="Y113" s="97">
        <f t="shared" si="55"/>
        <v>0.85638998682476952</v>
      </c>
      <c r="Z113" s="96">
        <f t="shared" si="56"/>
        <v>2.10664639708118</v>
      </c>
      <c r="AA113" s="96">
        <f t="shared" si="57"/>
        <v>0.59716563319046911</v>
      </c>
      <c r="AB113" s="96">
        <v>0</v>
      </c>
      <c r="AC113" s="96">
        <f t="shared" si="58"/>
        <v>3.5660679346377388E-3</v>
      </c>
      <c r="AD113" s="98">
        <f t="shared" si="59"/>
        <v>3.5660679346377388E-3</v>
      </c>
      <c r="AE113" s="97">
        <f t="shared" si="60"/>
        <v>0.16701597918989219</v>
      </c>
      <c r="AF113" s="96">
        <f t="shared" si="61"/>
        <v>0.59716563319046911</v>
      </c>
      <c r="AG113" s="96">
        <f t="shared" si="76"/>
        <v>1.6047305705869826E-3</v>
      </c>
      <c r="AH113" s="96">
        <f t="shared" si="77"/>
        <v>0.31203464674613113</v>
      </c>
      <c r="AI113" s="98">
        <f t="shared" si="62"/>
        <v>0.31363937731671809</v>
      </c>
      <c r="AJ113" s="97">
        <f t="shared" si="63"/>
        <v>0.70666666666666667</v>
      </c>
      <c r="AK113" s="96">
        <f t="shared" si="64"/>
        <v>1.2754898339865914</v>
      </c>
      <c r="AL113" s="96">
        <f t="shared" si="65"/>
        <v>0.49466666666666664</v>
      </c>
      <c r="AM113" s="96">
        <f t="shared" si="78"/>
        <v>0.47399999999999998</v>
      </c>
      <c r="AN113" s="98">
        <f t="shared" si="66"/>
        <v>0.96866666666666656</v>
      </c>
      <c r="AO113" s="97">
        <f t="shared" si="79"/>
        <v>9.6283834235218954E-3</v>
      </c>
      <c r="AP113" s="96">
        <f t="shared" si="54"/>
        <v>0.22950000000000001</v>
      </c>
      <c r="AQ113" s="98">
        <f t="shared" si="67"/>
        <v>5.8500000000000002E-3</v>
      </c>
      <c r="AR113" s="97">
        <f t="shared" si="68"/>
        <v>1.5272844274069066</v>
      </c>
      <c r="AS113" s="96">
        <f t="shared" si="69"/>
        <v>7.0666666666666664</v>
      </c>
      <c r="AT113" s="98">
        <f t="shared" si="70"/>
        <v>82.22837888314109</v>
      </c>
    </row>
    <row r="114" spans="17:46" x14ac:dyDescent="0.3">
      <c r="Q114" s="32">
        <v>107</v>
      </c>
      <c r="R114" s="97">
        <f t="shared" si="43"/>
        <v>10</v>
      </c>
      <c r="S114" s="96">
        <f t="shared" si="71"/>
        <v>0.71333333333333337</v>
      </c>
      <c r="T114" s="96">
        <f t="shared" si="45"/>
        <v>13</v>
      </c>
      <c r="U114" s="98">
        <f t="shared" si="72"/>
        <v>0.54871794871794877</v>
      </c>
      <c r="V114" s="97">
        <f t="shared" si="73"/>
        <v>2</v>
      </c>
      <c r="W114" s="96">
        <f t="shared" si="74"/>
        <v>0.43478260869565216</v>
      </c>
      <c r="X114" s="98">
        <f t="shared" si="75"/>
        <v>0.56521739130434789</v>
      </c>
      <c r="Y114" s="97">
        <f t="shared" si="55"/>
        <v>0.85638998682476952</v>
      </c>
      <c r="Z114" s="96">
        <f t="shared" si="56"/>
        <v>2.1184412688760519</v>
      </c>
      <c r="AA114" s="96">
        <f t="shared" si="57"/>
        <v>0.60183749581846779</v>
      </c>
      <c r="AB114" s="96">
        <v>0</v>
      </c>
      <c r="AC114" s="96">
        <f t="shared" si="58"/>
        <v>3.6220837137304423E-3</v>
      </c>
      <c r="AD114" s="98">
        <f t="shared" si="59"/>
        <v>3.6220837137304423E-3</v>
      </c>
      <c r="AE114" s="97">
        <f t="shared" si="60"/>
        <v>0.17018208844295804</v>
      </c>
      <c r="AF114" s="96">
        <f t="shared" si="61"/>
        <v>0.60183749581846779</v>
      </c>
      <c r="AG114" s="96">
        <f t="shared" si="76"/>
        <v>1.6299376711786993E-3</v>
      </c>
      <c r="AH114" s="96">
        <f t="shared" si="77"/>
        <v>0.3149783698286418</v>
      </c>
      <c r="AI114" s="98">
        <f t="shared" si="62"/>
        <v>0.3166083074998205</v>
      </c>
      <c r="AJ114" s="97">
        <f t="shared" si="63"/>
        <v>0.71333333333333337</v>
      </c>
      <c r="AK114" s="96">
        <f t="shared" si="64"/>
        <v>1.2842633301354875</v>
      </c>
      <c r="AL114" s="96">
        <f t="shared" si="65"/>
        <v>0.49933333333333335</v>
      </c>
      <c r="AM114" s="96">
        <f t="shared" si="78"/>
        <v>0.47399999999999998</v>
      </c>
      <c r="AN114" s="98">
        <f t="shared" si="66"/>
        <v>0.97333333333333338</v>
      </c>
      <c r="AO114" s="97">
        <f t="shared" si="79"/>
        <v>9.7796260270721948E-3</v>
      </c>
      <c r="AP114" s="96">
        <f t="shared" si="54"/>
        <v>0.22950000000000001</v>
      </c>
      <c r="AQ114" s="98">
        <f t="shared" si="67"/>
        <v>5.8500000000000002E-3</v>
      </c>
      <c r="AR114" s="97">
        <f t="shared" si="68"/>
        <v>1.535071266860226</v>
      </c>
      <c r="AS114" s="96">
        <f t="shared" si="69"/>
        <v>7.1333333333333337</v>
      </c>
      <c r="AT114" s="98">
        <f t="shared" si="70"/>
        <v>82.291190390144592</v>
      </c>
    </row>
    <row r="115" spans="17:46" x14ac:dyDescent="0.3">
      <c r="Q115" s="32">
        <v>108</v>
      </c>
      <c r="R115" s="97">
        <f t="shared" si="43"/>
        <v>10</v>
      </c>
      <c r="S115" s="96">
        <f t="shared" si="71"/>
        <v>0.72000000000000008</v>
      </c>
      <c r="T115" s="96">
        <f t="shared" si="45"/>
        <v>13</v>
      </c>
      <c r="U115" s="98">
        <f t="shared" si="72"/>
        <v>0.55384615384615388</v>
      </c>
      <c r="V115" s="97">
        <f t="shared" si="73"/>
        <v>2</v>
      </c>
      <c r="W115" s="96">
        <f t="shared" si="74"/>
        <v>0.43478260869565216</v>
      </c>
      <c r="X115" s="98">
        <f t="shared" si="75"/>
        <v>0.56521739130434789</v>
      </c>
      <c r="Y115" s="97">
        <f t="shared" si="55"/>
        <v>0.85638998682476952</v>
      </c>
      <c r="Z115" s="96">
        <f t="shared" si="56"/>
        <v>2.1302361406709234</v>
      </c>
      <c r="AA115" s="96">
        <f t="shared" si="57"/>
        <v>0.60651673205113499</v>
      </c>
      <c r="AB115" s="96">
        <v>0</v>
      </c>
      <c r="AC115" s="96">
        <f t="shared" si="58"/>
        <v>3.6786254625798824E-3</v>
      </c>
      <c r="AD115" s="98">
        <f t="shared" si="59"/>
        <v>3.6786254625798824E-3</v>
      </c>
      <c r="AE115" s="97">
        <f t="shared" si="60"/>
        <v>0.1733779264214047</v>
      </c>
      <c r="AF115" s="96">
        <f t="shared" si="61"/>
        <v>0.60651673205113499</v>
      </c>
      <c r="AG115" s="96">
        <f t="shared" si="76"/>
        <v>1.6553814581609474E-3</v>
      </c>
      <c r="AH115" s="96">
        <f t="shared" si="77"/>
        <v>0.31792209291115248</v>
      </c>
      <c r="AI115" s="98">
        <f t="shared" si="62"/>
        <v>0.31957747436931344</v>
      </c>
      <c r="AJ115" s="97">
        <f t="shared" si="63"/>
        <v>0.72000000000000008</v>
      </c>
      <c r="AK115" s="96">
        <f t="shared" si="64"/>
        <v>1.2930381087251477</v>
      </c>
      <c r="AL115" s="96">
        <f t="shared" si="65"/>
        <v>0.504</v>
      </c>
      <c r="AM115" s="96">
        <f t="shared" si="78"/>
        <v>0.47399999999999998</v>
      </c>
      <c r="AN115" s="98">
        <f t="shared" si="66"/>
        <v>0.97799999999999998</v>
      </c>
      <c r="AO115" s="97">
        <f t="shared" si="79"/>
        <v>9.9322887489656821E-3</v>
      </c>
      <c r="AP115" s="96">
        <f t="shared" si="54"/>
        <v>0.22950000000000001</v>
      </c>
      <c r="AQ115" s="98">
        <f t="shared" si="67"/>
        <v>5.8500000000000002E-3</v>
      </c>
      <c r="AR115" s="97">
        <f t="shared" si="68"/>
        <v>1.542859763118279</v>
      </c>
      <c r="AS115" s="96">
        <f t="shared" si="69"/>
        <v>7.2000000000000011</v>
      </c>
      <c r="AT115" s="98">
        <f t="shared" si="70"/>
        <v>82.352916495048589</v>
      </c>
    </row>
    <row r="116" spans="17:46" x14ac:dyDescent="0.3">
      <c r="Q116" s="32">
        <v>109</v>
      </c>
      <c r="R116" s="97">
        <f t="shared" si="43"/>
        <v>10</v>
      </c>
      <c r="S116" s="96">
        <f t="shared" si="71"/>
        <v>0.72666666666666668</v>
      </c>
      <c r="T116" s="96">
        <f t="shared" si="45"/>
        <v>13</v>
      </c>
      <c r="U116" s="98">
        <f t="shared" si="72"/>
        <v>0.55897435897435899</v>
      </c>
      <c r="V116" s="97">
        <f t="shared" si="73"/>
        <v>2</v>
      </c>
      <c r="W116" s="96">
        <f t="shared" si="74"/>
        <v>0.43478260869565216</v>
      </c>
      <c r="X116" s="98">
        <f t="shared" si="75"/>
        <v>0.56521739130434789</v>
      </c>
      <c r="Y116" s="97">
        <f t="shared" si="55"/>
        <v>0.85638998682476952</v>
      </c>
      <c r="Z116" s="96">
        <f t="shared" si="56"/>
        <v>2.1420310124657953</v>
      </c>
      <c r="AA116" s="96">
        <f t="shared" si="57"/>
        <v>0.61120317253643752</v>
      </c>
      <c r="AB116" s="96">
        <v>0</v>
      </c>
      <c r="AC116" s="96">
        <f t="shared" si="58"/>
        <v>3.7356931811860622E-3</v>
      </c>
      <c r="AD116" s="98">
        <f t="shared" si="59"/>
        <v>3.7356931811860622E-3</v>
      </c>
      <c r="AE116" s="97">
        <f t="shared" si="60"/>
        <v>0.17660349312523227</v>
      </c>
      <c r="AF116" s="96">
        <f t="shared" si="61"/>
        <v>0.61120317253643752</v>
      </c>
      <c r="AG116" s="96">
        <f t="shared" si="76"/>
        <v>1.6810619315337282E-3</v>
      </c>
      <c r="AH116" s="96">
        <f t="shared" si="77"/>
        <v>0.32086581599366315</v>
      </c>
      <c r="AI116" s="98">
        <f t="shared" si="62"/>
        <v>0.32254687792519687</v>
      </c>
      <c r="AJ116" s="97">
        <f t="shared" si="63"/>
        <v>0.72666666666666668</v>
      </c>
      <c r="AK116" s="96">
        <f t="shared" si="64"/>
        <v>1.3018141438229907</v>
      </c>
      <c r="AL116" s="96">
        <f t="shared" si="65"/>
        <v>0.5086666666666666</v>
      </c>
      <c r="AM116" s="96">
        <f t="shared" si="78"/>
        <v>0.47399999999999998</v>
      </c>
      <c r="AN116" s="98">
        <f t="shared" si="66"/>
        <v>0.98266666666666658</v>
      </c>
      <c r="AO116" s="97">
        <f t="shared" si="79"/>
        <v>1.0086371589202368E-2</v>
      </c>
      <c r="AP116" s="96">
        <f t="shared" si="54"/>
        <v>0.22950000000000001</v>
      </c>
      <c r="AQ116" s="98">
        <f t="shared" si="67"/>
        <v>5.8500000000000002E-3</v>
      </c>
      <c r="AR116" s="97">
        <f t="shared" si="68"/>
        <v>1.5506499161810656</v>
      </c>
      <c r="AS116" s="96">
        <f t="shared" si="69"/>
        <v>7.2666666666666666</v>
      </c>
      <c r="AT116" s="98">
        <f t="shared" si="70"/>
        <v>82.413584659106661</v>
      </c>
    </row>
    <row r="117" spans="17:46" x14ac:dyDescent="0.3">
      <c r="Q117" s="32">
        <v>110</v>
      </c>
      <c r="R117" s="97">
        <f t="shared" si="43"/>
        <v>10</v>
      </c>
      <c r="S117" s="96">
        <f t="shared" si="71"/>
        <v>0.73333333333333339</v>
      </c>
      <c r="T117" s="96">
        <f t="shared" si="45"/>
        <v>13</v>
      </c>
      <c r="U117" s="98">
        <f t="shared" si="72"/>
        <v>0.5641025641025641</v>
      </c>
      <c r="V117" s="97">
        <f t="shared" si="73"/>
        <v>2</v>
      </c>
      <c r="W117" s="96">
        <f t="shared" si="74"/>
        <v>0.43478260869565216</v>
      </c>
      <c r="X117" s="98">
        <f t="shared" si="75"/>
        <v>0.56521739130434789</v>
      </c>
      <c r="Y117" s="97">
        <f t="shared" si="55"/>
        <v>0.85638998682476952</v>
      </c>
      <c r="Z117" s="96">
        <f t="shared" si="56"/>
        <v>2.1538258842606668</v>
      </c>
      <c r="AA117" s="96">
        <f t="shared" si="57"/>
        <v>0.61589665282001504</v>
      </c>
      <c r="AB117" s="96">
        <v>0</v>
      </c>
      <c r="AC117" s="96">
        <f t="shared" si="58"/>
        <v>3.7932868695489813E-3</v>
      </c>
      <c r="AD117" s="98">
        <f t="shared" si="59"/>
        <v>3.7932868695489813E-3</v>
      </c>
      <c r="AE117" s="97">
        <f t="shared" si="60"/>
        <v>0.17985878855444073</v>
      </c>
      <c r="AF117" s="96">
        <f t="shared" si="61"/>
        <v>0.61589665282001504</v>
      </c>
      <c r="AG117" s="96">
        <f t="shared" si="76"/>
        <v>1.7069790912970417E-3</v>
      </c>
      <c r="AH117" s="96">
        <f t="shared" si="77"/>
        <v>0.32380953907617382</v>
      </c>
      <c r="AI117" s="98">
        <f t="shared" si="62"/>
        <v>0.32551651816747085</v>
      </c>
      <c r="AJ117" s="97">
        <f t="shared" si="63"/>
        <v>0.73333333333333339</v>
      </c>
      <c r="AK117" s="96">
        <f t="shared" si="64"/>
        <v>1.3105914101873744</v>
      </c>
      <c r="AL117" s="96">
        <f t="shared" si="65"/>
        <v>0.51333333333333331</v>
      </c>
      <c r="AM117" s="96">
        <f t="shared" si="78"/>
        <v>0.47399999999999998</v>
      </c>
      <c r="AN117" s="98">
        <f t="shared" si="66"/>
        <v>0.98733333333333329</v>
      </c>
      <c r="AO117" s="97">
        <f t="shared" si="79"/>
        <v>1.024187454778225E-2</v>
      </c>
      <c r="AP117" s="96">
        <f t="shared" si="54"/>
        <v>0.22950000000000001</v>
      </c>
      <c r="AQ117" s="98">
        <f t="shared" si="67"/>
        <v>5.8500000000000002E-3</v>
      </c>
      <c r="AR117" s="97">
        <f t="shared" si="68"/>
        <v>1.5584417260485863</v>
      </c>
      <c r="AS117" s="96">
        <f t="shared" si="69"/>
        <v>7.3333333333333339</v>
      </c>
      <c r="AT117" s="98">
        <f t="shared" si="70"/>
        <v>82.473221424959036</v>
      </c>
    </row>
    <row r="118" spans="17:46" x14ac:dyDescent="0.3">
      <c r="Q118" s="32">
        <v>111</v>
      </c>
      <c r="R118" s="97">
        <f t="shared" si="43"/>
        <v>10</v>
      </c>
      <c r="S118" s="96">
        <f t="shared" si="71"/>
        <v>0.7400000000000001</v>
      </c>
      <c r="T118" s="96">
        <f t="shared" si="45"/>
        <v>13</v>
      </c>
      <c r="U118" s="98">
        <f t="shared" si="72"/>
        <v>0.56923076923076932</v>
      </c>
      <c r="V118" s="97">
        <f t="shared" si="73"/>
        <v>2</v>
      </c>
      <c r="W118" s="96">
        <f t="shared" si="74"/>
        <v>0.43478260869565216</v>
      </c>
      <c r="X118" s="98">
        <f t="shared" si="75"/>
        <v>0.56521739130434789</v>
      </c>
      <c r="Y118" s="97">
        <f t="shared" si="55"/>
        <v>0.85638998682476952</v>
      </c>
      <c r="Z118" s="96">
        <f t="shared" si="56"/>
        <v>2.1656207560555387</v>
      </c>
      <c r="AA118" s="96">
        <f t="shared" si="57"/>
        <v>0.62059701317913551</v>
      </c>
      <c r="AB118" s="96">
        <v>0</v>
      </c>
      <c r="AC118" s="96">
        <f t="shared" si="58"/>
        <v>3.8514065276686409E-3</v>
      </c>
      <c r="AD118" s="98">
        <f t="shared" si="59"/>
        <v>3.8514065276686409E-3</v>
      </c>
      <c r="AE118" s="97">
        <f t="shared" si="60"/>
        <v>0.18314381270903016</v>
      </c>
      <c r="AF118" s="96">
        <f t="shared" si="61"/>
        <v>0.62059701317913551</v>
      </c>
      <c r="AG118" s="96">
        <f t="shared" si="76"/>
        <v>1.7331329374508887E-3</v>
      </c>
      <c r="AH118" s="96">
        <f t="shared" si="77"/>
        <v>0.32675326215868455</v>
      </c>
      <c r="AI118" s="98">
        <f t="shared" si="62"/>
        <v>0.32848639509613542</v>
      </c>
      <c r="AJ118" s="97">
        <f t="shared" si="63"/>
        <v>0.7400000000000001</v>
      </c>
      <c r="AK118" s="96">
        <f t="shared" si="64"/>
        <v>1.3193698832448542</v>
      </c>
      <c r="AL118" s="96">
        <f t="shared" si="65"/>
        <v>0.51800000000000002</v>
      </c>
      <c r="AM118" s="96">
        <f t="shared" si="78"/>
        <v>0.47399999999999998</v>
      </c>
      <c r="AN118" s="98">
        <f t="shared" si="66"/>
        <v>0.99199999999999999</v>
      </c>
      <c r="AO118" s="97">
        <f t="shared" si="79"/>
        <v>1.039879762470533E-2</v>
      </c>
      <c r="AP118" s="96">
        <f t="shared" si="54"/>
        <v>0.22950000000000001</v>
      </c>
      <c r="AQ118" s="98">
        <f t="shared" si="67"/>
        <v>5.8500000000000002E-3</v>
      </c>
      <c r="AR118" s="97">
        <f t="shared" si="68"/>
        <v>1.5662351927208407</v>
      </c>
      <c r="AS118" s="96">
        <f t="shared" si="69"/>
        <v>7.4000000000000012</v>
      </c>
      <c r="AT118" s="98">
        <f t="shared" si="70"/>
        <v>82.531852454725097</v>
      </c>
    </row>
    <row r="119" spans="17:46" x14ac:dyDescent="0.3">
      <c r="Q119" s="32">
        <v>112</v>
      </c>
      <c r="R119" s="97">
        <f t="shared" si="43"/>
        <v>10</v>
      </c>
      <c r="S119" s="96">
        <f t="shared" si="71"/>
        <v>0.7466666666666667</v>
      </c>
      <c r="T119" s="96">
        <f t="shared" si="45"/>
        <v>13</v>
      </c>
      <c r="U119" s="98">
        <f t="shared" si="72"/>
        <v>0.57435897435897432</v>
      </c>
      <c r="V119" s="97">
        <f t="shared" si="73"/>
        <v>2</v>
      </c>
      <c r="W119" s="96">
        <f t="shared" si="74"/>
        <v>0.43478260869565216</v>
      </c>
      <c r="X119" s="98">
        <f t="shared" si="75"/>
        <v>0.56521739130434789</v>
      </c>
      <c r="Y119" s="97">
        <f t="shared" si="55"/>
        <v>0.85638998682476952</v>
      </c>
      <c r="Z119" s="96">
        <f t="shared" si="56"/>
        <v>2.1774156278504107</v>
      </c>
      <c r="AA119" s="96">
        <f t="shared" si="57"/>
        <v>0.6253040984629028</v>
      </c>
      <c r="AB119" s="96">
        <v>0</v>
      </c>
      <c r="AC119" s="96">
        <f t="shared" si="58"/>
        <v>3.9100521555450367E-3</v>
      </c>
      <c r="AD119" s="98">
        <f t="shared" si="59"/>
        <v>3.9100521555450367E-3</v>
      </c>
      <c r="AE119" s="97">
        <f t="shared" si="60"/>
        <v>0.18645856558900037</v>
      </c>
      <c r="AF119" s="96">
        <f t="shared" si="61"/>
        <v>0.6253040984629028</v>
      </c>
      <c r="AG119" s="96">
        <f t="shared" si="76"/>
        <v>1.7595234699952665E-3</v>
      </c>
      <c r="AH119" s="96">
        <f t="shared" si="77"/>
        <v>0.32969698524119517</v>
      </c>
      <c r="AI119" s="98">
        <f t="shared" si="62"/>
        <v>0.33145650871119042</v>
      </c>
      <c r="AJ119" s="97">
        <f t="shared" si="63"/>
        <v>0.7466666666666667</v>
      </c>
      <c r="AK119" s="96">
        <f t="shared" si="64"/>
        <v>1.3281495390683293</v>
      </c>
      <c r="AL119" s="96">
        <f t="shared" si="65"/>
        <v>0.52266666666666661</v>
      </c>
      <c r="AM119" s="96">
        <f t="shared" si="78"/>
        <v>0.47399999999999998</v>
      </c>
      <c r="AN119" s="98">
        <f t="shared" si="66"/>
        <v>0.99666666666666659</v>
      </c>
      <c r="AO119" s="97">
        <f t="shared" si="79"/>
        <v>1.0557140819971597E-2</v>
      </c>
      <c r="AP119" s="96">
        <f t="shared" si="54"/>
        <v>0.22950000000000001</v>
      </c>
      <c r="AQ119" s="98">
        <f t="shared" si="67"/>
        <v>5.8500000000000002E-3</v>
      </c>
      <c r="AR119" s="97">
        <f t="shared" si="68"/>
        <v>1.5740303161978286</v>
      </c>
      <c r="AS119" s="96">
        <f t="shared" si="69"/>
        <v>7.4666666666666668</v>
      </c>
      <c r="AT119" s="98">
        <f t="shared" si="70"/>
        <v>82.589502566215785</v>
      </c>
    </row>
    <row r="120" spans="17:46" x14ac:dyDescent="0.3">
      <c r="Q120" s="32">
        <v>113</v>
      </c>
      <c r="R120" s="97">
        <f t="shared" si="43"/>
        <v>10</v>
      </c>
      <c r="S120" s="96">
        <f t="shared" si="71"/>
        <v>0.75333333333333341</v>
      </c>
      <c r="T120" s="96">
        <f t="shared" si="45"/>
        <v>13</v>
      </c>
      <c r="U120" s="98">
        <f t="shared" si="72"/>
        <v>0.57948717948717954</v>
      </c>
      <c r="V120" s="97">
        <f t="shared" si="73"/>
        <v>2</v>
      </c>
      <c r="W120" s="96">
        <f t="shared" si="74"/>
        <v>0.43478260869565216</v>
      </c>
      <c r="X120" s="98">
        <f t="shared" si="75"/>
        <v>0.56521739130434789</v>
      </c>
      <c r="Y120" s="97">
        <f t="shared" si="55"/>
        <v>0.85638998682476952</v>
      </c>
      <c r="Z120" s="96">
        <f t="shared" si="56"/>
        <v>2.1892104996452826</v>
      </c>
      <c r="AA120" s="96">
        <f t="shared" si="57"/>
        <v>0.63001775793847059</v>
      </c>
      <c r="AB120" s="96">
        <v>0</v>
      </c>
      <c r="AC120" s="96">
        <f t="shared" si="58"/>
        <v>3.9692237531781735E-3</v>
      </c>
      <c r="AD120" s="98">
        <f t="shared" si="59"/>
        <v>3.9692237531781735E-3</v>
      </c>
      <c r="AE120" s="97">
        <f t="shared" si="60"/>
        <v>0.18980304719435157</v>
      </c>
      <c r="AF120" s="96">
        <f t="shared" si="61"/>
        <v>0.63001775793847059</v>
      </c>
      <c r="AG120" s="96">
        <f t="shared" si="76"/>
        <v>1.7861506889301781E-3</v>
      </c>
      <c r="AH120" s="96">
        <f t="shared" si="77"/>
        <v>0.33264070832370596</v>
      </c>
      <c r="AI120" s="98">
        <f t="shared" si="62"/>
        <v>0.33442685901263614</v>
      </c>
      <c r="AJ120" s="97">
        <f t="shared" si="63"/>
        <v>0.75333333333333341</v>
      </c>
      <c r="AK120" s="96">
        <f t="shared" si="64"/>
        <v>1.3369303543560356</v>
      </c>
      <c r="AL120" s="96">
        <f t="shared" si="65"/>
        <v>0.52733333333333332</v>
      </c>
      <c r="AM120" s="96">
        <f t="shared" si="78"/>
        <v>0.47399999999999998</v>
      </c>
      <c r="AN120" s="98">
        <f t="shared" si="66"/>
        <v>1.0013333333333332</v>
      </c>
      <c r="AO120" s="97">
        <f t="shared" si="79"/>
        <v>1.0716904133581067E-2</v>
      </c>
      <c r="AP120" s="96">
        <f t="shared" si="54"/>
        <v>0.22950000000000001</v>
      </c>
      <c r="AQ120" s="98">
        <f t="shared" si="67"/>
        <v>5.8500000000000002E-3</v>
      </c>
      <c r="AR120" s="97">
        <f t="shared" si="68"/>
        <v>1.5818270964795502</v>
      </c>
      <c r="AS120" s="96">
        <f t="shared" si="69"/>
        <v>7.5333333333333341</v>
      </c>
      <c r="AT120" s="98">
        <f t="shared" si="70"/>
        <v>82.646195767373641</v>
      </c>
    </row>
    <row r="121" spans="17:46" x14ac:dyDescent="0.3">
      <c r="Q121" s="32">
        <v>114</v>
      </c>
      <c r="R121" s="97">
        <f t="shared" si="43"/>
        <v>10</v>
      </c>
      <c r="S121" s="96">
        <f t="shared" si="71"/>
        <v>0.76</v>
      </c>
      <c r="T121" s="96">
        <f t="shared" si="45"/>
        <v>13</v>
      </c>
      <c r="U121" s="98">
        <f t="shared" si="72"/>
        <v>0.58461538461538454</v>
      </c>
      <c r="V121" s="97">
        <f t="shared" si="73"/>
        <v>2</v>
      </c>
      <c r="W121" s="96">
        <f t="shared" si="74"/>
        <v>0.43478260869565216</v>
      </c>
      <c r="X121" s="98">
        <f t="shared" si="75"/>
        <v>0.56521739130434789</v>
      </c>
      <c r="Y121" s="97">
        <f t="shared" si="55"/>
        <v>0.85638998682476952</v>
      </c>
      <c r="Z121" s="96">
        <f t="shared" si="56"/>
        <v>2.2010053714401541</v>
      </c>
      <c r="AA121" s="96">
        <f t="shared" si="57"/>
        <v>0.63473784514302023</v>
      </c>
      <c r="AB121" s="96">
        <v>0</v>
      </c>
      <c r="AC121" s="96">
        <f t="shared" si="58"/>
        <v>4.0289213205680473E-3</v>
      </c>
      <c r="AD121" s="98">
        <f t="shared" si="59"/>
        <v>4.0289213205680473E-3</v>
      </c>
      <c r="AE121" s="97">
        <f t="shared" si="60"/>
        <v>0.19317725752508358</v>
      </c>
      <c r="AF121" s="96">
        <f t="shared" si="61"/>
        <v>0.63473784514302023</v>
      </c>
      <c r="AG121" s="96">
        <f t="shared" si="76"/>
        <v>1.8130145942556217E-3</v>
      </c>
      <c r="AH121" s="96">
        <f t="shared" si="77"/>
        <v>0.33558443140621647</v>
      </c>
      <c r="AI121" s="98">
        <f t="shared" si="62"/>
        <v>0.33739744600047211</v>
      </c>
      <c r="AJ121" s="97">
        <f t="shared" si="63"/>
        <v>0.76</v>
      </c>
      <c r="AK121" s="96">
        <f t="shared" si="64"/>
        <v>1.3457123064113514</v>
      </c>
      <c r="AL121" s="96">
        <f t="shared" si="65"/>
        <v>0.53199999999999992</v>
      </c>
      <c r="AM121" s="96">
        <f t="shared" si="78"/>
        <v>0.47399999999999998</v>
      </c>
      <c r="AN121" s="98">
        <f t="shared" si="66"/>
        <v>1.0059999999999998</v>
      </c>
      <c r="AO121" s="97">
        <f t="shared" si="79"/>
        <v>1.0878087565533727E-2</v>
      </c>
      <c r="AP121" s="96">
        <f t="shared" si="54"/>
        <v>0.22950000000000001</v>
      </c>
      <c r="AQ121" s="98">
        <f t="shared" si="67"/>
        <v>5.8500000000000002E-3</v>
      </c>
      <c r="AR121" s="97">
        <f t="shared" si="68"/>
        <v>1.5896255335660054</v>
      </c>
      <c r="AS121" s="96">
        <f t="shared" si="69"/>
        <v>7.6</v>
      </c>
      <c r="AT121" s="98">
        <f t="shared" si="70"/>
        <v>82.701955289040413</v>
      </c>
    </row>
    <row r="122" spans="17:46" x14ac:dyDescent="0.3">
      <c r="Q122" s="32">
        <v>115</v>
      </c>
      <c r="R122" s="97">
        <f t="shared" si="43"/>
        <v>10</v>
      </c>
      <c r="S122" s="96">
        <f t="shared" si="71"/>
        <v>0.76666666666666672</v>
      </c>
      <c r="T122" s="96">
        <f t="shared" si="45"/>
        <v>13</v>
      </c>
      <c r="U122" s="98">
        <f t="shared" si="72"/>
        <v>0.58974358974358976</v>
      </c>
      <c r="V122" s="97">
        <f t="shared" si="73"/>
        <v>2</v>
      </c>
      <c r="W122" s="96">
        <f t="shared" si="74"/>
        <v>0.43478260869565216</v>
      </c>
      <c r="X122" s="98">
        <f t="shared" si="75"/>
        <v>0.56521739130434789</v>
      </c>
      <c r="Y122" s="97">
        <f t="shared" si="55"/>
        <v>0.85638998682476952</v>
      </c>
      <c r="Z122" s="96">
        <f t="shared" si="56"/>
        <v>2.212800243235026</v>
      </c>
      <c r="AA122" s="96">
        <f t="shared" si="57"/>
        <v>0.63946421774127926</v>
      </c>
      <c r="AB122" s="96">
        <v>0</v>
      </c>
      <c r="AC122" s="96">
        <f t="shared" si="58"/>
        <v>4.0891448577146626E-3</v>
      </c>
      <c r="AD122" s="98">
        <f t="shared" si="59"/>
        <v>4.0891448577146626E-3</v>
      </c>
      <c r="AE122" s="97">
        <f t="shared" si="60"/>
        <v>0.1965811965811966</v>
      </c>
      <c r="AF122" s="96">
        <f t="shared" si="61"/>
        <v>0.63946421774127926</v>
      </c>
      <c r="AG122" s="96">
        <f t="shared" si="76"/>
        <v>1.8401151859715982E-3</v>
      </c>
      <c r="AH122" s="96">
        <f t="shared" si="77"/>
        <v>0.3385281544887272</v>
      </c>
      <c r="AI122" s="98">
        <f t="shared" si="62"/>
        <v>0.3403682696746988</v>
      </c>
      <c r="AJ122" s="97">
        <f t="shared" si="63"/>
        <v>0.76666666666666672</v>
      </c>
      <c r="AK122" s="96">
        <f t="shared" si="64"/>
        <v>1.354495373123374</v>
      </c>
      <c r="AL122" s="96">
        <f t="shared" si="65"/>
        <v>0.53666666666666663</v>
      </c>
      <c r="AM122" s="96">
        <f t="shared" si="78"/>
        <v>0.47399999999999998</v>
      </c>
      <c r="AN122" s="98">
        <f t="shared" si="66"/>
        <v>1.0106666666666666</v>
      </c>
      <c r="AO122" s="97">
        <f t="shared" si="79"/>
        <v>1.1040691115829587E-2</v>
      </c>
      <c r="AP122" s="96">
        <f t="shared" si="54"/>
        <v>0.22950000000000001</v>
      </c>
      <c r="AQ122" s="98">
        <f t="shared" si="67"/>
        <v>5.8500000000000002E-3</v>
      </c>
      <c r="AR122" s="97">
        <f t="shared" si="68"/>
        <v>1.597425627457195</v>
      </c>
      <c r="AS122" s="96">
        <f t="shared" si="69"/>
        <v>7.666666666666667</v>
      </c>
      <c r="AT122" s="98">
        <f t="shared" si="70"/>
        <v>82.756803616146726</v>
      </c>
    </row>
    <row r="123" spans="17:46" x14ac:dyDescent="0.3">
      <c r="Q123" s="32">
        <v>116</v>
      </c>
      <c r="R123" s="97">
        <f t="shared" si="43"/>
        <v>10</v>
      </c>
      <c r="S123" s="96">
        <f t="shared" si="71"/>
        <v>0.77333333333333343</v>
      </c>
      <c r="T123" s="96">
        <f t="shared" si="45"/>
        <v>13</v>
      </c>
      <c r="U123" s="98">
        <f t="shared" si="72"/>
        <v>0.59487179487179498</v>
      </c>
      <c r="V123" s="97">
        <f t="shared" si="73"/>
        <v>2</v>
      </c>
      <c r="W123" s="96">
        <f t="shared" si="74"/>
        <v>0.43478260869565216</v>
      </c>
      <c r="X123" s="98">
        <f t="shared" si="75"/>
        <v>0.56521739130434789</v>
      </c>
      <c r="Y123" s="97">
        <f t="shared" si="55"/>
        <v>0.85638998682476952</v>
      </c>
      <c r="Z123" s="96">
        <f t="shared" si="56"/>
        <v>2.2245951150298979</v>
      </c>
      <c r="AA123" s="96">
        <f t="shared" si="57"/>
        <v>0.64419673738835537</v>
      </c>
      <c r="AB123" s="96">
        <v>0</v>
      </c>
      <c r="AC123" s="96">
        <f t="shared" si="58"/>
        <v>4.1498943646180167E-3</v>
      </c>
      <c r="AD123" s="98">
        <f t="shared" si="59"/>
        <v>4.1498943646180167E-3</v>
      </c>
      <c r="AE123" s="97">
        <f t="shared" si="60"/>
        <v>0.2000148643626905</v>
      </c>
      <c r="AF123" s="96">
        <f t="shared" si="61"/>
        <v>0.64419673738835537</v>
      </c>
      <c r="AG123" s="96">
        <f t="shared" si="76"/>
        <v>1.8674524640781079E-3</v>
      </c>
      <c r="AH123" s="96">
        <f t="shared" si="77"/>
        <v>0.34147187757123787</v>
      </c>
      <c r="AI123" s="98">
        <f t="shared" si="62"/>
        <v>0.34333933003531597</v>
      </c>
      <c r="AJ123" s="97">
        <f t="shared" si="63"/>
        <v>0.77333333333333343</v>
      </c>
      <c r="AK123" s="96">
        <f t="shared" si="64"/>
        <v>1.363279532948237</v>
      </c>
      <c r="AL123" s="96">
        <f t="shared" si="65"/>
        <v>0.54133333333333333</v>
      </c>
      <c r="AM123" s="96">
        <f t="shared" si="78"/>
        <v>0.47399999999999998</v>
      </c>
      <c r="AN123" s="98">
        <f t="shared" si="66"/>
        <v>1.0153333333333334</v>
      </c>
      <c r="AO123" s="97">
        <f t="shared" si="79"/>
        <v>1.1204714784468646E-2</v>
      </c>
      <c r="AP123" s="96">
        <f t="shared" si="54"/>
        <v>0.22950000000000001</v>
      </c>
      <c r="AQ123" s="98">
        <f t="shared" si="67"/>
        <v>5.8500000000000002E-3</v>
      </c>
      <c r="AR123" s="97">
        <f t="shared" si="68"/>
        <v>1.6052273781531181</v>
      </c>
      <c r="AS123" s="96">
        <f t="shared" si="69"/>
        <v>7.7333333333333343</v>
      </c>
      <c r="AT123" s="98">
        <f t="shared" si="70"/>
        <v>82.810762517411433</v>
      </c>
    </row>
    <row r="124" spans="17:46" x14ac:dyDescent="0.3">
      <c r="Q124" s="32">
        <v>117</v>
      </c>
      <c r="R124" s="97">
        <f t="shared" si="43"/>
        <v>10</v>
      </c>
      <c r="S124" s="96">
        <f t="shared" si="71"/>
        <v>0.78</v>
      </c>
      <c r="T124" s="96">
        <f t="shared" si="45"/>
        <v>13</v>
      </c>
      <c r="U124" s="98">
        <f t="shared" si="72"/>
        <v>0.60000000000000009</v>
      </c>
      <c r="V124" s="97">
        <f t="shared" si="73"/>
        <v>2</v>
      </c>
      <c r="W124" s="96">
        <f t="shared" si="74"/>
        <v>0.43478260869565216</v>
      </c>
      <c r="X124" s="98">
        <f t="shared" si="75"/>
        <v>0.56521739130434789</v>
      </c>
      <c r="Y124" s="97">
        <f t="shared" si="55"/>
        <v>0.85638998682476952</v>
      </c>
      <c r="Z124" s="96">
        <f t="shared" si="56"/>
        <v>2.2363899868247694</v>
      </c>
      <c r="AA124" s="96">
        <f t="shared" si="57"/>
        <v>0.64893526959767789</v>
      </c>
      <c r="AB124" s="96">
        <v>0</v>
      </c>
      <c r="AC124" s="96">
        <f t="shared" si="58"/>
        <v>4.2111698412781095E-3</v>
      </c>
      <c r="AD124" s="98">
        <f t="shared" si="59"/>
        <v>4.2111698412781095E-3</v>
      </c>
      <c r="AE124" s="97">
        <f t="shared" si="60"/>
        <v>0.20347826086956525</v>
      </c>
      <c r="AF124" s="96">
        <f t="shared" si="61"/>
        <v>0.64893526959767789</v>
      </c>
      <c r="AG124" s="96">
        <f t="shared" si="76"/>
        <v>1.8950264285751493E-3</v>
      </c>
      <c r="AH124" s="96">
        <f t="shared" si="77"/>
        <v>0.34441560065374854</v>
      </c>
      <c r="AI124" s="98">
        <f t="shared" si="62"/>
        <v>0.34631062708232369</v>
      </c>
      <c r="AJ124" s="97">
        <f t="shared" si="63"/>
        <v>0.78</v>
      </c>
      <c r="AK124" s="96">
        <f t="shared" si="64"/>
        <v>1.3720647648911337</v>
      </c>
      <c r="AL124" s="96">
        <f t="shared" si="65"/>
        <v>0.54599999999999993</v>
      </c>
      <c r="AM124" s="96">
        <f t="shared" si="78"/>
        <v>0.47399999999999998</v>
      </c>
      <c r="AN124" s="98">
        <f t="shared" si="66"/>
        <v>1.02</v>
      </c>
      <c r="AO124" s="97">
        <f t="shared" si="79"/>
        <v>1.1370158571450894E-2</v>
      </c>
      <c r="AP124" s="96">
        <f t="shared" si="54"/>
        <v>0.22950000000000001</v>
      </c>
      <c r="AQ124" s="98">
        <f t="shared" si="67"/>
        <v>5.8500000000000002E-3</v>
      </c>
      <c r="AR124" s="97">
        <f t="shared" si="68"/>
        <v>1.6130307856537747</v>
      </c>
      <c r="AS124" s="96">
        <f t="shared" si="69"/>
        <v>7.8000000000000007</v>
      </c>
      <c r="AT124" s="98">
        <f t="shared" si="70"/>
        <v>82.863853073633138</v>
      </c>
    </row>
    <row r="125" spans="17:46" x14ac:dyDescent="0.3">
      <c r="Q125" s="32">
        <v>118</v>
      </c>
      <c r="R125" s="97">
        <f t="shared" si="43"/>
        <v>10</v>
      </c>
      <c r="S125" s="96">
        <f t="shared" si="71"/>
        <v>0.78666666666666674</v>
      </c>
      <c r="T125" s="96">
        <f t="shared" si="45"/>
        <v>13</v>
      </c>
      <c r="U125" s="98">
        <f t="shared" si="72"/>
        <v>0.6051282051282052</v>
      </c>
      <c r="V125" s="97">
        <f t="shared" si="73"/>
        <v>2</v>
      </c>
      <c r="W125" s="96">
        <f t="shared" si="74"/>
        <v>0.43478260869565216</v>
      </c>
      <c r="X125" s="98">
        <f t="shared" si="75"/>
        <v>0.56521739130434789</v>
      </c>
      <c r="Y125" s="97">
        <f t="shared" si="55"/>
        <v>0.85638998682476952</v>
      </c>
      <c r="Z125" s="96">
        <f t="shared" si="56"/>
        <v>2.2481848586196413</v>
      </c>
      <c r="AA125" s="96">
        <f t="shared" si="57"/>
        <v>0.65367968361384299</v>
      </c>
      <c r="AB125" s="96">
        <v>0</v>
      </c>
      <c r="AC125" s="96">
        <f t="shared" si="58"/>
        <v>4.2729712876949386E-3</v>
      </c>
      <c r="AD125" s="98">
        <f t="shared" si="59"/>
        <v>4.2729712876949386E-3</v>
      </c>
      <c r="AE125" s="97">
        <f t="shared" si="60"/>
        <v>0.20697138610182092</v>
      </c>
      <c r="AF125" s="96">
        <f t="shared" si="61"/>
        <v>0.65367968361384299</v>
      </c>
      <c r="AG125" s="96">
        <f t="shared" si="76"/>
        <v>1.9228370794627228E-3</v>
      </c>
      <c r="AH125" s="96">
        <f t="shared" si="77"/>
        <v>0.34735932373625922</v>
      </c>
      <c r="AI125" s="98">
        <f t="shared" si="62"/>
        <v>0.34928216081572194</v>
      </c>
      <c r="AJ125" s="97">
        <f t="shared" si="63"/>
        <v>0.78666666666666674</v>
      </c>
      <c r="AK125" s="96">
        <f t="shared" si="64"/>
        <v>1.3808510484890202</v>
      </c>
      <c r="AL125" s="96">
        <f t="shared" si="65"/>
        <v>0.55066666666666664</v>
      </c>
      <c r="AM125" s="96">
        <f t="shared" si="78"/>
        <v>0.47399999999999998</v>
      </c>
      <c r="AN125" s="98">
        <f t="shared" si="66"/>
        <v>1.0246666666666666</v>
      </c>
      <c r="AO125" s="97">
        <f t="shared" si="79"/>
        <v>1.1537022476776335E-2</v>
      </c>
      <c r="AP125" s="96">
        <f t="shared" si="54"/>
        <v>0.22950000000000001</v>
      </c>
      <c r="AQ125" s="98">
        <f t="shared" si="67"/>
        <v>5.8500000000000002E-3</v>
      </c>
      <c r="AR125" s="97">
        <f t="shared" si="68"/>
        <v>1.6208358499591649</v>
      </c>
      <c r="AS125" s="96">
        <f t="shared" si="69"/>
        <v>7.8666666666666671</v>
      </c>
      <c r="AT125" s="98">
        <f t="shared" si="70"/>
        <v>82.916095704651212</v>
      </c>
    </row>
    <row r="126" spans="17:46" x14ac:dyDescent="0.3">
      <c r="Q126" s="32">
        <v>119</v>
      </c>
      <c r="R126" s="97">
        <f t="shared" si="43"/>
        <v>10</v>
      </c>
      <c r="S126" s="96">
        <f t="shared" si="71"/>
        <v>0.79333333333333333</v>
      </c>
      <c r="T126" s="96">
        <f t="shared" si="45"/>
        <v>13</v>
      </c>
      <c r="U126" s="98">
        <f t="shared" si="72"/>
        <v>0.61025641025641031</v>
      </c>
      <c r="V126" s="97">
        <f t="shared" si="73"/>
        <v>2</v>
      </c>
      <c r="W126" s="96">
        <f t="shared" si="74"/>
        <v>0.43478260869565216</v>
      </c>
      <c r="X126" s="98">
        <f t="shared" si="75"/>
        <v>0.56521739130434789</v>
      </c>
      <c r="Y126" s="97">
        <f t="shared" si="55"/>
        <v>0.85638998682476952</v>
      </c>
      <c r="Z126" s="96">
        <f t="shared" si="56"/>
        <v>2.2599797304145133</v>
      </c>
      <c r="AA126" s="96">
        <f t="shared" si="57"/>
        <v>0.65842985229016682</v>
      </c>
      <c r="AB126" s="96">
        <v>0</v>
      </c>
      <c r="AC126" s="96">
        <f t="shared" si="58"/>
        <v>4.3352987038685091E-3</v>
      </c>
      <c r="AD126" s="98">
        <f t="shared" si="59"/>
        <v>4.3352987038685091E-3</v>
      </c>
      <c r="AE126" s="97">
        <f t="shared" si="60"/>
        <v>0.21049424005945747</v>
      </c>
      <c r="AF126" s="96">
        <f t="shared" si="61"/>
        <v>0.65842985229016682</v>
      </c>
      <c r="AG126" s="96">
        <f t="shared" si="76"/>
        <v>1.9508844167408291E-3</v>
      </c>
      <c r="AH126" s="96">
        <f t="shared" si="77"/>
        <v>0.35030304681876995</v>
      </c>
      <c r="AI126" s="98">
        <f t="shared" si="62"/>
        <v>0.3522539312355108</v>
      </c>
      <c r="AJ126" s="97">
        <f t="shared" si="63"/>
        <v>0.79333333333333333</v>
      </c>
      <c r="AK126" s="96">
        <f t="shared" si="64"/>
        <v>1.3896383637939604</v>
      </c>
      <c r="AL126" s="96">
        <f t="shared" si="65"/>
        <v>0.55533333333333335</v>
      </c>
      <c r="AM126" s="96">
        <f t="shared" si="78"/>
        <v>0.47399999999999998</v>
      </c>
      <c r="AN126" s="98">
        <f t="shared" si="66"/>
        <v>1.0293333333333332</v>
      </c>
      <c r="AO126" s="97">
        <f t="shared" si="79"/>
        <v>1.1705306500444974E-2</v>
      </c>
      <c r="AP126" s="96">
        <f t="shared" si="54"/>
        <v>0.22950000000000001</v>
      </c>
      <c r="AQ126" s="98">
        <f t="shared" si="67"/>
        <v>5.8500000000000002E-3</v>
      </c>
      <c r="AR126" s="97">
        <f t="shared" si="68"/>
        <v>1.6286425710692889</v>
      </c>
      <c r="AS126" s="96">
        <f t="shared" si="69"/>
        <v>7.9333333333333336</v>
      </c>
      <c r="AT126" s="98">
        <f t="shared" si="70"/>
        <v>82.967510195048561</v>
      </c>
    </row>
    <row r="127" spans="17:46" x14ac:dyDescent="0.3">
      <c r="Q127" s="32">
        <v>120</v>
      </c>
      <c r="R127" s="97">
        <f t="shared" si="43"/>
        <v>10</v>
      </c>
      <c r="S127" s="96">
        <f t="shared" si="71"/>
        <v>0.8</v>
      </c>
      <c r="T127" s="96">
        <f t="shared" si="45"/>
        <v>13</v>
      </c>
      <c r="U127" s="98">
        <f t="shared" si="72"/>
        <v>0.61538461538461542</v>
      </c>
      <c r="V127" s="97">
        <f t="shared" si="73"/>
        <v>2</v>
      </c>
      <c r="W127" s="96">
        <f t="shared" si="74"/>
        <v>0.43478260869565216</v>
      </c>
      <c r="X127" s="98">
        <f t="shared" si="75"/>
        <v>0.56521739130434789</v>
      </c>
      <c r="Y127" s="97">
        <f t="shared" si="55"/>
        <v>0.85638998682476952</v>
      </c>
      <c r="Z127" s="96">
        <f t="shared" si="56"/>
        <v>2.2717746022093852</v>
      </c>
      <c r="AA127" s="96">
        <f t="shared" si="57"/>
        <v>0.66318565197075985</v>
      </c>
      <c r="AB127" s="96">
        <v>0</v>
      </c>
      <c r="AC127" s="96">
        <f t="shared" si="58"/>
        <v>4.3981520897988183E-3</v>
      </c>
      <c r="AD127" s="98">
        <f t="shared" si="59"/>
        <v>4.3981520897988183E-3</v>
      </c>
      <c r="AE127" s="97">
        <f t="shared" si="60"/>
        <v>0.21404682274247491</v>
      </c>
      <c r="AF127" s="96">
        <f t="shared" si="61"/>
        <v>0.66318565197075985</v>
      </c>
      <c r="AG127" s="96">
        <f t="shared" si="76"/>
        <v>1.9791684404094683E-3</v>
      </c>
      <c r="AH127" s="96">
        <f t="shared" si="77"/>
        <v>0.35324676990128062</v>
      </c>
      <c r="AI127" s="98">
        <f t="shared" si="62"/>
        <v>0.35522593834169008</v>
      </c>
      <c r="AJ127" s="97">
        <f t="shared" si="63"/>
        <v>0.8</v>
      </c>
      <c r="AK127" s="96">
        <f t="shared" si="64"/>
        <v>1.3984266913570944</v>
      </c>
      <c r="AL127" s="96">
        <f t="shared" si="65"/>
        <v>0.55999999999999994</v>
      </c>
      <c r="AM127" s="96">
        <f t="shared" si="78"/>
        <v>0.47399999999999998</v>
      </c>
      <c r="AN127" s="98">
        <f t="shared" si="66"/>
        <v>1.0339999999999998</v>
      </c>
      <c r="AO127" s="97">
        <f t="shared" si="79"/>
        <v>1.1875010642456808E-2</v>
      </c>
      <c r="AP127" s="96">
        <f t="shared" si="54"/>
        <v>0.22950000000000001</v>
      </c>
      <c r="AQ127" s="98">
        <f t="shared" si="67"/>
        <v>5.8500000000000002E-3</v>
      </c>
      <c r="AR127" s="97">
        <f t="shared" si="68"/>
        <v>1.6364509489841466</v>
      </c>
      <c r="AS127" s="96">
        <f t="shared" si="69"/>
        <v>8</v>
      </c>
      <c r="AT127" s="98">
        <f t="shared" si="70"/>
        <v>83.018115718664475</v>
      </c>
    </row>
    <row r="128" spans="17:46" x14ac:dyDescent="0.3">
      <c r="Q128" s="32">
        <v>121</v>
      </c>
      <c r="R128" s="97">
        <f t="shared" si="43"/>
        <v>10</v>
      </c>
      <c r="S128" s="96">
        <f t="shared" si="71"/>
        <v>0.80666666666666675</v>
      </c>
      <c r="T128" s="96">
        <f t="shared" si="45"/>
        <v>13</v>
      </c>
      <c r="U128" s="98">
        <f t="shared" si="72"/>
        <v>0.62051282051282064</v>
      </c>
      <c r="V128" s="97">
        <f t="shared" si="73"/>
        <v>2</v>
      </c>
      <c r="W128" s="96">
        <f t="shared" si="74"/>
        <v>0.43478260869565216</v>
      </c>
      <c r="X128" s="98">
        <f t="shared" si="75"/>
        <v>0.56521739130434789</v>
      </c>
      <c r="Y128" s="97">
        <f t="shared" si="55"/>
        <v>0.85638998682476952</v>
      </c>
      <c r="Z128" s="96">
        <f t="shared" si="56"/>
        <v>2.2835694740042571</v>
      </c>
      <c r="AA128" s="96">
        <f t="shared" si="57"/>
        <v>0.66794696237694406</v>
      </c>
      <c r="AB128" s="96">
        <v>0</v>
      </c>
      <c r="AC128" s="96">
        <f t="shared" si="58"/>
        <v>4.4615314454858673E-3</v>
      </c>
      <c r="AD128" s="98">
        <f t="shared" si="59"/>
        <v>4.4615314454858673E-3</v>
      </c>
      <c r="AE128" s="97">
        <f t="shared" si="60"/>
        <v>0.21762913415087334</v>
      </c>
      <c r="AF128" s="96">
        <f t="shared" si="61"/>
        <v>0.66794696237694406</v>
      </c>
      <c r="AG128" s="96">
        <f t="shared" si="76"/>
        <v>2.0076891504686406E-3</v>
      </c>
      <c r="AH128" s="96">
        <f t="shared" si="77"/>
        <v>0.35619049298379124</v>
      </c>
      <c r="AI128" s="98">
        <f t="shared" si="62"/>
        <v>0.35819818213425986</v>
      </c>
      <c r="AJ128" s="97">
        <f t="shared" si="63"/>
        <v>0.80666666666666675</v>
      </c>
      <c r="AK128" s="96">
        <f t="shared" si="64"/>
        <v>1.407216012213196</v>
      </c>
      <c r="AL128" s="96">
        <f t="shared" si="65"/>
        <v>0.56466666666666665</v>
      </c>
      <c r="AM128" s="96">
        <f t="shared" si="78"/>
        <v>0.47399999999999998</v>
      </c>
      <c r="AN128" s="98">
        <f t="shared" si="66"/>
        <v>1.0386666666666666</v>
      </c>
      <c r="AO128" s="97">
        <f t="shared" si="79"/>
        <v>1.2046134902811841E-2</v>
      </c>
      <c r="AP128" s="96">
        <f t="shared" si="54"/>
        <v>0.22950000000000001</v>
      </c>
      <c r="AQ128" s="98">
        <f t="shared" si="67"/>
        <v>5.8500000000000002E-3</v>
      </c>
      <c r="AR128" s="97">
        <f t="shared" si="68"/>
        <v>1.6442609837037383</v>
      </c>
      <c r="AS128" s="96">
        <f t="shared" si="69"/>
        <v>8.0666666666666682</v>
      </c>
      <c r="AT128" s="98">
        <f t="shared" si="70"/>
        <v>83.067930861980827</v>
      </c>
    </row>
    <row r="129" spans="17:46" x14ac:dyDescent="0.3">
      <c r="Q129" s="32">
        <v>122</v>
      </c>
      <c r="R129" s="97">
        <f t="shared" si="43"/>
        <v>10</v>
      </c>
      <c r="S129" s="96">
        <f t="shared" si="71"/>
        <v>0.81333333333333335</v>
      </c>
      <c r="T129" s="96">
        <f t="shared" si="45"/>
        <v>13</v>
      </c>
      <c r="U129" s="98">
        <f t="shared" si="72"/>
        <v>0.62564102564102564</v>
      </c>
      <c r="V129" s="97">
        <f t="shared" si="73"/>
        <v>2</v>
      </c>
      <c r="W129" s="96">
        <f t="shared" si="74"/>
        <v>0.43478260869565216</v>
      </c>
      <c r="X129" s="98">
        <f t="shared" si="75"/>
        <v>0.56521739130434789</v>
      </c>
      <c r="Y129" s="97">
        <f t="shared" si="55"/>
        <v>0.85638998682476952</v>
      </c>
      <c r="Z129" s="96">
        <f t="shared" si="56"/>
        <v>2.2953643457991286</v>
      </c>
      <c r="AA129" s="96">
        <f t="shared" si="57"/>
        <v>0.67271366649783859</v>
      </c>
      <c r="AB129" s="96">
        <v>0</v>
      </c>
      <c r="AC129" s="96">
        <f t="shared" si="58"/>
        <v>4.5254367709296524E-3</v>
      </c>
      <c r="AD129" s="98">
        <f t="shared" si="59"/>
        <v>4.5254367709296524E-3</v>
      </c>
      <c r="AE129" s="97">
        <f t="shared" si="60"/>
        <v>0.22124117428465254</v>
      </c>
      <c r="AF129" s="96">
        <f t="shared" si="61"/>
        <v>0.67271366649783859</v>
      </c>
      <c r="AG129" s="96">
        <f t="shared" si="76"/>
        <v>2.0364465469183439E-3</v>
      </c>
      <c r="AH129" s="96">
        <f t="shared" si="77"/>
        <v>0.35913421606630191</v>
      </c>
      <c r="AI129" s="98">
        <f t="shared" si="62"/>
        <v>0.36117066261322028</v>
      </c>
      <c r="AJ129" s="97">
        <f t="shared" si="63"/>
        <v>0.81333333333333335</v>
      </c>
      <c r="AK129" s="96">
        <f t="shared" si="64"/>
        <v>1.4160063078657996</v>
      </c>
      <c r="AL129" s="96">
        <f t="shared" si="65"/>
        <v>0.56933333333333336</v>
      </c>
      <c r="AM129" s="96">
        <f t="shared" si="78"/>
        <v>0.47399999999999998</v>
      </c>
      <c r="AN129" s="98">
        <f t="shared" si="66"/>
        <v>1.0433333333333334</v>
      </c>
      <c r="AO129" s="97">
        <f t="shared" si="79"/>
        <v>1.2218679281510061E-2</v>
      </c>
      <c r="AP129" s="96">
        <f t="shared" si="54"/>
        <v>0.22950000000000001</v>
      </c>
      <c r="AQ129" s="98">
        <f t="shared" si="67"/>
        <v>5.8500000000000002E-3</v>
      </c>
      <c r="AR129" s="97">
        <f t="shared" si="68"/>
        <v>1.6520726752280637</v>
      </c>
      <c r="AS129" s="96">
        <f t="shared" si="69"/>
        <v>8.1333333333333329</v>
      </c>
      <c r="AT129" s="98">
        <f t="shared" si="70"/>
        <v>83.116973646442048</v>
      </c>
    </row>
    <row r="130" spans="17:46" x14ac:dyDescent="0.3">
      <c r="Q130" s="32">
        <v>123</v>
      </c>
      <c r="R130" s="97">
        <f t="shared" si="43"/>
        <v>10</v>
      </c>
      <c r="S130" s="96">
        <f t="shared" si="71"/>
        <v>0.82000000000000006</v>
      </c>
      <c r="T130" s="96">
        <f t="shared" si="45"/>
        <v>13</v>
      </c>
      <c r="U130" s="98">
        <f t="shared" si="72"/>
        <v>0.63076923076923086</v>
      </c>
      <c r="V130" s="97">
        <f t="shared" si="73"/>
        <v>2</v>
      </c>
      <c r="W130" s="96">
        <f t="shared" si="74"/>
        <v>0.43478260869565216</v>
      </c>
      <c r="X130" s="98">
        <f t="shared" si="75"/>
        <v>0.56521739130434789</v>
      </c>
      <c r="Y130" s="97">
        <f t="shared" si="55"/>
        <v>0.85638998682476952</v>
      </c>
      <c r="Z130" s="96">
        <f t="shared" si="56"/>
        <v>2.3071592175940006</v>
      </c>
      <c r="AA130" s="96">
        <f t="shared" si="57"/>
        <v>0.67748565048495157</v>
      </c>
      <c r="AB130" s="96">
        <v>0</v>
      </c>
      <c r="AC130" s="96">
        <f t="shared" si="58"/>
        <v>4.5898680661301799E-3</v>
      </c>
      <c r="AD130" s="98">
        <f t="shared" si="59"/>
        <v>4.5898680661301799E-3</v>
      </c>
      <c r="AE130" s="97">
        <f t="shared" si="60"/>
        <v>0.22488294314381277</v>
      </c>
      <c r="AF130" s="96">
        <f t="shared" si="61"/>
        <v>0.67748565048495157</v>
      </c>
      <c r="AG130" s="96">
        <f t="shared" si="76"/>
        <v>2.0654406297585808E-3</v>
      </c>
      <c r="AH130" s="96">
        <f t="shared" si="77"/>
        <v>0.36207793914881264</v>
      </c>
      <c r="AI130" s="98">
        <f t="shared" si="62"/>
        <v>0.36414337977857125</v>
      </c>
      <c r="AJ130" s="97">
        <f t="shared" si="63"/>
        <v>0.82000000000000006</v>
      </c>
      <c r="AK130" s="96">
        <f t="shared" si="64"/>
        <v>1.42479756027287</v>
      </c>
      <c r="AL130" s="96">
        <f t="shared" si="65"/>
        <v>0.57399999999999995</v>
      </c>
      <c r="AM130" s="96">
        <f t="shared" si="78"/>
        <v>0.47399999999999998</v>
      </c>
      <c r="AN130" s="98">
        <f t="shared" si="66"/>
        <v>1.048</v>
      </c>
      <c r="AO130" s="97">
        <f t="shared" si="79"/>
        <v>1.2392643778551484E-2</v>
      </c>
      <c r="AP130" s="96">
        <f t="shared" si="54"/>
        <v>0.22950000000000001</v>
      </c>
      <c r="AQ130" s="98">
        <f t="shared" si="67"/>
        <v>5.8500000000000002E-3</v>
      </c>
      <c r="AR130" s="97">
        <f t="shared" si="68"/>
        <v>1.6598860235571227</v>
      </c>
      <c r="AS130" s="96">
        <f t="shared" si="69"/>
        <v>8.2000000000000011</v>
      </c>
      <c r="AT130" s="98">
        <f t="shared" si="70"/>
        <v>83.165261549764949</v>
      </c>
    </row>
    <row r="131" spans="17:46" x14ac:dyDescent="0.3">
      <c r="Q131" s="32">
        <v>124</v>
      </c>
      <c r="R131" s="97">
        <f t="shared" si="43"/>
        <v>10</v>
      </c>
      <c r="S131" s="96">
        <f t="shared" si="71"/>
        <v>0.82666666666666677</v>
      </c>
      <c r="T131" s="96">
        <f t="shared" si="45"/>
        <v>13</v>
      </c>
      <c r="U131" s="98">
        <f t="shared" si="72"/>
        <v>0.63589743589743597</v>
      </c>
      <c r="V131" s="97">
        <f t="shared" si="73"/>
        <v>2</v>
      </c>
      <c r="W131" s="96">
        <f t="shared" si="74"/>
        <v>0.43478260869565216</v>
      </c>
      <c r="X131" s="98">
        <f t="shared" si="75"/>
        <v>0.56521739130434789</v>
      </c>
      <c r="Y131" s="97">
        <f t="shared" si="55"/>
        <v>0.85638998682476952</v>
      </c>
      <c r="Z131" s="96">
        <f t="shared" si="56"/>
        <v>2.318954089388872</v>
      </c>
      <c r="AA131" s="96">
        <f t="shared" si="57"/>
        <v>0.68226280355061453</v>
      </c>
      <c r="AB131" s="96">
        <v>0</v>
      </c>
      <c r="AC131" s="96">
        <f t="shared" si="58"/>
        <v>4.6548253310874444E-3</v>
      </c>
      <c r="AD131" s="98">
        <f t="shared" si="59"/>
        <v>4.6548253310874444E-3</v>
      </c>
      <c r="AE131" s="97">
        <f t="shared" si="60"/>
        <v>0.22855444072835379</v>
      </c>
      <c r="AF131" s="96">
        <f t="shared" si="61"/>
        <v>0.68226280355061453</v>
      </c>
      <c r="AG131" s="96">
        <f t="shared" si="76"/>
        <v>2.09467139898935E-3</v>
      </c>
      <c r="AH131" s="96">
        <f t="shared" si="77"/>
        <v>0.36502166223132332</v>
      </c>
      <c r="AI131" s="98">
        <f t="shared" si="62"/>
        <v>0.36711633363031265</v>
      </c>
      <c r="AJ131" s="97">
        <f t="shared" si="63"/>
        <v>0.82666666666666677</v>
      </c>
      <c r="AK131" s="96">
        <f t="shared" si="64"/>
        <v>1.4335897518329908</v>
      </c>
      <c r="AL131" s="96">
        <f t="shared" si="65"/>
        <v>0.57866666666666666</v>
      </c>
      <c r="AM131" s="96">
        <f t="shared" si="78"/>
        <v>0.47399999999999998</v>
      </c>
      <c r="AN131" s="98">
        <f t="shared" si="66"/>
        <v>1.0526666666666666</v>
      </c>
      <c r="AO131" s="97">
        <f t="shared" si="79"/>
        <v>1.2568028393936099E-2</v>
      </c>
      <c r="AP131" s="96">
        <f t="shared" si="54"/>
        <v>0.22950000000000001</v>
      </c>
      <c r="AQ131" s="98">
        <f t="shared" si="67"/>
        <v>5.8500000000000002E-3</v>
      </c>
      <c r="AR131" s="97">
        <f t="shared" si="68"/>
        <v>1.6677010286909153</v>
      </c>
      <c r="AS131" s="96">
        <f t="shared" si="69"/>
        <v>8.2666666666666675</v>
      </c>
      <c r="AT131" s="98">
        <f t="shared" si="70"/>
        <v>83.212811526291233</v>
      </c>
    </row>
    <row r="132" spans="17:46" x14ac:dyDescent="0.3">
      <c r="Q132" s="32">
        <v>125</v>
      </c>
      <c r="R132" s="97">
        <f t="shared" si="43"/>
        <v>10</v>
      </c>
      <c r="S132" s="96">
        <f t="shared" si="71"/>
        <v>0.83333333333333337</v>
      </c>
      <c r="T132" s="96">
        <f t="shared" si="45"/>
        <v>13</v>
      </c>
      <c r="U132" s="98">
        <f t="shared" si="72"/>
        <v>0.64102564102564108</v>
      </c>
      <c r="V132" s="97">
        <f t="shared" si="73"/>
        <v>2</v>
      </c>
      <c r="W132" s="96">
        <f t="shared" si="74"/>
        <v>0.43478260869565216</v>
      </c>
      <c r="X132" s="98">
        <f t="shared" si="75"/>
        <v>0.56521739130434789</v>
      </c>
      <c r="Y132" s="97">
        <f t="shared" si="55"/>
        <v>0.85638998682476952</v>
      </c>
      <c r="Z132" s="96">
        <f t="shared" si="56"/>
        <v>2.330748961183744</v>
      </c>
      <c r="AA132" s="96">
        <f t="shared" si="57"/>
        <v>0.68704501787011363</v>
      </c>
      <c r="AB132" s="96">
        <v>0</v>
      </c>
      <c r="AC132" s="96">
        <f t="shared" si="58"/>
        <v>4.7203085658014477E-3</v>
      </c>
      <c r="AD132" s="98">
        <f t="shared" si="59"/>
        <v>4.7203085658014477E-3</v>
      </c>
      <c r="AE132" s="97">
        <f t="shared" si="60"/>
        <v>0.23225566703827577</v>
      </c>
      <c r="AF132" s="96">
        <f t="shared" si="61"/>
        <v>0.68704501787011363</v>
      </c>
      <c r="AG132" s="96">
        <f t="shared" si="76"/>
        <v>2.1241388546106516E-3</v>
      </c>
      <c r="AH132" s="96">
        <f t="shared" si="77"/>
        <v>0.36796538531383388</v>
      </c>
      <c r="AI132" s="98">
        <f t="shared" si="62"/>
        <v>0.37008952416844454</v>
      </c>
      <c r="AJ132" s="97">
        <f t="shared" si="63"/>
        <v>0.83333333333333337</v>
      </c>
      <c r="AK132" s="96">
        <f t="shared" si="64"/>
        <v>1.4423828653720536</v>
      </c>
      <c r="AL132" s="96">
        <f t="shared" si="65"/>
        <v>0.58333333333333337</v>
      </c>
      <c r="AM132" s="96">
        <f t="shared" si="78"/>
        <v>0.47399999999999998</v>
      </c>
      <c r="AN132" s="98">
        <f t="shared" si="66"/>
        <v>1.0573333333333332</v>
      </c>
      <c r="AO132" s="97">
        <f t="shared" si="79"/>
        <v>1.2744833127663908E-2</v>
      </c>
      <c r="AP132" s="96">
        <f t="shared" si="54"/>
        <v>0.22950000000000001</v>
      </c>
      <c r="AQ132" s="98">
        <f t="shared" si="67"/>
        <v>5.8500000000000002E-3</v>
      </c>
      <c r="AR132" s="97">
        <f t="shared" si="68"/>
        <v>1.6755176906294416</v>
      </c>
      <c r="AS132" s="96">
        <f t="shared" si="69"/>
        <v>8.3333333333333339</v>
      </c>
      <c r="AT132" s="98">
        <f t="shared" si="70"/>
        <v>83.259640026432749</v>
      </c>
    </row>
    <row r="133" spans="17:46" x14ac:dyDescent="0.3">
      <c r="Q133" s="32">
        <v>126</v>
      </c>
      <c r="R133" s="97">
        <f t="shared" si="43"/>
        <v>10</v>
      </c>
      <c r="S133" s="96">
        <f t="shared" si="71"/>
        <v>0.84000000000000008</v>
      </c>
      <c r="T133" s="96">
        <f t="shared" si="45"/>
        <v>13</v>
      </c>
      <c r="U133" s="98">
        <f t="shared" si="72"/>
        <v>0.64615384615384619</v>
      </c>
      <c r="V133" s="97">
        <f t="shared" si="73"/>
        <v>2</v>
      </c>
      <c r="W133" s="96">
        <f t="shared" si="74"/>
        <v>0.43478260869565216</v>
      </c>
      <c r="X133" s="98">
        <f t="shared" si="75"/>
        <v>0.56521739130434789</v>
      </c>
      <c r="Y133" s="97">
        <f t="shared" si="55"/>
        <v>0.85638998682476952</v>
      </c>
      <c r="Z133" s="96">
        <f t="shared" si="56"/>
        <v>2.3425438329786159</v>
      </c>
      <c r="AA133" s="96">
        <f t="shared" si="57"/>
        <v>0.69183218848736661</v>
      </c>
      <c r="AB133" s="96">
        <v>0</v>
      </c>
      <c r="AC133" s="96">
        <f t="shared" si="58"/>
        <v>4.7863177702721915E-3</v>
      </c>
      <c r="AD133" s="98">
        <f t="shared" si="59"/>
        <v>4.7863177702721915E-3</v>
      </c>
      <c r="AE133" s="97">
        <f t="shared" si="60"/>
        <v>0.23598662207357865</v>
      </c>
      <c r="AF133" s="96">
        <f t="shared" si="61"/>
        <v>0.69183218848736661</v>
      </c>
      <c r="AG133" s="96">
        <f t="shared" si="76"/>
        <v>2.1538429966224864E-3</v>
      </c>
      <c r="AH133" s="96">
        <f t="shared" si="77"/>
        <v>0.37090910839634461</v>
      </c>
      <c r="AI133" s="98">
        <f t="shared" si="62"/>
        <v>0.37306295139296708</v>
      </c>
      <c r="AJ133" s="97">
        <f t="shared" si="63"/>
        <v>0.84000000000000008</v>
      </c>
      <c r="AK133" s="96">
        <f t="shared" si="64"/>
        <v>1.4511768841304218</v>
      </c>
      <c r="AL133" s="96">
        <f t="shared" si="65"/>
        <v>0.58799999999999997</v>
      </c>
      <c r="AM133" s="96">
        <f t="shared" si="78"/>
        <v>0.47399999999999998</v>
      </c>
      <c r="AN133" s="98">
        <f t="shared" si="66"/>
        <v>1.0619999999999998</v>
      </c>
      <c r="AO133" s="97">
        <f t="shared" si="79"/>
        <v>1.2923057979734916E-2</v>
      </c>
      <c r="AP133" s="96">
        <f t="shared" si="54"/>
        <v>0.22950000000000001</v>
      </c>
      <c r="AQ133" s="98">
        <f t="shared" si="67"/>
        <v>5.8500000000000002E-3</v>
      </c>
      <c r="AR133" s="97">
        <f t="shared" si="68"/>
        <v>1.6833360093727017</v>
      </c>
      <c r="AS133" s="96">
        <f t="shared" si="69"/>
        <v>8.4</v>
      </c>
      <c r="AT133" s="98">
        <f t="shared" si="70"/>
        <v>83.305763015256048</v>
      </c>
    </row>
    <row r="134" spans="17:46" x14ac:dyDescent="0.3">
      <c r="Q134" s="32">
        <v>127</v>
      </c>
      <c r="R134" s="97">
        <f t="shared" si="43"/>
        <v>10</v>
      </c>
      <c r="S134" s="96">
        <f t="shared" si="71"/>
        <v>0.84666666666666668</v>
      </c>
      <c r="T134" s="96">
        <f t="shared" si="45"/>
        <v>13</v>
      </c>
      <c r="U134" s="98">
        <f t="shared" si="72"/>
        <v>0.6512820512820513</v>
      </c>
      <c r="V134" s="97">
        <f t="shared" si="73"/>
        <v>2</v>
      </c>
      <c r="W134" s="96">
        <f t="shared" si="74"/>
        <v>0.43478260869565216</v>
      </c>
      <c r="X134" s="98">
        <f t="shared" si="75"/>
        <v>0.56521739130434789</v>
      </c>
      <c r="Y134" s="97">
        <f t="shared" si="55"/>
        <v>0.85638998682476952</v>
      </c>
      <c r="Z134" s="96">
        <f t="shared" si="56"/>
        <v>2.3543387047734874</v>
      </c>
      <c r="AA134" s="96">
        <f t="shared" si="57"/>
        <v>0.69662421322400736</v>
      </c>
      <c r="AB134" s="96">
        <v>0</v>
      </c>
      <c r="AC134" s="96">
        <f t="shared" si="58"/>
        <v>4.8528529444996724E-3</v>
      </c>
      <c r="AD134" s="98">
        <f t="shared" si="59"/>
        <v>4.8528529444996724E-3</v>
      </c>
      <c r="AE134" s="97">
        <f t="shared" si="60"/>
        <v>0.23974730583426238</v>
      </c>
      <c r="AF134" s="96">
        <f t="shared" si="61"/>
        <v>0.69662421322400736</v>
      </c>
      <c r="AG134" s="96">
        <f t="shared" si="76"/>
        <v>2.183783825024853E-3</v>
      </c>
      <c r="AH134" s="96">
        <f t="shared" si="77"/>
        <v>0.37385283147885523</v>
      </c>
      <c r="AI134" s="98">
        <f t="shared" si="62"/>
        <v>0.37603661530388011</v>
      </c>
      <c r="AJ134" s="97">
        <f t="shared" si="63"/>
        <v>0.84666666666666668</v>
      </c>
      <c r="AK134" s="96">
        <f t="shared" si="64"/>
        <v>1.4599717917505555</v>
      </c>
      <c r="AL134" s="96">
        <f t="shared" si="65"/>
        <v>0.59266666666666667</v>
      </c>
      <c r="AM134" s="96">
        <f t="shared" si="78"/>
        <v>0.47399999999999998</v>
      </c>
      <c r="AN134" s="98">
        <f t="shared" si="66"/>
        <v>1.0666666666666667</v>
      </c>
      <c r="AO134" s="97">
        <f t="shared" si="79"/>
        <v>1.3102702950149116E-2</v>
      </c>
      <c r="AP134" s="96">
        <f t="shared" si="54"/>
        <v>0.22950000000000001</v>
      </c>
      <c r="AQ134" s="98">
        <f t="shared" si="67"/>
        <v>5.8500000000000002E-3</v>
      </c>
      <c r="AR134" s="97">
        <f t="shared" si="68"/>
        <v>1.6911559849206959</v>
      </c>
      <c r="AS134" s="96">
        <f t="shared" si="69"/>
        <v>8.4666666666666668</v>
      </c>
      <c r="AT134" s="98">
        <f t="shared" si="70"/>
        <v>83.351195990250744</v>
      </c>
    </row>
    <row r="135" spans="17:46" x14ac:dyDescent="0.3">
      <c r="Q135" s="32">
        <v>128</v>
      </c>
      <c r="R135" s="97">
        <f t="shared" ref="R135:R157" si="80">VOUT</f>
        <v>10</v>
      </c>
      <c r="S135" s="96">
        <f t="shared" ref="S135:S157" si="81">Q135*$O$12</f>
        <v>0.85333333333333339</v>
      </c>
      <c r="T135" s="96">
        <f t="shared" ref="T135:T157" si="82">VIN_var</f>
        <v>13</v>
      </c>
      <c r="U135" s="98">
        <f t="shared" ref="U135:U157" si="83">(R135*S135)/(T135*EFF_est)</f>
        <v>0.65641025641025641</v>
      </c>
      <c r="V135" s="97">
        <f t="shared" ref="V135:V157" si="84">IF(S135&lt;((T135^2)*R135)/(2*Fsw*Lm*((T135+R135)^2)),1,2)</f>
        <v>2</v>
      </c>
      <c r="W135" s="96">
        <f t="shared" ref="W135:W157" si="85">CHOOSE(V135,SQRT(2*Lm*R135*S135*Fsw)/T135,R135/(T135+R135))</f>
        <v>0.43478260869565216</v>
      </c>
      <c r="X135" s="98">
        <f t="shared" ref="X135:X157" si="86">CHOOSE(V135,(Lm*Z135*Fsw)/(R135),1-W135)</f>
        <v>0.56521739130434789</v>
      </c>
      <c r="Y135" s="97">
        <f t="shared" si="55"/>
        <v>0.85638998682476952</v>
      </c>
      <c r="Z135" s="96">
        <f t="shared" si="56"/>
        <v>2.3661335765683593</v>
      </c>
      <c r="AA135" s="96">
        <f t="shared" si="57"/>
        <v>0.7014209925917454</v>
      </c>
      <c r="AB135" s="96">
        <v>0</v>
      </c>
      <c r="AC135" s="96">
        <f t="shared" si="58"/>
        <v>4.919914088483893E-3</v>
      </c>
      <c r="AD135" s="98">
        <f t="shared" si="59"/>
        <v>4.919914088483893E-3</v>
      </c>
      <c r="AE135" s="97">
        <f t="shared" si="60"/>
        <v>0.24353771832032703</v>
      </c>
      <c r="AF135" s="96">
        <f t="shared" si="61"/>
        <v>0.7014209925917454</v>
      </c>
      <c r="AG135" s="96">
        <f t="shared" ref="AG135:AG157" si="87">(AF135^2)*RDS_on</f>
        <v>2.213961339817752E-3</v>
      </c>
      <c r="AH135" s="96">
        <f t="shared" ref="AH135:AH157" si="88">(((R135+T135)*(U135+S135))/2)*Fsw*(tr_sw+tf_sw)</f>
        <v>0.37679655456136596</v>
      </c>
      <c r="AI135" s="98">
        <f t="shared" si="62"/>
        <v>0.37901051590118373</v>
      </c>
      <c r="AJ135" s="97">
        <f t="shared" si="63"/>
        <v>0.85333333333333339</v>
      </c>
      <c r="AK135" s="96">
        <f t="shared" si="64"/>
        <v>1.4687675722650748</v>
      </c>
      <c r="AL135" s="96">
        <f t="shared" si="65"/>
        <v>0.59733333333333338</v>
      </c>
      <c r="AM135" s="96">
        <f t="shared" ref="AM135:AM157" si="89">(R135+T135+Vd_rect)*Qrr*Fsw</f>
        <v>0.47399999999999998</v>
      </c>
      <c r="AN135" s="98">
        <f t="shared" si="66"/>
        <v>1.0713333333333335</v>
      </c>
      <c r="AO135" s="97">
        <f t="shared" ref="AO135:AO157" si="90">(AF135^2)*R_cs</f>
        <v>1.3283768038906511E-2</v>
      </c>
      <c r="AP135" s="96">
        <f t="shared" ref="AP135:AP157" si="91">Qg_tot*Vcc*Fsw</f>
        <v>0.22950000000000001</v>
      </c>
      <c r="AQ135" s="98">
        <f t="shared" si="67"/>
        <v>5.8500000000000002E-3</v>
      </c>
      <c r="AR135" s="97">
        <f t="shared" si="68"/>
        <v>1.6989776172734237</v>
      </c>
      <c r="AS135" s="96">
        <f t="shared" si="69"/>
        <v>8.5333333333333332</v>
      </c>
      <c r="AT135" s="98">
        <f t="shared" si="70"/>
        <v>83.395953998322568</v>
      </c>
    </row>
    <row r="136" spans="17:46" x14ac:dyDescent="0.3">
      <c r="Q136" s="32">
        <v>129</v>
      </c>
      <c r="R136" s="97">
        <f t="shared" si="80"/>
        <v>10</v>
      </c>
      <c r="S136" s="96">
        <f t="shared" si="81"/>
        <v>0.8600000000000001</v>
      </c>
      <c r="T136" s="96">
        <f t="shared" si="82"/>
        <v>13</v>
      </c>
      <c r="U136" s="98">
        <f t="shared" si="83"/>
        <v>0.66153846153846163</v>
      </c>
      <c r="V136" s="97">
        <f t="shared" si="84"/>
        <v>2</v>
      </c>
      <c r="W136" s="96">
        <f t="shared" si="85"/>
        <v>0.43478260869565216</v>
      </c>
      <c r="X136" s="98">
        <f t="shared" si="86"/>
        <v>0.56521739130434789</v>
      </c>
      <c r="Y136" s="97">
        <f t="shared" ref="Y136:Y157" si="92">(T136*W136)/(Lm*Fsw)</f>
        <v>0.85638998682476952</v>
      </c>
      <c r="Z136" s="96">
        <f t="shared" ref="Z136:Z157" si="93">CHOOSE(V136,Y136,U136+S136+(Y136))</f>
        <v>2.3779284483632313</v>
      </c>
      <c r="AA136" s="96">
        <f t="shared" ref="AA136:AA157" si="94">CHOOSE(V136,Z136*SQRT((W136+X136)/3),SQRT((U136^2)+((Y136^2)/12)))</f>
        <v>0.70622242970786864</v>
      </c>
      <c r="AB136" s="96">
        <v>0</v>
      </c>
      <c r="AC136" s="96">
        <f t="shared" ref="AC136:AC157" si="95">(AA136^2)*Rdcr</f>
        <v>4.9875012022248541E-3</v>
      </c>
      <c r="AD136" s="98">
        <f t="shared" ref="AD136:AD157" si="96">AB136+AC136</f>
        <v>4.9875012022248541E-3</v>
      </c>
      <c r="AE136" s="97">
        <f t="shared" ref="AE136:AE157" si="97">U136*S136*W136</f>
        <v>0.24735785953177264</v>
      </c>
      <c r="AF136" s="96">
        <f t="shared" ref="AF136:AF157" si="98">AA136</f>
        <v>0.70622242970786864</v>
      </c>
      <c r="AG136" s="96">
        <f t="shared" si="87"/>
        <v>2.2443755410011847E-3</v>
      </c>
      <c r="AH136" s="96">
        <f t="shared" si="88"/>
        <v>0.37974027764387669</v>
      </c>
      <c r="AI136" s="98">
        <f t="shared" ref="AI136:AI157" si="99">AG136+AH136</f>
        <v>0.3819846531848779</v>
      </c>
      <c r="AJ136" s="97">
        <f t="shared" ref="AJ136:AJ157" si="100">S136</f>
        <v>0.8600000000000001</v>
      </c>
      <c r="AK136" s="96">
        <f t="shared" ref="AK136:AK157" si="101">CHOOSE(V136,Z136*SQRT(X136/3),SQRT(X136*((Z136^2)+((Y136^2)/3)-(Y136*Z136))))</f>
        <v>1.4775642100852406</v>
      </c>
      <c r="AL136" s="96">
        <f t="shared" ref="AL136:AL157" si="102">S136*Vd_rect</f>
        <v>0.60199999999999998</v>
      </c>
      <c r="AM136" s="96">
        <f t="shared" si="89"/>
        <v>0.47399999999999998</v>
      </c>
      <c r="AN136" s="98">
        <f t="shared" ref="AN136:AN157" si="103">AL136+AM136</f>
        <v>1.0760000000000001</v>
      </c>
      <c r="AO136" s="97">
        <f t="shared" si="90"/>
        <v>1.3466253246007106E-2</v>
      </c>
      <c r="AP136" s="96">
        <f t="shared" si="91"/>
        <v>0.22950000000000001</v>
      </c>
      <c r="AQ136" s="98">
        <f t="shared" ref="AQ136:AQ157" si="104">IQ*T136</f>
        <v>5.8500000000000002E-3</v>
      </c>
      <c r="AR136" s="97">
        <f t="shared" ref="AR136:AR157" si="105">AO136+AN136+AI136+AP136+AQ136</f>
        <v>1.7068009064308849</v>
      </c>
      <c r="AS136" s="96">
        <f t="shared" ref="AS136:AS157" si="106">R136*S136</f>
        <v>8.6000000000000014</v>
      </c>
      <c r="AT136" s="98">
        <f t="shared" ref="AT136:AT157" si="107">(AS136/(AS136+AR136))*100</f>
        <v>83.440051652051082</v>
      </c>
    </row>
    <row r="137" spans="17:46" x14ac:dyDescent="0.3">
      <c r="Q137" s="32">
        <v>130</v>
      </c>
      <c r="R137" s="97">
        <f t="shared" si="80"/>
        <v>10</v>
      </c>
      <c r="S137" s="96">
        <f t="shared" si="81"/>
        <v>0.8666666666666667</v>
      </c>
      <c r="T137" s="96">
        <f t="shared" si="82"/>
        <v>13</v>
      </c>
      <c r="U137" s="98">
        <f t="shared" si="83"/>
        <v>0.66666666666666674</v>
      </c>
      <c r="V137" s="97">
        <f t="shared" si="84"/>
        <v>2</v>
      </c>
      <c r="W137" s="96">
        <f t="shared" si="85"/>
        <v>0.43478260869565216</v>
      </c>
      <c r="X137" s="98">
        <f t="shared" si="86"/>
        <v>0.56521739130434789</v>
      </c>
      <c r="Y137" s="97">
        <f t="shared" si="92"/>
        <v>0.85638998682476952</v>
      </c>
      <c r="Z137" s="96">
        <f t="shared" si="93"/>
        <v>2.3897233201581027</v>
      </c>
      <c r="AA137" s="96">
        <f t="shared" si="94"/>
        <v>0.71102843021376805</v>
      </c>
      <c r="AB137" s="96">
        <v>0</v>
      </c>
      <c r="AC137" s="96">
        <f t="shared" si="95"/>
        <v>5.0556142857225515E-3</v>
      </c>
      <c r="AD137" s="98">
        <f t="shared" si="96"/>
        <v>5.0556142857225515E-3</v>
      </c>
      <c r="AE137" s="97">
        <f t="shared" si="97"/>
        <v>0.25120772946859904</v>
      </c>
      <c r="AF137" s="96">
        <f t="shared" si="98"/>
        <v>0.71102843021376805</v>
      </c>
      <c r="AG137" s="96">
        <f t="shared" si="87"/>
        <v>2.2750264285751483E-3</v>
      </c>
      <c r="AH137" s="96">
        <f t="shared" si="88"/>
        <v>0.3826840007263872</v>
      </c>
      <c r="AI137" s="98">
        <f t="shared" si="99"/>
        <v>0.38495902715496233</v>
      </c>
      <c r="AJ137" s="97">
        <f t="shared" si="100"/>
        <v>0.8666666666666667</v>
      </c>
      <c r="AK137" s="96">
        <f t="shared" si="101"/>
        <v>1.4863616899898437</v>
      </c>
      <c r="AL137" s="96">
        <f t="shared" si="102"/>
        <v>0.60666666666666669</v>
      </c>
      <c r="AM137" s="96">
        <f t="shared" si="89"/>
        <v>0.47399999999999998</v>
      </c>
      <c r="AN137" s="98">
        <f t="shared" si="103"/>
        <v>1.0806666666666667</v>
      </c>
      <c r="AO137" s="97">
        <f t="shared" si="90"/>
        <v>1.3650158571450889E-2</v>
      </c>
      <c r="AP137" s="96">
        <f t="shared" si="91"/>
        <v>0.22950000000000001</v>
      </c>
      <c r="AQ137" s="98">
        <f t="shared" si="104"/>
        <v>5.8500000000000002E-3</v>
      </c>
      <c r="AR137" s="97">
        <f t="shared" si="105"/>
        <v>1.7146258523930797</v>
      </c>
      <c r="AS137" s="96">
        <f t="shared" si="106"/>
        <v>8.6666666666666679</v>
      </c>
      <c r="AT137" s="98">
        <f t="shared" si="107"/>
        <v>83.483503145248264</v>
      </c>
    </row>
    <row r="138" spans="17:46" x14ac:dyDescent="0.3">
      <c r="Q138" s="32">
        <v>131</v>
      </c>
      <c r="R138" s="97">
        <f t="shared" si="80"/>
        <v>10</v>
      </c>
      <c r="S138" s="96">
        <f t="shared" si="81"/>
        <v>0.87333333333333341</v>
      </c>
      <c r="T138" s="96">
        <f t="shared" si="82"/>
        <v>13</v>
      </c>
      <c r="U138" s="98">
        <f t="shared" si="83"/>
        <v>0.67179487179487185</v>
      </c>
      <c r="V138" s="97">
        <f t="shared" si="84"/>
        <v>2</v>
      </c>
      <c r="W138" s="96">
        <f t="shared" si="85"/>
        <v>0.43478260869565216</v>
      </c>
      <c r="X138" s="98">
        <f t="shared" si="86"/>
        <v>0.56521739130434789</v>
      </c>
      <c r="Y138" s="97">
        <f t="shared" si="92"/>
        <v>0.85638998682476952</v>
      </c>
      <c r="Z138" s="96">
        <f t="shared" si="93"/>
        <v>2.4015181919529747</v>
      </c>
      <c r="AA138" s="96">
        <f t="shared" si="94"/>
        <v>0.71583890219636648</v>
      </c>
      <c r="AB138" s="96">
        <v>0</v>
      </c>
      <c r="AC138" s="96">
        <f t="shared" si="95"/>
        <v>5.1242533389769919E-3</v>
      </c>
      <c r="AD138" s="98">
        <f t="shared" si="96"/>
        <v>5.1242533389769919E-3</v>
      </c>
      <c r="AE138" s="97">
        <f t="shared" si="97"/>
        <v>0.25508732813080642</v>
      </c>
      <c r="AF138" s="96">
        <f t="shared" si="98"/>
        <v>0.71583890219636648</v>
      </c>
      <c r="AG138" s="96">
        <f t="shared" si="87"/>
        <v>2.3059140025396465E-3</v>
      </c>
      <c r="AH138" s="96">
        <f t="shared" si="88"/>
        <v>0.38562772380889787</v>
      </c>
      <c r="AI138" s="98">
        <f t="shared" si="99"/>
        <v>0.38793363781143753</v>
      </c>
      <c r="AJ138" s="97">
        <f t="shared" si="100"/>
        <v>0.87333333333333341</v>
      </c>
      <c r="AK138" s="96">
        <f t="shared" si="101"/>
        <v>1.4951599971144804</v>
      </c>
      <c r="AL138" s="96">
        <f t="shared" si="102"/>
        <v>0.6113333333333334</v>
      </c>
      <c r="AM138" s="96">
        <f t="shared" si="89"/>
        <v>0.47399999999999998</v>
      </c>
      <c r="AN138" s="98">
        <f t="shared" si="103"/>
        <v>1.0853333333333333</v>
      </c>
      <c r="AO138" s="97">
        <f t="shared" si="90"/>
        <v>1.3835484015237877E-2</v>
      </c>
      <c r="AP138" s="96">
        <f t="shared" si="91"/>
        <v>0.22950000000000001</v>
      </c>
      <c r="AQ138" s="98">
        <f t="shared" si="104"/>
        <v>5.8500000000000002E-3</v>
      </c>
      <c r="AR138" s="97">
        <f t="shared" si="105"/>
        <v>1.7224524551600087</v>
      </c>
      <c r="AS138" s="96">
        <f t="shared" si="106"/>
        <v>8.7333333333333343</v>
      </c>
      <c r="AT138" s="98">
        <f t="shared" si="107"/>
        <v>83.526322267853104</v>
      </c>
    </row>
    <row r="139" spans="17:46" x14ac:dyDescent="0.3">
      <c r="Q139" s="32">
        <v>132</v>
      </c>
      <c r="R139" s="97">
        <f t="shared" si="80"/>
        <v>10</v>
      </c>
      <c r="S139" s="96">
        <f t="shared" si="81"/>
        <v>0.88</v>
      </c>
      <c r="T139" s="96">
        <f t="shared" si="82"/>
        <v>13</v>
      </c>
      <c r="U139" s="98">
        <f t="shared" si="83"/>
        <v>0.67692307692307696</v>
      </c>
      <c r="V139" s="97">
        <f t="shared" si="84"/>
        <v>2</v>
      </c>
      <c r="W139" s="96">
        <f t="shared" si="85"/>
        <v>0.43478260869565216</v>
      </c>
      <c r="X139" s="98">
        <f t="shared" si="86"/>
        <v>0.56521739130434789</v>
      </c>
      <c r="Y139" s="97">
        <f t="shared" si="92"/>
        <v>0.85638998682476952</v>
      </c>
      <c r="Z139" s="96">
        <f t="shared" si="93"/>
        <v>2.4133130637478466</v>
      </c>
      <c r="AA139" s="96">
        <f t="shared" si="94"/>
        <v>0.72065375611233495</v>
      </c>
      <c r="AB139" s="96">
        <v>0</v>
      </c>
      <c r="AC139" s="96">
        <f t="shared" si="95"/>
        <v>5.1934183619881677E-3</v>
      </c>
      <c r="AD139" s="98">
        <f t="shared" si="96"/>
        <v>5.1934183619881677E-3</v>
      </c>
      <c r="AE139" s="97">
        <f t="shared" si="97"/>
        <v>0.25899665551839468</v>
      </c>
      <c r="AF139" s="96">
        <f t="shared" si="98"/>
        <v>0.72065375611233495</v>
      </c>
      <c r="AG139" s="96">
        <f t="shared" si="87"/>
        <v>2.3370382628946757E-3</v>
      </c>
      <c r="AH139" s="96">
        <f t="shared" si="88"/>
        <v>0.38857144689140866</v>
      </c>
      <c r="AI139" s="98">
        <f t="shared" si="99"/>
        <v>0.39090848515430332</v>
      </c>
      <c r="AJ139" s="97">
        <f t="shared" si="100"/>
        <v>0.88</v>
      </c>
      <c r="AK139" s="96">
        <f t="shared" si="101"/>
        <v>1.5039591169411977</v>
      </c>
      <c r="AL139" s="96">
        <f t="shared" si="102"/>
        <v>0.61599999999999999</v>
      </c>
      <c r="AM139" s="96">
        <f t="shared" si="89"/>
        <v>0.47399999999999998</v>
      </c>
      <c r="AN139" s="98">
        <f t="shared" si="103"/>
        <v>1.0899999999999999</v>
      </c>
      <c r="AO139" s="97">
        <f t="shared" si="90"/>
        <v>1.4022229577368053E-2</v>
      </c>
      <c r="AP139" s="96">
        <f t="shared" si="91"/>
        <v>0.22950000000000001</v>
      </c>
      <c r="AQ139" s="98">
        <f t="shared" si="104"/>
        <v>5.8500000000000002E-3</v>
      </c>
      <c r="AR139" s="97">
        <f t="shared" si="105"/>
        <v>1.7302807147316712</v>
      </c>
      <c r="AS139" s="96">
        <f t="shared" si="106"/>
        <v>8.8000000000000007</v>
      </c>
      <c r="AT139" s="98">
        <f t="shared" si="107"/>
        <v>83.568522420194938</v>
      </c>
    </row>
    <row r="140" spans="17:46" x14ac:dyDescent="0.3">
      <c r="Q140" s="32">
        <v>133</v>
      </c>
      <c r="R140" s="97">
        <f t="shared" si="80"/>
        <v>10</v>
      </c>
      <c r="S140" s="96">
        <f t="shared" si="81"/>
        <v>0.88666666666666671</v>
      </c>
      <c r="T140" s="96">
        <f t="shared" si="82"/>
        <v>13</v>
      </c>
      <c r="U140" s="98">
        <f t="shared" si="83"/>
        <v>0.68205128205128207</v>
      </c>
      <c r="V140" s="97">
        <f t="shared" si="84"/>
        <v>2</v>
      </c>
      <c r="W140" s="96">
        <f t="shared" si="85"/>
        <v>0.43478260869565216</v>
      </c>
      <c r="X140" s="98">
        <f t="shared" si="86"/>
        <v>0.56521739130434789</v>
      </c>
      <c r="Y140" s="97">
        <f t="shared" si="92"/>
        <v>0.85638998682476952</v>
      </c>
      <c r="Z140" s="96">
        <f t="shared" si="93"/>
        <v>2.4251079355427185</v>
      </c>
      <c r="AA140" s="96">
        <f t="shared" si="94"/>
        <v>0.72547290471499226</v>
      </c>
      <c r="AB140" s="96">
        <v>0</v>
      </c>
      <c r="AC140" s="96">
        <f t="shared" si="95"/>
        <v>5.2631093547560823E-3</v>
      </c>
      <c r="AD140" s="98">
        <f t="shared" si="96"/>
        <v>5.2631093547560823E-3</v>
      </c>
      <c r="AE140" s="97">
        <f t="shared" si="97"/>
        <v>0.26293571163136381</v>
      </c>
      <c r="AF140" s="96">
        <f t="shared" si="98"/>
        <v>0.72547290471499226</v>
      </c>
      <c r="AG140" s="96">
        <f t="shared" si="87"/>
        <v>2.3683992096402372E-3</v>
      </c>
      <c r="AH140" s="96">
        <f t="shared" si="88"/>
        <v>0.39151516997391927</v>
      </c>
      <c r="AI140" s="98">
        <f t="shared" si="99"/>
        <v>0.39388356918355949</v>
      </c>
      <c r="AJ140" s="97">
        <f t="shared" si="100"/>
        <v>0.88666666666666671</v>
      </c>
      <c r="AK140" s="96">
        <f t="shared" si="101"/>
        <v>1.5127590352884979</v>
      </c>
      <c r="AL140" s="96">
        <f t="shared" si="102"/>
        <v>0.6206666666666667</v>
      </c>
      <c r="AM140" s="96">
        <f t="shared" si="89"/>
        <v>0.47399999999999998</v>
      </c>
      <c r="AN140" s="98">
        <f t="shared" si="103"/>
        <v>1.0946666666666667</v>
      </c>
      <c r="AO140" s="97">
        <f t="shared" si="90"/>
        <v>1.4210395257841422E-2</v>
      </c>
      <c r="AP140" s="96">
        <f t="shared" si="91"/>
        <v>0.22950000000000001</v>
      </c>
      <c r="AQ140" s="98">
        <f t="shared" si="104"/>
        <v>5.8500000000000002E-3</v>
      </c>
      <c r="AR140" s="97">
        <f t="shared" si="105"/>
        <v>1.7381106311080674</v>
      </c>
      <c r="AS140" s="96">
        <f t="shared" si="106"/>
        <v>8.8666666666666671</v>
      </c>
      <c r="AT140" s="98">
        <f t="shared" si="107"/>
        <v>83.610116626656676</v>
      </c>
    </row>
    <row r="141" spans="17:46" x14ac:dyDescent="0.3">
      <c r="Q141" s="32">
        <v>134</v>
      </c>
      <c r="R141" s="97">
        <f t="shared" si="80"/>
        <v>10</v>
      </c>
      <c r="S141" s="96">
        <f t="shared" si="81"/>
        <v>0.89333333333333342</v>
      </c>
      <c r="T141" s="96">
        <f t="shared" si="82"/>
        <v>13</v>
      </c>
      <c r="U141" s="98">
        <f t="shared" si="83"/>
        <v>0.68717948717948718</v>
      </c>
      <c r="V141" s="97">
        <f t="shared" si="84"/>
        <v>2</v>
      </c>
      <c r="W141" s="96">
        <f t="shared" si="85"/>
        <v>0.43478260869565216</v>
      </c>
      <c r="X141" s="98">
        <f t="shared" si="86"/>
        <v>0.56521739130434789</v>
      </c>
      <c r="Y141" s="97">
        <f t="shared" si="92"/>
        <v>0.85638998682476952</v>
      </c>
      <c r="Z141" s="96">
        <f t="shared" si="93"/>
        <v>2.43690280733759</v>
      </c>
      <c r="AA141" s="96">
        <f t="shared" si="94"/>
        <v>0.73029626298377959</v>
      </c>
      <c r="AB141" s="96">
        <v>0</v>
      </c>
      <c r="AC141" s="96">
        <f t="shared" si="95"/>
        <v>5.3333263172807375E-3</v>
      </c>
      <c r="AD141" s="98">
        <f t="shared" si="96"/>
        <v>5.3333263172807375E-3</v>
      </c>
      <c r="AE141" s="97">
        <f t="shared" si="97"/>
        <v>0.26690449646971387</v>
      </c>
      <c r="AF141" s="96">
        <f t="shared" si="98"/>
        <v>0.73029626298377959</v>
      </c>
      <c r="AG141" s="96">
        <f t="shared" si="87"/>
        <v>2.3999968427763324E-3</v>
      </c>
      <c r="AH141" s="96">
        <f t="shared" si="88"/>
        <v>0.39445889305642995</v>
      </c>
      <c r="AI141" s="98">
        <f t="shared" si="99"/>
        <v>0.39685888989920626</v>
      </c>
      <c r="AJ141" s="97">
        <f t="shared" si="100"/>
        <v>0.89333333333333342</v>
      </c>
      <c r="AK141" s="96">
        <f t="shared" si="101"/>
        <v>1.5215597383016839</v>
      </c>
      <c r="AL141" s="96">
        <f t="shared" si="102"/>
        <v>0.62533333333333341</v>
      </c>
      <c r="AM141" s="96">
        <f t="shared" si="89"/>
        <v>0.47399999999999998</v>
      </c>
      <c r="AN141" s="98">
        <f t="shared" si="103"/>
        <v>1.0993333333333335</v>
      </c>
      <c r="AO141" s="97">
        <f t="shared" si="90"/>
        <v>1.4399981056657992E-2</v>
      </c>
      <c r="AP141" s="96">
        <f t="shared" si="91"/>
        <v>0.22950000000000001</v>
      </c>
      <c r="AQ141" s="98">
        <f t="shared" si="104"/>
        <v>5.8500000000000002E-3</v>
      </c>
      <c r="AR141" s="97">
        <f t="shared" si="105"/>
        <v>1.7459422042891977</v>
      </c>
      <c r="AS141" s="96">
        <f t="shared" si="106"/>
        <v>8.9333333333333336</v>
      </c>
      <c r="AT141" s="98">
        <f t="shared" si="107"/>
        <v>83.651117548766905</v>
      </c>
    </row>
    <row r="142" spans="17:46" x14ac:dyDescent="0.3">
      <c r="Q142" s="32">
        <v>135</v>
      </c>
      <c r="R142" s="97">
        <f t="shared" si="80"/>
        <v>10</v>
      </c>
      <c r="S142" s="96">
        <f t="shared" si="81"/>
        <v>0.9</v>
      </c>
      <c r="T142" s="96">
        <f t="shared" si="82"/>
        <v>13</v>
      </c>
      <c r="U142" s="98">
        <f t="shared" si="83"/>
        <v>0.69230769230769229</v>
      </c>
      <c r="V142" s="97">
        <f t="shared" si="84"/>
        <v>2</v>
      </c>
      <c r="W142" s="96">
        <f t="shared" si="85"/>
        <v>0.43478260869565216</v>
      </c>
      <c r="X142" s="98">
        <f t="shared" si="86"/>
        <v>0.56521739130434789</v>
      </c>
      <c r="Y142" s="97">
        <f t="shared" si="92"/>
        <v>0.85638998682476952</v>
      </c>
      <c r="Z142" s="96">
        <f t="shared" si="93"/>
        <v>2.4486976791324619</v>
      </c>
      <c r="AA142" s="96">
        <f t="shared" si="94"/>
        <v>0.73512374805621206</v>
      </c>
      <c r="AB142" s="96">
        <v>0</v>
      </c>
      <c r="AC142" s="96">
        <f t="shared" si="95"/>
        <v>5.4040692495621314E-3</v>
      </c>
      <c r="AD142" s="98">
        <f t="shared" si="96"/>
        <v>5.4040692495621314E-3</v>
      </c>
      <c r="AE142" s="97">
        <f t="shared" si="97"/>
        <v>0.2709030100334448</v>
      </c>
      <c r="AF142" s="96">
        <f t="shared" si="98"/>
        <v>0.73512374805621206</v>
      </c>
      <c r="AG142" s="96">
        <f t="shared" si="87"/>
        <v>2.4318311623029595E-3</v>
      </c>
      <c r="AH142" s="96">
        <f t="shared" si="88"/>
        <v>0.39740261613894057</v>
      </c>
      <c r="AI142" s="98">
        <f t="shared" si="99"/>
        <v>0.39983444730124351</v>
      </c>
      <c r="AJ142" s="97">
        <f t="shared" si="100"/>
        <v>0.9</v>
      </c>
      <c r="AK142" s="96">
        <f t="shared" si="101"/>
        <v>1.5303612124435388</v>
      </c>
      <c r="AL142" s="96">
        <f t="shared" si="102"/>
        <v>0.63</v>
      </c>
      <c r="AM142" s="96">
        <f t="shared" si="89"/>
        <v>0.47399999999999998</v>
      </c>
      <c r="AN142" s="98">
        <f t="shared" si="103"/>
        <v>1.1040000000000001</v>
      </c>
      <c r="AO142" s="97">
        <f t="shared" si="90"/>
        <v>1.4590986973817754E-2</v>
      </c>
      <c r="AP142" s="96">
        <f t="shared" si="91"/>
        <v>0.22950000000000001</v>
      </c>
      <c r="AQ142" s="98">
        <f t="shared" si="104"/>
        <v>5.8500000000000002E-3</v>
      </c>
      <c r="AR142" s="97">
        <f t="shared" si="105"/>
        <v>1.7537754342750613</v>
      </c>
      <c r="AS142" s="96">
        <f t="shared" si="106"/>
        <v>9</v>
      </c>
      <c r="AT142" s="98">
        <f t="shared" si="107"/>
        <v>83.691537497748698</v>
      </c>
    </row>
    <row r="143" spans="17:46" x14ac:dyDescent="0.3">
      <c r="Q143" s="32">
        <v>136</v>
      </c>
      <c r="R143" s="97">
        <f t="shared" si="80"/>
        <v>10</v>
      </c>
      <c r="S143" s="96">
        <f t="shared" si="81"/>
        <v>0.90666666666666673</v>
      </c>
      <c r="T143" s="96">
        <f t="shared" si="82"/>
        <v>13</v>
      </c>
      <c r="U143" s="98">
        <f t="shared" si="83"/>
        <v>0.6974358974358974</v>
      </c>
      <c r="V143" s="97">
        <f t="shared" si="84"/>
        <v>2</v>
      </c>
      <c r="W143" s="96">
        <f t="shared" si="85"/>
        <v>0.43478260869565216</v>
      </c>
      <c r="X143" s="98">
        <f t="shared" si="86"/>
        <v>0.56521739130434789</v>
      </c>
      <c r="Y143" s="97">
        <f t="shared" si="92"/>
        <v>0.85638998682476952</v>
      </c>
      <c r="Z143" s="96">
        <f t="shared" si="93"/>
        <v>2.4604925509273334</v>
      </c>
      <c r="AA143" s="96">
        <f t="shared" si="94"/>
        <v>0.73995527916221149</v>
      </c>
      <c r="AB143" s="96">
        <v>0</v>
      </c>
      <c r="AC143" s="96">
        <f t="shared" si="95"/>
        <v>5.4753381516002633E-3</v>
      </c>
      <c r="AD143" s="98">
        <f t="shared" si="96"/>
        <v>5.4753381516002633E-3</v>
      </c>
      <c r="AE143" s="97">
        <f t="shared" si="97"/>
        <v>0.27493125232255666</v>
      </c>
      <c r="AF143" s="96">
        <f t="shared" si="98"/>
        <v>0.73995527916221149</v>
      </c>
      <c r="AG143" s="96">
        <f t="shared" si="87"/>
        <v>2.4639021682201188E-3</v>
      </c>
      <c r="AH143" s="96">
        <f t="shared" si="88"/>
        <v>0.4003463392214513</v>
      </c>
      <c r="AI143" s="98">
        <f t="shared" si="99"/>
        <v>0.40281024138967142</v>
      </c>
      <c r="AJ143" s="97">
        <f t="shared" si="100"/>
        <v>0.90666666666666673</v>
      </c>
      <c r="AK143" s="96">
        <f t="shared" si="101"/>
        <v>1.5391634444853122</v>
      </c>
      <c r="AL143" s="96">
        <f t="shared" si="102"/>
        <v>0.63466666666666671</v>
      </c>
      <c r="AM143" s="96">
        <f t="shared" si="89"/>
        <v>0.47399999999999998</v>
      </c>
      <c r="AN143" s="98">
        <f t="shared" si="103"/>
        <v>1.1086666666666667</v>
      </c>
      <c r="AO143" s="97">
        <f t="shared" si="90"/>
        <v>1.478341300932071E-2</v>
      </c>
      <c r="AP143" s="96">
        <f t="shared" si="91"/>
        <v>0.22950000000000001</v>
      </c>
      <c r="AQ143" s="98">
        <f t="shared" si="104"/>
        <v>5.8500000000000002E-3</v>
      </c>
      <c r="AR143" s="97">
        <f t="shared" si="105"/>
        <v>1.7616103210656588</v>
      </c>
      <c r="AS143" s="96">
        <f t="shared" si="106"/>
        <v>9.0666666666666664</v>
      </c>
      <c r="AT143" s="98">
        <f t="shared" si="107"/>
        <v>83.731388446551207</v>
      </c>
    </row>
    <row r="144" spans="17:46" x14ac:dyDescent="0.3">
      <c r="Q144" s="32">
        <v>137</v>
      </c>
      <c r="R144" s="97">
        <f t="shared" si="80"/>
        <v>10</v>
      </c>
      <c r="S144" s="96">
        <f t="shared" si="81"/>
        <v>0.91333333333333344</v>
      </c>
      <c r="T144" s="96">
        <f t="shared" si="82"/>
        <v>13</v>
      </c>
      <c r="U144" s="98">
        <f t="shared" si="83"/>
        <v>0.70256410256410262</v>
      </c>
      <c r="V144" s="97">
        <f t="shared" si="84"/>
        <v>2</v>
      </c>
      <c r="W144" s="96">
        <f t="shared" si="85"/>
        <v>0.43478260869565216</v>
      </c>
      <c r="X144" s="98">
        <f t="shared" si="86"/>
        <v>0.56521739130434789</v>
      </c>
      <c r="Y144" s="97">
        <f t="shared" si="92"/>
        <v>0.85638998682476952</v>
      </c>
      <c r="Z144" s="96">
        <f t="shared" si="93"/>
        <v>2.4722874227222054</v>
      </c>
      <c r="AA144" s="96">
        <f t="shared" si="94"/>
        <v>0.74479077756072787</v>
      </c>
      <c r="AB144" s="96">
        <v>0</v>
      </c>
      <c r="AC144" s="96">
        <f t="shared" si="95"/>
        <v>5.5471330233951366E-3</v>
      </c>
      <c r="AD144" s="98">
        <f t="shared" si="96"/>
        <v>5.5471330233951366E-3</v>
      </c>
      <c r="AE144" s="97">
        <f t="shared" si="97"/>
        <v>0.27898922333704951</v>
      </c>
      <c r="AF144" s="96">
        <f t="shared" si="98"/>
        <v>0.74479077756072787</v>
      </c>
      <c r="AG144" s="96">
        <f t="shared" si="87"/>
        <v>2.4962098605278119E-3</v>
      </c>
      <c r="AH144" s="96">
        <f t="shared" si="88"/>
        <v>0.40329006230396203</v>
      </c>
      <c r="AI144" s="98">
        <f t="shared" si="99"/>
        <v>0.40578627216448981</v>
      </c>
      <c r="AJ144" s="97">
        <f t="shared" si="100"/>
        <v>0.91333333333333344</v>
      </c>
      <c r="AK144" s="96">
        <f t="shared" si="101"/>
        <v>1.5479664214980211</v>
      </c>
      <c r="AL144" s="96">
        <f t="shared" si="102"/>
        <v>0.63933333333333342</v>
      </c>
      <c r="AM144" s="96">
        <f t="shared" si="89"/>
        <v>0.47399999999999998</v>
      </c>
      <c r="AN144" s="98">
        <f t="shared" si="103"/>
        <v>1.1133333333333333</v>
      </c>
      <c r="AO144" s="97">
        <f t="shared" si="90"/>
        <v>1.4977259163166869E-2</v>
      </c>
      <c r="AP144" s="96">
        <f t="shared" si="91"/>
        <v>0.22950000000000001</v>
      </c>
      <c r="AQ144" s="98">
        <f t="shared" si="104"/>
        <v>5.8500000000000002E-3</v>
      </c>
      <c r="AR144" s="97">
        <f t="shared" si="105"/>
        <v>1.76944686466099</v>
      </c>
      <c r="AS144" s="96">
        <f t="shared" si="106"/>
        <v>9.1333333333333346</v>
      </c>
      <c r="AT144" s="98">
        <f t="shared" si="107"/>
        <v>83.770682041388881</v>
      </c>
    </row>
    <row r="145" spans="17:46" x14ac:dyDescent="0.3">
      <c r="Q145" s="32">
        <v>138</v>
      </c>
      <c r="R145" s="97">
        <f t="shared" si="80"/>
        <v>10</v>
      </c>
      <c r="S145" s="96">
        <f t="shared" si="81"/>
        <v>0.92</v>
      </c>
      <c r="T145" s="96">
        <f t="shared" si="82"/>
        <v>13</v>
      </c>
      <c r="U145" s="98">
        <f t="shared" si="83"/>
        <v>0.70769230769230773</v>
      </c>
      <c r="V145" s="97">
        <f t="shared" si="84"/>
        <v>2</v>
      </c>
      <c r="W145" s="96">
        <f t="shared" si="85"/>
        <v>0.43478260869565216</v>
      </c>
      <c r="X145" s="98">
        <f t="shared" si="86"/>
        <v>0.56521739130434789</v>
      </c>
      <c r="Y145" s="97">
        <f t="shared" si="92"/>
        <v>0.85638998682476952</v>
      </c>
      <c r="Z145" s="96">
        <f t="shared" si="93"/>
        <v>2.4840822945170773</v>
      </c>
      <c r="AA145" s="96">
        <f t="shared" si="94"/>
        <v>0.74963016647856073</v>
      </c>
      <c r="AB145" s="96">
        <v>0</v>
      </c>
      <c r="AC145" s="96">
        <f t="shared" si="95"/>
        <v>5.6194538649467461E-3</v>
      </c>
      <c r="AD145" s="98">
        <f t="shared" si="96"/>
        <v>5.6194538649467461E-3</v>
      </c>
      <c r="AE145" s="97">
        <f t="shared" si="97"/>
        <v>0.28307692307692306</v>
      </c>
      <c r="AF145" s="96">
        <f t="shared" si="98"/>
        <v>0.74963016647856073</v>
      </c>
      <c r="AG145" s="96">
        <f t="shared" si="87"/>
        <v>2.5287542392260359E-3</v>
      </c>
      <c r="AH145" s="96">
        <f t="shared" si="88"/>
        <v>0.40623378538647265</v>
      </c>
      <c r="AI145" s="98">
        <f t="shared" si="99"/>
        <v>0.4087625396256987</v>
      </c>
      <c r="AJ145" s="97">
        <f t="shared" si="100"/>
        <v>0.92</v>
      </c>
      <c r="AK145" s="96">
        <f t="shared" si="101"/>
        <v>1.5567701308440349</v>
      </c>
      <c r="AL145" s="96">
        <f t="shared" si="102"/>
        <v>0.64400000000000002</v>
      </c>
      <c r="AM145" s="96">
        <f t="shared" si="89"/>
        <v>0.47399999999999998</v>
      </c>
      <c r="AN145" s="98">
        <f t="shared" si="103"/>
        <v>1.1179999999999999</v>
      </c>
      <c r="AO145" s="97">
        <f t="shared" si="90"/>
        <v>1.5172525435356216E-2</v>
      </c>
      <c r="AP145" s="96">
        <f t="shared" si="91"/>
        <v>0.22950000000000001</v>
      </c>
      <c r="AQ145" s="98">
        <f t="shared" si="104"/>
        <v>5.8500000000000002E-3</v>
      </c>
      <c r="AR145" s="97">
        <f t="shared" si="105"/>
        <v>1.7772850650610548</v>
      </c>
      <c r="AS145" s="96">
        <f t="shared" si="106"/>
        <v>9.2000000000000011</v>
      </c>
      <c r="AT145" s="98">
        <f t="shared" si="107"/>
        <v>83.809429612811385</v>
      </c>
    </row>
    <row r="146" spans="17:46" x14ac:dyDescent="0.3">
      <c r="Q146" s="32">
        <v>139</v>
      </c>
      <c r="R146" s="97">
        <f t="shared" si="80"/>
        <v>10</v>
      </c>
      <c r="S146" s="96">
        <f t="shared" si="81"/>
        <v>0.92666666666666675</v>
      </c>
      <c r="T146" s="96">
        <f t="shared" si="82"/>
        <v>13</v>
      </c>
      <c r="U146" s="98">
        <f t="shared" si="83"/>
        <v>0.71282051282051284</v>
      </c>
      <c r="V146" s="97">
        <f t="shared" si="84"/>
        <v>2</v>
      </c>
      <c r="W146" s="96">
        <f t="shared" si="85"/>
        <v>0.43478260869565216</v>
      </c>
      <c r="X146" s="98">
        <f t="shared" si="86"/>
        <v>0.56521739130434789</v>
      </c>
      <c r="Y146" s="97">
        <f t="shared" si="92"/>
        <v>0.85638998682476952</v>
      </c>
      <c r="Z146" s="96">
        <f t="shared" si="93"/>
        <v>2.4958771663119492</v>
      </c>
      <c r="AA146" s="96">
        <f t="shared" si="94"/>
        <v>0.75447337105129808</v>
      </c>
      <c r="AB146" s="96">
        <v>0</v>
      </c>
      <c r="AC146" s="96">
        <f t="shared" si="95"/>
        <v>5.6923006762550979E-3</v>
      </c>
      <c r="AD146" s="98">
        <f t="shared" si="96"/>
        <v>5.6923006762550979E-3</v>
      </c>
      <c r="AE146" s="97">
        <f t="shared" si="97"/>
        <v>0.28719435154217765</v>
      </c>
      <c r="AF146" s="96">
        <f t="shared" si="98"/>
        <v>0.75447337105129808</v>
      </c>
      <c r="AG146" s="96">
        <f t="shared" si="87"/>
        <v>2.5615353043147941E-3</v>
      </c>
      <c r="AH146" s="96">
        <f t="shared" si="88"/>
        <v>0.40917750846898338</v>
      </c>
      <c r="AI146" s="98">
        <f t="shared" si="99"/>
        <v>0.41173904377329817</v>
      </c>
      <c r="AJ146" s="97">
        <f t="shared" si="100"/>
        <v>0.92666666666666675</v>
      </c>
      <c r="AK146" s="96">
        <f t="shared" si="101"/>
        <v>1.5655745601689437</v>
      </c>
      <c r="AL146" s="96">
        <f t="shared" si="102"/>
        <v>0.64866666666666672</v>
      </c>
      <c r="AM146" s="96">
        <f t="shared" si="89"/>
        <v>0.47399999999999998</v>
      </c>
      <c r="AN146" s="98">
        <f t="shared" si="103"/>
        <v>1.1226666666666667</v>
      </c>
      <c r="AO146" s="97">
        <f t="shared" si="90"/>
        <v>1.5369211825888763E-2</v>
      </c>
      <c r="AP146" s="96">
        <f t="shared" si="91"/>
        <v>0.22950000000000001</v>
      </c>
      <c r="AQ146" s="98">
        <f t="shared" si="104"/>
        <v>5.8500000000000002E-3</v>
      </c>
      <c r="AR146" s="97">
        <f t="shared" si="105"/>
        <v>1.7851249222658536</v>
      </c>
      <c r="AS146" s="96">
        <f t="shared" si="106"/>
        <v>9.2666666666666675</v>
      </c>
      <c r="AT146" s="98">
        <f t="shared" si="107"/>
        <v>83.847642186326496</v>
      </c>
    </row>
    <row r="147" spans="17:46" x14ac:dyDescent="0.3">
      <c r="Q147" s="32">
        <v>140</v>
      </c>
      <c r="R147" s="97">
        <f t="shared" si="80"/>
        <v>10</v>
      </c>
      <c r="S147" s="96">
        <f t="shared" si="81"/>
        <v>0.93333333333333335</v>
      </c>
      <c r="T147" s="96">
        <f t="shared" si="82"/>
        <v>13</v>
      </c>
      <c r="U147" s="98">
        <f t="shared" si="83"/>
        <v>0.71794871794871795</v>
      </c>
      <c r="V147" s="97">
        <f t="shared" si="84"/>
        <v>2</v>
      </c>
      <c r="W147" s="96">
        <f t="shared" si="85"/>
        <v>0.43478260869565216</v>
      </c>
      <c r="X147" s="98">
        <f t="shared" si="86"/>
        <v>0.56521739130434789</v>
      </c>
      <c r="Y147" s="97">
        <f t="shared" si="92"/>
        <v>0.85638998682476952</v>
      </c>
      <c r="Z147" s="96">
        <f t="shared" si="93"/>
        <v>2.5076720381068207</v>
      </c>
      <c r="AA147" s="96">
        <f t="shared" si="94"/>
        <v>0.7593203182662891</v>
      </c>
      <c r="AB147" s="96">
        <v>0</v>
      </c>
      <c r="AC147" s="96">
        <f t="shared" si="95"/>
        <v>5.7656734573201867E-3</v>
      </c>
      <c r="AD147" s="98">
        <f t="shared" si="96"/>
        <v>5.7656734573201867E-3</v>
      </c>
      <c r="AE147" s="97">
        <f t="shared" si="97"/>
        <v>0.29134150873281311</v>
      </c>
      <c r="AF147" s="96">
        <f t="shared" si="98"/>
        <v>0.7593203182662891</v>
      </c>
      <c r="AG147" s="96">
        <f t="shared" si="87"/>
        <v>2.5945530557940841E-3</v>
      </c>
      <c r="AH147" s="96">
        <f t="shared" si="88"/>
        <v>0.41212123155149394</v>
      </c>
      <c r="AI147" s="98">
        <f t="shared" si="99"/>
        <v>0.41471578460728803</v>
      </c>
      <c r="AJ147" s="97">
        <f t="shared" si="100"/>
        <v>0.93333333333333335</v>
      </c>
      <c r="AK147" s="96">
        <f t="shared" si="101"/>
        <v>1.5743796973936988</v>
      </c>
      <c r="AL147" s="96">
        <f t="shared" si="102"/>
        <v>0.65333333333333332</v>
      </c>
      <c r="AM147" s="96">
        <f t="shared" si="89"/>
        <v>0.47399999999999998</v>
      </c>
      <c r="AN147" s="98">
        <f t="shared" si="103"/>
        <v>1.1273333333333333</v>
      </c>
      <c r="AO147" s="97">
        <f t="shared" si="90"/>
        <v>1.5567318334764503E-2</v>
      </c>
      <c r="AP147" s="96">
        <f t="shared" si="91"/>
        <v>0.22950000000000001</v>
      </c>
      <c r="AQ147" s="98">
        <f t="shared" si="104"/>
        <v>5.8500000000000002E-3</v>
      </c>
      <c r="AR147" s="97">
        <f t="shared" si="105"/>
        <v>1.7929664362753857</v>
      </c>
      <c r="AS147" s="96">
        <f t="shared" si="106"/>
        <v>9.3333333333333339</v>
      </c>
      <c r="AT147" s="98">
        <f t="shared" si="107"/>
        <v>83.885330492597006</v>
      </c>
    </row>
    <row r="148" spans="17:46" x14ac:dyDescent="0.3">
      <c r="Q148" s="32">
        <v>141</v>
      </c>
      <c r="R148" s="97">
        <f t="shared" si="80"/>
        <v>10</v>
      </c>
      <c r="S148" s="96">
        <f t="shared" si="81"/>
        <v>0.94000000000000006</v>
      </c>
      <c r="T148" s="96">
        <f t="shared" si="82"/>
        <v>13</v>
      </c>
      <c r="U148" s="98">
        <f t="shared" si="83"/>
        <v>0.72307692307692306</v>
      </c>
      <c r="V148" s="97">
        <f t="shared" si="84"/>
        <v>2</v>
      </c>
      <c r="W148" s="96">
        <f t="shared" si="85"/>
        <v>0.43478260869565216</v>
      </c>
      <c r="X148" s="98">
        <f t="shared" si="86"/>
        <v>0.56521739130434789</v>
      </c>
      <c r="Y148" s="97">
        <f t="shared" si="92"/>
        <v>0.85638998682476952</v>
      </c>
      <c r="Z148" s="96">
        <f t="shared" si="93"/>
        <v>2.5194669099016926</v>
      </c>
      <c r="AA148" s="96">
        <f t="shared" si="94"/>
        <v>0.7641709369075752</v>
      </c>
      <c r="AB148" s="96">
        <v>0</v>
      </c>
      <c r="AC148" s="96">
        <f t="shared" si="95"/>
        <v>5.8395722081420135E-3</v>
      </c>
      <c r="AD148" s="98">
        <f t="shared" si="96"/>
        <v>5.8395722081420135E-3</v>
      </c>
      <c r="AE148" s="97">
        <f t="shared" si="97"/>
        <v>0.29551839464882945</v>
      </c>
      <c r="AF148" s="96">
        <f t="shared" si="98"/>
        <v>0.7641709369075752</v>
      </c>
      <c r="AG148" s="96">
        <f t="shared" si="87"/>
        <v>2.6278074936639064E-3</v>
      </c>
      <c r="AH148" s="96">
        <f t="shared" si="88"/>
        <v>0.41506495463400467</v>
      </c>
      <c r="AI148" s="98">
        <f t="shared" si="99"/>
        <v>0.41769276212766859</v>
      </c>
      <c r="AJ148" s="97">
        <f t="shared" si="100"/>
        <v>0.94000000000000006</v>
      </c>
      <c r="AK148" s="96">
        <f t="shared" si="101"/>
        <v>1.5831855307070088</v>
      </c>
      <c r="AL148" s="96">
        <f t="shared" si="102"/>
        <v>0.65800000000000003</v>
      </c>
      <c r="AM148" s="96">
        <f t="shared" si="89"/>
        <v>0.47399999999999998</v>
      </c>
      <c r="AN148" s="98">
        <f t="shared" si="103"/>
        <v>1.1320000000000001</v>
      </c>
      <c r="AO148" s="97">
        <f t="shared" si="90"/>
        <v>1.5766844961983436E-2</v>
      </c>
      <c r="AP148" s="96">
        <f t="shared" si="91"/>
        <v>0.22950000000000001</v>
      </c>
      <c r="AQ148" s="98">
        <f t="shared" si="104"/>
        <v>5.8500000000000002E-3</v>
      </c>
      <c r="AR148" s="97">
        <f t="shared" si="105"/>
        <v>1.800809607089652</v>
      </c>
      <c r="AS148" s="96">
        <f t="shared" si="106"/>
        <v>9.4</v>
      </c>
      <c r="AT148" s="98">
        <f t="shared" si="107"/>
        <v>83.922504977231156</v>
      </c>
    </row>
    <row r="149" spans="17:46" x14ac:dyDescent="0.3">
      <c r="Q149" s="32">
        <v>142</v>
      </c>
      <c r="R149" s="97">
        <f t="shared" si="80"/>
        <v>10</v>
      </c>
      <c r="S149" s="96">
        <f t="shared" si="81"/>
        <v>0.94666666666666677</v>
      </c>
      <c r="T149" s="96">
        <f t="shared" si="82"/>
        <v>13</v>
      </c>
      <c r="U149" s="98">
        <f t="shared" si="83"/>
        <v>0.72820512820512839</v>
      </c>
      <c r="V149" s="97">
        <f t="shared" si="84"/>
        <v>2</v>
      </c>
      <c r="W149" s="96">
        <f t="shared" si="85"/>
        <v>0.43478260869565216</v>
      </c>
      <c r="X149" s="98">
        <f t="shared" si="86"/>
        <v>0.56521739130434789</v>
      </c>
      <c r="Y149" s="97">
        <f t="shared" si="92"/>
        <v>0.85638998682476952</v>
      </c>
      <c r="Z149" s="96">
        <f t="shared" si="93"/>
        <v>2.5312617816965646</v>
      </c>
      <c r="AA149" s="96">
        <f t="shared" si="94"/>
        <v>0.76902515750270362</v>
      </c>
      <c r="AB149" s="96">
        <v>0</v>
      </c>
      <c r="AC149" s="96">
        <f t="shared" si="95"/>
        <v>5.9139969287205808E-3</v>
      </c>
      <c r="AD149" s="98">
        <f t="shared" si="96"/>
        <v>5.9139969287205808E-3</v>
      </c>
      <c r="AE149" s="97">
        <f t="shared" si="97"/>
        <v>0.29972500929022683</v>
      </c>
      <c r="AF149" s="96">
        <f t="shared" si="98"/>
        <v>0.76902515750270362</v>
      </c>
      <c r="AG149" s="96">
        <f t="shared" si="87"/>
        <v>2.6612986179242615E-3</v>
      </c>
      <c r="AH149" s="96">
        <f t="shared" si="88"/>
        <v>0.41800867771651534</v>
      </c>
      <c r="AI149" s="98">
        <f t="shared" si="99"/>
        <v>0.42066997633443959</v>
      </c>
      <c r="AJ149" s="97">
        <f t="shared" si="100"/>
        <v>0.94666666666666677</v>
      </c>
      <c r="AK149" s="96">
        <f t="shared" si="101"/>
        <v>1.5919920485579873</v>
      </c>
      <c r="AL149" s="96">
        <f t="shared" si="102"/>
        <v>0.66266666666666674</v>
      </c>
      <c r="AM149" s="96">
        <f t="shared" si="89"/>
        <v>0.47399999999999998</v>
      </c>
      <c r="AN149" s="98">
        <f t="shared" si="103"/>
        <v>1.1366666666666667</v>
      </c>
      <c r="AO149" s="97">
        <f t="shared" si="90"/>
        <v>1.5967791707545569E-2</v>
      </c>
      <c r="AP149" s="96">
        <f t="shared" si="91"/>
        <v>0.22950000000000001</v>
      </c>
      <c r="AQ149" s="98">
        <f t="shared" si="104"/>
        <v>5.8500000000000002E-3</v>
      </c>
      <c r="AR149" s="97">
        <f t="shared" si="105"/>
        <v>1.8086544347086519</v>
      </c>
      <c r="AS149" s="96">
        <f t="shared" si="106"/>
        <v>9.4666666666666686</v>
      </c>
      <c r="AT149" s="98">
        <f t="shared" si="107"/>
        <v>83.95917581018567</v>
      </c>
    </row>
    <row r="150" spans="17:46" x14ac:dyDescent="0.3">
      <c r="Q150" s="32">
        <v>143</v>
      </c>
      <c r="R150" s="97">
        <f t="shared" si="80"/>
        <v>10</v>
      </c>
      <c r="S150" s="96">
        <f t="shared" si="81"/>
        <v>0.95333333333333337</v>
      </c>
      <c r="T150" s="96">
        <f t="shared" si="82"/>
        <v>13</v>
      </c>
      <c r="U150" s="98">
        <f t="shared" si="83"/>
        <v>0.73333333333333328</v>
      </c>
      <c r="V150" s="97">
        <f t="shared" si="84"/>
        <v>2</v>
      </c>
      <c r="W150" s="96">
        <f t="shared" si="85"/>
        <v>0.43478260869565216</v>
      </c>
      <c r="X150" s="98">
        <f t="shared" si="86"/>
        <v>0.56521739130434789</v>
      </c>
      <c r="Y150" s="97">
        <f t="shared" si="92"/>
        <v>0.85638998682476952</v>
      </c>
      <c r="Z150" s="96">
        <f t="shared" si="93"/>
        <v>2.5430566534914361</v>
      </c>
      <c r="AA150" s="96">
        <f t="shared" si="94"/>
        <v>0.77388291227135153</v>
      </c>
      <c r="AB150" s="96">
        <v>0</v>
      </c>
      <c r="AC150" s="96">
        <f t="shared" si="95"/>
        <v>5.9889476190558835E-3</v>
      </c>
      <c r="AD150" s="98">
        <f t="shared" si="96"/>
        <v>5.9889476190558835E-3</v>
      </c>
      <c r="AE150" s="97">
        <f t="shared" si="97"/>
        <v>0.30396135265700486</v>
      </c>
      <c r="AF150" s="96">
        <f t="shared" si="98"/>
        <v>0.77388291227135153</v>
      </c>
      <c r="AG150" s="96">
        <f t="shared" si="87"/>
        <v>2.6950264285751477E-3</v>
      </c>
      <c r="AH150" s="96">
        <f t="shared" si="88"/>
        <v>0.42095240079902591</v>
      </c>
      <c r="AI150" s="98">
        <f t="shared" si="99"/>
        <v>0.42364742722760107</v>
      </c>
      <c r="AJ150" s="97">
        <f t="shared" si="100"/>
        <v>0.95333333333333337</v>
      </c>
      <c r="AK150" s="96">
        <f t="shared" si="101"/>
        <v>1.60079923964904</v>
      </c>
      <c r="AL150" s="96">
        <f t="shared" si="102"/>
        <v>0.66733333333333333</v>
      </c>
      <c r="AM150" s="96">
        <f t="shared" si="89"/>
        <v>0.47399999999999998</v>
      </c>
      <c r="AN150" s="98">
        <f t="shared" si="103"/>
        <v>1.1413333333333333</v>
      </c>
      <c r="AO150" s="97">
        <f t="shared" si="90"/>
        <v>1.6170158571450884E-2</v>
      </c>
      <c r="AP150" s="96">
        <f t="shared" si="91"/>
        <v>0.22950000000000001</v>
      </c>
      <c r="AQ150" s="98">
        <f t="shared" si="104"/>
        <v>5.8500000000000002E-3</v>
      </c>
      <c r="AR150" s="97">
        <f t="shared" si="105"/>
        <v>1.8165009191323853</v>
      </c>
      <c r="AS150" s="96">
        <f t="shared" si="106"/>
        <v>9.5333333333333332</v>
      </c>
      <c r="AT150" s="98">
        <f t="shared" si="107"/>
        <v>83.995352894798827</v>
      </c>
    </row>
    <row r="151" spans="17:46" x14ac:dyDescent="0.3">
      <c r="Q151" s="32">
        <v>144</v>
      </c>
      <c r="R151" s="97">
        <f t="shared" si="80"/>
        <v>10</v>
      </c>
      <c r="S151" s="96">
        <f t="shared" si="81"/>
        <v>0.96000000000000008</v>
      </c>
      <c r="T151" s="96">
        <f t="shared" si="82"/>
        <v>13</v>
      </c>
      <c r="U151" s="98">
        <f t="shared" si="83"/>
        <v>0.73846153846153861</v>
      </c>
      <c r="V151" s="97">
        <f t="shared" si="84"/>
        <v>2</v>
      </c>
      <c r="W151" s="96">
        <f t="shared" si="85"/>
        <v>0.43478260869565216</v>
      </c>
      <c r="X151" s="98">
        <f t="shared" si="86"/>
        <v>0.56521739130434789</v>
      </c>
      <c r="Y151" s="97">
        <f t="shared" si="92"/>
        <v>0.85638998682476952</v>
      </c>
      <c r="Z151" s="96">
        <f t="shared" si="93"/>
        <v>2.554851525286308</v>
      </c>
      <c r="AA151" s="96">
        <f t="shared" si="94"/>
        <v>0.77874413507569562</v>
      </c>
      <c r="AB151" s="96">
        <v>0</v>
      </c>
      <c r="AC151" s="96">
        <f t="shared" si="95"/>
        <v>6.0644242791479328E-3</v>
      </c>
      <c r="AD151" s="98">
        <f t="shared" si="96"/>
        <v>6.0644242791479328E-3</v>
      </c>
      <c r="AE151" s="97">
        <f t="shared" si="97"/>
        <v>0.30822742474916393</v>
      </c>
      <c r="AF151" s="96">
        <f t="shared" si="98"/>
        <v>0.77874413507569562</v>
      </c>
      <c r="AG151" s="96">
        <f t="shared" si="87"/>
        <v>2.7289909256165701E-3</v>
      </c>
      <c r="AH151" s="96">
        <f t="shared" si="88"/>
        <v>0.42389612388153664</v>
      </c>
      <c r="AI151" s="98">
        <f t="shared" si="99"/>
        <v>0.42662511480715321</v>
      </c>
      <c r="AJ151" s="97">
        <f t="shared" si="100"/>
        <v>0.96000000000000008</v>
      </c>
      <c r="AK151" s="96">
        <f t="shared" si="101"/>
        <v>1.6096070929289847</v>
      </c>
      <c r="AL151" s="96">
        <f t="shared" si="102"/>
        <v>0.67200000000000004</v>
      </c>
      <c r="AM151" s="96">
        <f t="shared" si="89"/>
        <v>0.47399999999999998</v>
      </c>
      <c r="AN151" s="98">
        <f t="shared" si="103"/>
        <v>1.1459999999999999</v>
      </c>
      <c r="AO151" s="97">
        <f t="shared" si="90"/>
        <v>1.6373945553699421E-2</v>
      </c>
      <c r="AP151" s="96">
        <f t="shared" si="91"/>
        <v>0.22950000000000001</v>
      </c>
      <c r="AQ151" s="98">
        <f t="shared" si="104"/>
        <v>5.8500000000000002E-3</v>
      </c>
      <c r="AR151" s="97">
        <f t="shared" si="105"/>
        <v>1.8243490603608525</v>
      </c>
      <c r="AS151" s="96">
        <f t="shared" si="106"/>
        <v>9.6000000000000014</v>
      </c>
      <c r="AT151" s="98">
        <f t="shared" si="107"/>
        <v>84.031045876470898</v>
      </c>
    </row>
    <row r="152" spans="17:46" x14ac:dyDescent="0.3">
      <c r="Q152" s="32">
        <v>145</v>
      </c>
      <c r="R152" s="97">
        <f t="shared" si="80"/>
        <v>10</v>
      </c>
      <c r="S152" s="96">
        <f t="shared" si="81"/>
        <v>0.96666666666666667</v>
      </c>
      <c r="T152" s="96">
        <f t="shared" si="82"/>
        <v>13</v>
      </c>
      <c r="U152" s="98">
        <f t="shared" si="83"/>
        <v>0.7435897435897435</v>
      </c>
      <c r="V152" s="97">
        <f t="shared" si="84"/>
        <v>2</v>
      </c>
      <c r="W152" s="96">
        <f t="shared" si="85"/>
        <v>0.43478260869565216</v>
      </c>
      <c r="X152" s="98">
        <f t="shared" si="86"/>
        <v>0.56521739130434789</v>
      </c>
      <c r="Y152" s="97">
        <f t="shared" si="92"/>
        <v>0.85638998682476952</v>
      </c>
      <c r="Z152" s="96">
        <f t="shared" si="93"/>
        <v>2.5666463970811799</v>
      </c>
      <c r="AA152" s="96">
        <f t="shared" si="94"/>
        <v>0.78360876137245383</v>
      </c>
      <c r="AB152" s="96">
        <v>0</v>
      </c>
      <c r="AC152" s="96">
        <f t="shared" si="95"/>
        <v>6.1404269089967139E-3</v>
      </c>
      <c r="AD152" s="98">
        <f t="shared" si="96"/>
        <v>6.1404269089967139E-3</v>
      </c>
      <c r="AE152" s="97">
        <f t="shared" si="97"/>
        <v>0.31252322556670376</v>
      </c>
      <c r="AF152" s="96">
        <f t="shared" si="98"/>
        <v>0.78360876137245383</v>
      </c>
      <c r="AG152" s="96">
        <f t="shared" si="87"/>
        <v>2.7631921090485213E-3</v>
      </c>
      <c r="AH152" s="96">
        <f t="shared" si="88"/>
        <v>0.42683984696404736</v>
      </c>
      <c r="AI152" s="98">
        <f t="shared" si="99"/>
        <v>0.42960303907309588</v>
      </c>
      <c r="AJ152" s="97">
        <f t="shared" si="100"/>
        <v>0.96666666666666667</v>
      </c>
      <c r="AK152" s="96">
        <f t="shared" si="101"/>
        <v>1.6184155975863912</v>
      </c>
      <c r="AL152" s="96">
        <f t="shared" si="102"/>
        <v>0.67666666666666664</v>
      </c>
      <c r="AM152" s="96">
        <f t="shared" si="89"/>
        <v>0.47399999999999998</v>
      </c>
      <c r="AN152" s="98">
        <f t="shared" si="103"/>
        <v>1.1506666666666665</v>
      </c>
      <c r="AO152" s="97">
        <f t="shared" si="90"/>
        <v>1.6579152654291125E-2</v>
      </c>
      <c r="AP152" s="96">
        <f t="shared" si="91"/>
        <v>0.22950000000000001</v>
      </c>
      <c r="AQ152" s="98">
        <f t="shared" si="104"/>
        <v>5.8500000000000002E-3</v>
      </c>
      <c r="AR152" s="97">
        <f t="shared" si="105"/>
        <v>1.8321988583940534</v>
      </c>
      <c r="AS152" s="96">
        <f t="shared" si="106"/>
        <v>9.6666666666666661</v>
      </c>
      <c r="AT152" s="98">
        <f t="shared" si="107"/>
        <v>84.066264151007388</v>
      </c>
    </row>
    <row r="153" spans="17:46" x14ac:dyDescent="0.3">
      <c r="Q153" s="32">
        <v>146</v>
      </c>
      <c r="R153" s="97">
        <f t="shared" si="80"/>
        <v>10</v>
      </c>
      <c r="S153" s="96">
        <f t="shared" si="81"/>
        <v>0.97333333333333338</v>
      </c>
      <c r="T153" s="96">
        <f t="shared" si="82"/>
        <v>13</v>
      </c>
      <c r="U153" s="98">
        <f t="shared" si="83"/>
        <v>0.74871794871794883</v>
      </c>
      <c r="V153" s="97">
        <f t="shared" si="84"/>
        <v>2</v>
      </c>
      <c r="W153" s="96">
        <f t="shared" si="85"/>
        <v>0.43478260869565216</v>
      </c>
      <c r="X153" s="98">
        <f t="shared" si="86"/>
        <v>0.56521739130434789</v>
      </c>
      <c r="Y153" s="97">
        <f t="shared" si="92"/>
        <v>0.85638998682476952</v>
      </c>
      <c r="Z153" s="96">
        <f t="shared" si="93"/>
        <v>2.5784412688760519</v>
      </c>
      <c r="AA153" s="96">
        <f t="shared" si="94"/>
        <v>0.78847672816654757</v>
      </c>
      <c r="AB153" s="96">
        <v>0</v>
      </c>
      <c r="AC153" s="96">
        <f t="shared" si="95"/>
        <v>6.2169555086022382E-3</v>
      </c>
      <c r="AD153" s="98">
        <f t="shared" si="96"/>
        <v>6.2169555086022382E-3</v>
      </c>
      <c r="AE153" s="97">
        <f t="shared" si="97"/>
        <v>0.31684875510962474</v>
      </c>
      <c r="AF153" s="96">
        <f t="shared" si="98"/>
        <v>0.78847672816654757</v>
      </c>
      <c r="AG153" s="96">
        <f t="shared" si="87"/>
        <v>2.7976299788710071E-3</v>
      </c>
      <c r="AH153" s="96">
        <f t="shared" si="88"/>
        <v>0.42978357004655809</v>
      </c>
      <c r="AI153" s="98">
        <f t="shared" si="99"/>
        <v>0.4325812000254291</v>
      </c>
      <c r="AJ153" s="97">
        <f t="shared" si="100"/>
        <v>0.97333333333333338</v>
      </c>
      <c r="AK153" s="96">
        <f t="shared" si="101"/>
        <v>1.6272247430431359</v>
      </c>
      <c r="AL153" s="96">
        <f t="shared" si="102"/>
        <v>0.68133333333333335</v>
      </c>
      <c r="AM153" s="96">
        <f t="shared" si="89"/>
        <v>0.47399999999999998</v>
      </c>
      <c r="AN153" s="98">
        <f t="shared" si="103"/>
        <v>1.1553333333333333</v>
      </c>
      <c r="AO153" s="97">
        <f t="shared" si="90"/>
        <v>1.6785779873226041E-2</v>
      </c>
      <c r="AP153" s="96">
        <f t="shared" si="91"/>
        <v>0.22950000000000001</v>
      </c>
      <c r="AQ153" s="98">
        <f t="shared" si="104"/>
        <v>5.8500000000000002E-3</v>
      </c>
      <c r="AR153" s="97">
        <f t="shared" si="105"/>
        <v>1.8400503132319885</v>
      </c>
      <c r="AS153" s="96">
        <f t="shared" si="106"/>
        <v>9.7333333333333343</v>
      </c>
      <c r="AT153" s="98">
        <f t="shared" si="107"/>
        <v>84.101016872640642</v>
      </c>
    </row>
    <row r="154" spans="17:46" x14ac:dyDescent="0.3">
      <c r="Q154" s="32">
        <v>147</v>
      </c>
      <c r="R154" s="97">
        <f t="shared" si="80"/>
        <v>10</v>
      </c>
      <c r="S154" s="96">
        <f t="shared" si="81"/>
        <v>0.98000000000000009</v>
      </c>
      <c r="T154" s="96">
        <f t="shared" si="82"/>
        <v>13</v>
      </c>
      <c r="U154" s="98">
        <f t="shared" si="83"/>
        <v>0.75384615384615394</v>
      </c>
      <c r="V154" s="97">
        <f t="shared" si="84"/>
        <v>2</v>
      </c>
      <c r="W154" s="96">
        <f t="shared" si="85"/>
        <v>0.43478260869565216</v>
      </c>
      <c r="X154" s="98">
        <f t="shared" si="86"/>
        <v>0.56521739130434789</v>
      </c>
      <c r="Y154" s="97">
        <f t="shared" si="92"/>
        <v>0.85638998682476952</v>
      </c>
      <c r="Z154" s="96">
        <f t="shared" si="93"/>
        <v>2.5902361406709238</v>
      </c>
      <c r="AA154" s="96">
        <f t="shared" si="94"/>
        <v>0.79334797396631063</v>
      </c>
      <c r="AB154" s="96">
        <v>0</v>
      </c>
      <c r="AC154" s="96">
        <f t="shared" si="95"/>
        <v>6.2940100779644995E-3</v>
      </c>
      <c r="AD154" s="98">
        <f t="shared" si="96"/>
        <v>6.2940100779644995E-3</v>
      </c>
      <c r="AE154" s="97">
        <f t="shared" si="97"/>
        <v>0.32120401337792648</v>
      </c>
      <c r="AF154" s="96">
        <f t="shared" si="98"/>
        <v>0.79334797396631063</v>
      </c>
      <c r="AG154" s="96">
        <f t="shared" si="87"/>
        <v>2.8323045350840252E-3</v>
      </c>
      <c r="AH154" s="96">
        <f t="shared" si="88"/>
        <v>0.43272729312906871</v>
      </c>
      <c r="AI154" s="98">
        <f t="shared" si="99"/>
        <v>0.43555959766415275</v>
      </c>
      <c r="AJ154" s="97">
        <f t="shared" si="100"/>
        <v>0.98000000000000009</v>
      </c>
      <c r="AK154" s="96">
        <f t="shared" si="101"/>
        <v>1.6360345189481633</v>
      </c>
      <c r="AL154" s="96">
        <f t="shared" si="102"/>
        <v>0.68600000000000005</v>
      </c>
      <c r="AM154" s="96">
        <f t="shared" si="89"/>
        <v>0.47399999999999998</v>
      </c>
      <c r="AN154" s="98">
        <f t="shared" si="103"/>
        <v>1.1600000000000001</v>
      </c>
      <c r="AO154" s="97">
        <f t="shared" si="90"/>
        <v>1.6993827210504148E-2</v>
      </c>
      <c r="AP154" s="96">
        <f t="shared" si="91"/>
        <v>0.22950000000000001</v>
      </c>
      <c r="AQ154" s="98">
        <f t="shared" si="104"/>
        <v>5.8500000000000002E-3</v>
      </c>
      <c r="AR154" s="97">
        <f t="shared" si="105"/>
        <v>1.8479034248746569</v>
      </c>
      <c r="AS154" s="96">
        <f t="shared" si="106"/>
        <v>9.8000000000000007</v>
      </c>
      <c r="AT154" s="98">
        <f t="shared" si="107"/>
        <v>84.135312961744077</v>
      </c>
    </row>
    <row r="155" spans="17:46" x14ac:dyDescent="0.3">
      <c r="Q155" s="32">
        <v>148</v>
      </c>
      <c r="R155" s="97">
        <f t="shared" si="80"/>
        <v>10</v>
      </c>
      <c r="S155" s="96">
        <f t="shared" si="81"/>
        <v>0.98666666666666669</v>
      </c>
      <c r="T155" s="96">
        <f t="shared" si="82"/>
        <v>13</v>
      </c>
      <c r="U155" s="98">
        <f t="shared" si="83"/>
        <v>0.75897435897435905</v>
      </c>
      <c r="V155" s="97">
        <f t="shared" si="84"/>
        <v>2</v>
      </c>
      <c r="W155" s="96">
        <f t="shared" si="85"/>
        <v>0.43478260869565216</v>
      </c>
      <c r="X155" s="98">
        <f t="shared" si="86"/>
        <v>0.56521739130434789</v>
      </c>
      <c r="Y155" s="97">
        <f t="shared" si="92"/>
        <v>0.85638998682476952</v>
      </c>
      <c r="Z155" s="96">
        <f t="shared" si="93"/>
        <v>2.6020310124657953</v>
      </c>
      <c r="AA155" s="96">
        <f t="shared" si="94"/>
        <v>0.79822243874019849</v>
      </c>
      <c r="AB155" s="96">
        <v>0</v>
      </c>
      <c r="AC155" s="96">
        <f t="shared" si="95"/>
        <v>6.3715906170834988E-3</v>
      </c>
      <c r="AD155" s="98">
        <f t="shared" si="96"/>
        <v>6.3715906170834988E-3</v>
      </c>
      <c r="AE155" s="97">
        <f t="shared" si="97"/>
        <v>0.32558900037160909</v>
      </c>
      <c r="AF155" s="96">
        <f t="shared" si="98"/>
        <v>0.79822243874019849</v>
      </c>
      <c r="AG155" s="96">
        <f t="shared" si="87"/>
        <v>2.8672157776875747E-3</v>
      </c>
      <c r="AH155" s="96">
        <f t="shared" si="88"/>
        <v>0.43567101621157933</v>
      </c>
      <c r="AI155" s="98">
        <f t="shared" si="99"/>
        <v>0.43853823198926689</v>
      </c>
      <c r="AJ155" s="97">
        <f t="shared" si="100"/>
        <v>0.98666666666666669</v>
      </c>
      <c r="AK155" s="96">
        <f t="shared" si="101"/>
        <v>1.6448449151714457</v>
      </c>
      <c r="AL155" s="96">
        <f t="shared" si="102"/>
        <v>0.69066666666666665</v>
      </c>
      <c r="AM155" s="96">
        <f t="shared" si="89"/>
        <v>0.47399999999999998</v>
      </c>
      <c r="AN155" s="98">
        <f t="shared" si="103"/>
        <v>1.1646666666666667</v>
      </c>
      <c r="AO155" s="97">
        <f t="shared" si="90"/>
        <v>1.7203294666125447E-2</v>
      </c>
      <c r="AP155" s="96">
        <f t="shared" si="91"/>
        <v>0.22950000000000001</v>
      </c>
      <c r="AQ155" s="98">
        <f t="shared" si="104"/>
        <v>5.8500000000000002E-3</v>
      </c>
      <c r="AR155" s="97">
        <f t="shared" si="105"/>
        <v>1.855758193322059</v>
      </c>
      <c r="AS155" s="96">
        <f t="shared" si="106"/>
        <v>9.8666666666666671</v>
      </c>
      <c r="AT155" s="98">
        <f t="shared" si="107"/>
        <v>84.169161112252638</v>
      </c>
    </row>
    <row r="156" spans="17:46" x14ac:dyDescent="0.3">
      <c r="Q156" s="32">
        <v>149</v>
      </c>
      <c r="R156" s="97">
        <f t="shared" si="80"/>
        <v>10</v>
      </c>
      <c r="S156" s="96">
        <f t="shared" si="81"/>
        <v>0.9933333333333334</v>
      </c>
      <c r="T156" s="96">
        <f t="shared" si="82"/>
        <v>13</v>
      </c>
      <c r="U156" s="98">
        <f t="shared" si="83"/>
        <v>0.76410256410256416</v>
      </c>
      <c r="V156" s="97">
        <f t="shared" si="84"/>
        <v>2</v>
      </c>
      <c r="W156" s="96">
        <f t="shared" si="85"/>
        <v>0.43478260869565216</v>
      </c>
      <c r="X156" s="98">
        <f t="shared" si="86"/>
        <v>0.56521739130434789</v>
      </c>
      <c r="Y156" s="97">
        <f t="shared" si="92"/>
        <v>0.85638998682476952</v>
      </c>
      <c r="Z156" s="96">
        <f t="shared" si="93"/>
        <v>2.6138258842606672</v>
      </c>
      <c r="AA156" s="96">
        <f t="shared" si="94"/>
        <v>0.8031000638749346</v>
      </c>
      <c r="AB156" s="96">
        <v>0</v>
      </c>
      <c r="AC156" s="96">
        <f t="shared" si="95"/>
        <v>6.4496971259592403E-3</v>
      </c>
      <c r="AD156" s="98">
        <f t="shared" si="96"/>
        <v>6.4496971259592403E-3</v>
      </c>
      <c r="AE156" s="97">
        <f t="shared" si="97"/>
        <v>0.33000371609067264</v>
      </c>
      <c r="AF156" s="96">
        <f t="shared" si="98"/>
        <v>0.8031000638749346</v>
      </c>
      <c r="AG156" s="96">
        <f t="shared" si="87"/>
        <v>2.9023637066816588E-3</v>
      </c>
      <c r="AH156" s="96">
        <f t="shared" si="88"/>
        <v>0.43861473929409001</v>
      </c>
      <c r="AI156" s="98">
        <f t="shared" si="99"/>
        <v>0.44151710300077168</v>
      </c>
      <c r="AJ156" s="97">
        <f t="shared" si="100"/>
        <v>0.9933333333333334</v>
      </c>
      <c r="AK156" s="96">
        <f t="shared" si="101"/>
        <v>1.6536559217981348</v>
      </c>
      <c r="AL156" s="96">
        <f t="shared" si="102"/>
        <v>0.69533333333333336</v>
      </c>
      <c r="AM156" s="96">
        <f t="shared" si="89"/>
        <v>0.47399999999999998</v>
      </c>
      <c r="AN156" s="98">
        <f t="shared" si="103"/>
        <v>1.1693333333333333</v>
      </c>
      <c r="AO156" s="97">
        <f t="shared" si="90"/>
        <v>1.7414182240089948E-2</v>
      </c>
      <c r="AP156" s="96">
        <f t="shared" si="91"/>
        <v>0.22950000000000001</v>
      </c>
      <c r="AQ156" s="98">
        <f t="shared" si="104"/>
        <v>5.8500000000000002E-3</v>
      </c>
      <c r="AR156" s="97">
        <f t="shared" si="105"/>
        <v>1.8636146185741949</v>
      </c>
      <c r="AS156" s="96">
        <f t="shared" si="106"/>
        <v>9.9333333333333336</v>
      </c>
      <c r="AT156" s="98">
        <f t="shared" si="107"/>
        <v>84.202569798802458</v>
      </c>
    </row>
    <row r="157" spans="17:46" ht="15" thickBot="1" x14ac:dyDescent="0.35">
      <c r="Q157" s="32">
        <v>150</v>
      </c>
      <c r="R157" s="99">
        <f t="shared" si="80"/>
        <v>10</v>
      </c>
      <c r="S157" s="100">
        <f t="shared" si="81"/>
        <v>1</v>
      </c>
      <c r="T157" s="100">
        <f t="shared" si="82"/>
        <v>13</v>
      </c>
      <c r="U157" s="101">
        <f t="shared" si="83"/>
        <v>0.76923076923076927</v>
      </c>
      <c r="V157" s="97">
        <f t="shared" si="84"/>
        <v>2</v>
      </c>
      <c r="W157" s="96">
        <f t="shared" si="85"/>
        <v>0.43478260869565216</v>
      </c>
      <c r="X157" s="98">
        <f t="shared" si="86"/>
        <v>0.56521739130434789</v>
      </c>
      <c r="Y157" s="97">
        <f t="shared" si="92"/>
        <v>0.85638998682476952</v>
      </c>
      <c r="Z157" s="96">
        <f t="shared" si="93"/>
        <v>2.6256207560555387</v>
      </c>
      <c r="AA157" s="96">
        <f t="shared" si="94"/>
        <v>0.80798079213504315</v>
      </c>
      <c r="AB157" s="96">
        <v>0</v>
      </c>
      <c r="AC157" s="96">
        <f t="shared" si="95"/>
        <v>6.5283296045917181E-3</v>
      </c>
      <c r="AD157" s="98">
        <f t="shared" si="96"/>
        <v>6.5283296045917181E-3</v>
      </c>
      <c r="AE157" s="97">
        <f t="shared" si="97"/>
        <v>0.33444816053511706</v>
      </c>
      <c r="AF157" s="96">
        <f t="shared" si="98"/>
        <v>0.80798079213504315</v>
      </c>
      <c r="AG157" s="96">
        <f t="shared" si="87"/>
        <v>2.9377483220662734E-3</v>
      </c>
      <c r="AH157" s="96">
        <f t="shared" si="88"/>
        <v>0.44155846237660074</v>
      </c>
      <c r="AI157" s="98">
        <f t="shared" si="99"/>
        <v>0.44449621069866702</v>
      </c>
      <c r="AJ157" s="97">
        <f t="shared" si="100"/>
        <v>1</v>
      </c>
      <c r="AK157" s="96">
        <f t="shared" si="101"/>
        <v>1.6624675291228941</v>
      </c>
      <c r="AL157" s="96">
        <f t="shared" si="102"/>
        <v>0.7</v>
      </c>
      <c r="AM157" s="96">
        <f t="shared" si="89"/>
        <v>0.47399999999999998</v>
      </c>
      <c r="AN157" s="98">
        <f t="shared" si="103"/>
        <v>1.1739999999999999</v>
      </c>
      <c r="AO157" s="97">
        <f t="shared" si="90"/>
        <v>1.762648993239764E-2</v>
      </c>
      <c r="AP157" s="96">
        <f t="shared" si="91"/>
        <v>0.22950000000000001</v>
      </c>
      <c r="AQ157" s="98">
        <f t="shared" si="104"/>
        <v>5.8500000000000002E-3</v>
      </c>
      <c r="AR157" s="97">
        <f t="shared" si="105"/>
        <v>1.8714727006310645</v>
      </c>
      <c r="AS157" s="96">
        <f t="shared" si="106"/>
        <v>10</v>
      </c>
      <c r="AT157" s="98">
        <f t="shared" si="107"/>
        <v>84.235547283602131</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77734375" customWidth="1"/>
    <col min="2" max="2" width="25" customWidth="1"/>
    <col min="8" max="10" width="8.77734375" style="32"/>
    <col min="15" max="15" width="16.5546875" style="52" bestFit="1" customWidth="1"/>
    <col min="16" max="16" width="16.5546875" customWidth="1"/>
    <col min="29" max="29" width="8.77734375" style="32"/>
    <col min="32" max="37" width="8.77734375" style="32"/>
    <col min="38" max="38" width="11.33203125" style="32" bestFit="1" customWidth="1"/>
    <col min="39" max="40" width="8.77734375" style="32"/>
    <col min="41" max="41" width="13.21875" style="32" bestFit="1" customWidth="1"/>
    <col min="42" max="44" width="8.77734375" style="32"/>
    <col min="46" max="46" width="10.21875" customWidth="1"/>
    <col min="47" max="47" width="12" bestFit="1" customWidth="1"/>
    <col min="55" max="55" width="8.77734375" style="32"/>
    <col min="58" max="58" width="8.777343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44" t="s">
        <v>584</v>
      </c>
      <c r="AG2" s="244"/>
      <c r="AH2" s="244"/>
      <c r="AI2" s="244"/>
      <c r="AJ2" s="244"/>
      <c r="AK2" s="244"/>
      <c r="AL2" s="244"/>
      <c r="AM2" s="244"/>
      <c r="AN2" s="244"/>
      <c r="AO2" s="244"/>
      <c r="AP2" s="244"/>
      <c r="AQ2" s="244"/>
      <c r="AR2" s="244"/>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7" t="s">
        <v>222</v>
      </c>
      <c r="Q4" s="247"/>
      <c r="R4" s="247"/>
      <c r="S4" s="247"/>
      <c r="T4" s="247"/>
      <c r="U4" s="247"/>
      <c r="V4" s="247"/>
      <c r="W4" s="247"/>
      <c r="X4" s="247"/>
      <c r="Y4" s="247"/>
      <c r="Z4" s="247"/>
      <c r="AA4" s="247"/>
      <c r="AB4" s="247"/>
      <c r="AC4" s="247"/>
      <c r="AD4" s="247"/>
      <c r="AE4" s="246"/>
      <c r="AF4" s="218"/>
      <c r="AG4" s="218"/>
      <c r="AH4" s="218"/>
      <c r="AI4" s="218"/>
      <c r="AJ4" s="218"/>
      <c r="AK4" s="218"/>
      <c r="AL4" s="218"/>
      <c r="AM4" s="218"/>
      <c r="AN4" s="218"/>
      <c r="AO4" s="218"/>
      <c r="AP4" s="218"/>
      <c r="AQ4" s="218"/>
      <c r="AR4" s="218"/>
      <c r="AS4" s="245" t="s">
        <v>223</v>
      </c>
      <c r="AT4" s="247"/>
      <c r="AU4" s="247"/>
      <c r="AV4" s="247"/>
      <c r="AW4" s="247"/>
      <c r="AX4" s="247"/>
      <c r="AY4" s="247"/>
      <c r="AZ4" s="247"/>
      <c r="BA4" s="247"/>
      <c r="BB4" s="247"/>
      <c r="BC4" s="247"/>
      <c r="BD4" s="247"/>
      <c r="BE4" s="246"/>
      <c r="BF4" s="245" t="s">
        <v>506</v>
      </c>
      <c r="BG4" s="247"/>
      <c r="BH4" s="246"/>
      <c r="BI4" s="245" t="s">
        <v>507</v>
      </c>
      <c r="BJ4" s="247"/>
      <c r="BK4" s="246"/>
      <c r="BL4" s="255" t="s">
        <v>508</v>
      </c>
      <c r="BM4" s="256"/>
    </row>
    <row r="5" spans="1:65" s="32" customFormat="1" x14ac:dyDescent="0.3">
      <c r="A5" s="12"/>
      <c r="D5" s="18"/>
      <c r="E5" s="12"/>
      <c r="F5" s="12"/>
      <c r="G5" s="12"/>
      <c r="H5" s="12"/>
      <c r="I5" s="12"/>
      <c r="J5" s="12"/>
      <c r="K5" s="12"/>
      <c r="L5" s="12"/>
      <c r="M5" s="12"/>
      <c r="N5" s="60"/>
      <c r="O5" s="63"/>
      <c r="P5" s="51"/>
      <c r="Q5" s="251" t="s">
        <v>214</v>
      </c>
      <c r="R5" s="251"/>
      <c r="S5" s="251"/>
      <c r="T5" s="249" t="s">
        <v>216</v>
      </c>
      <c r="U5" s="249"/>
      <c r="V5" s="249"/>
      <c r="W5" s="249" t="s">
        <v>216</v>
      </c>
      <c r="X5" s="249"/>
      <c r="Y5" s="249"/>
      <c r="Z5" s="249" t="s">
        <v>219</v>
      </c>
      <c r="AA5" s="249"/>
      <c r="AB5" s="249"/>
      <c r="AC5" s="248" t="s">
        <v>221</v>
      </c>
      <c r="AD5" s="249"/>
      <c r="AE5" s="250"/>
      <c r="AF5" s="217"/>
      <c r="AG5" s="251" t="s">
        <v>214</v>
      </c>
      <c r="AH5" s="251"/>
      <c r="AI5" s="251"/>
      <c r="AJ5" s="252" t="s">
        <v>216</v>
      </c>
      <c r="AK5" s="252"/>
      <c r="AL5" s="252"/>
      <c r="AM5" s="249" t="s">
        <v>258</v>
      </c>
      <c r="AN5" s="249"/>
      <c r="AO5" s="249"/>
      <c r="AP5" s="253" t="s">
        <v>221</v>
      </c>
      <c r="AQ5" s="252"/>
      <c r="AR5" s="254"/>
      <c r="AS5" s="51"/>
      <c r="AT5" s="249" t="s">
        <v>229</v>
      </c>
      <c r="AU5" s="249"/>
      <c r="AV5" s="249"/>
      <c r="AW5" s="249" t="s">
        <v>230</v>
      </c>
      <c r="AX5" s="249"/>
      <c r="AY5" s="249"/>
      <c r="AZ5" s="249" t="s">
        <v>224</v>
      </c>
      <c r="BA5" s="249"/>
      <c r="BB5" s="249"/>
      <c r="BC5" s="248" t="s">
        <v>221</v>
      </c>
      <c r="BD5" s="249"/>
      <c r="BE5" s="250"/>
      <c r="BF5" s="248" t="s">
        <v>221</v>
      </c>
      <c r="BG5" s="249"/>
      <c r="BH5" s="250"/>
      <c r="BI5" s="248" t="s">
        <v>221</v>
      </c>
      <c r="BJ5" s="249"/>
      <c r="BK5" s="250"/>
      <c r="BL5" s="248"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2728</v>
      </c>
      <c r="P7" s="88" t="str">
        <f>COMPLEX(ADC_VINmin,0)</f>
        <v>15.3439153439153</v>
      </c>
      <c r="Q7" s="89" t="str">
        <f>IMSUM(COMPLEX(1,0),IMDIV(COMPLEX(0,2*PI()*O7),COMPLEX(wp_lf_VINmin,0)))</f>
        <v>1+11.0189118329909i</v>
      </c>
      <c r="R7" s="89">
        <f t="shared" ref="R7:R13" si="0">IMABS(Q7)</f>
        <v>11.064195315666968</v>
      </c>
      <c r="S7" s="89">
        <f t="shared" ref="S7:S13" si="1">IMARGUMENT(Q7)</f>
        <v>1.4802911907411485</v>
      </c>
      <c r="T7" s="89" t="str">
        <f>IMSUM(COMPLEX(1,0),IMDIV(COMPLEX(0,2*PI()*O7),COMPLEX(wz_esr_VINmin,0)))</f>
        <v>1+0.0171405295179859i</v>
      </c>
      <c r="U7" s="89">
        <f t="shared" ref="U7:U13" si="2">IMABS(T7)</f>
        <v>1.0001468880880233</v>
      </c>
      <c r="V7" s="89">
        <f t="shared" ref="V7:V13" si="3">IMARGUMENT(T7)</f>
        <v>1.713885119748032E-2</v>
      </c>
      <c r="W7" s="87" t="str">
        <f>IMSUB(COMPLEX(1,0),IMDIV(COMPLEX(0,2*PI()*O7),COMPLEX(wz_RHP_VINmin,0)))</f>
        <v>1-0.0159085539588806i</v>
      </c>
      <c r="X7" s="89">
        <f t="shared" ref="X7:X13" si="4">IMABS(W7)</f>
        <v>1.0001265330392264</v>
      </c>
      <c r="Y7" s="89">
        <f t="shared" ref="Y7:Y13" si="5">IMARGUMENT(W7)</f>
        <v>-1.5907212105944112E-2</v>
      </c>
      <c r="Z7" s="87" t="str">
        <f>IMSUM(COMPLEX(1,0),IMDIV(COMPLEX(0,2*PI()*O7),COMPLEX(Q_VINmin*(wsl_VINmin/2),0)),IMDIV(IMPOWER(COMPLEX(0,2*PI()*O7),2),IMPOWER(COMPLEX(wsl_VINmin/2,0),2)))</f>
        <v>0.999992558016+0.00417816277861571i</v>
      </c>
      <c r="AA7" s="89">
        <f t="shared" ref="AA7:AA13" si="6">IMABS(Z7)</f>
        <v>1.0000012865649663</v>
      </c>
      <c r="AB7" s="89">
        <f t="shared" ref="AB7:AB13" si="7">IMARGUMENT(Z7)</f>
        <v>4.1781695595887363E-3</v>
      </c>
      <c r="AC7" s="90" t="str">
        <f t="shared" ref="AC7:AC13" si="8">(IMDIV(IMPRODUCT(P7,T7,W7),IMPRODUCT(Q7,Z7)))</f>
        <v>0.121304891193227-1.38187145397556i</v>
      </c>
      <c r="AD7" s="91">
        <f t="shared" ref="AD7:AD13" si="9">20*LOG(IMABS(AC7))</f>
        <v>2.8426907671355433</v>
      </c>
      <c r="AE7" s="92">
        <f t="shared" ref="AE7:AE13" si="10">(180/PI())*IMARGUMENT(AC7)</f>
        <v>-84.983261439889034</v>
      </c>
      <c r="AF7" s="51" t="e">
        <f>COMPLEX($B$68,0)</f>
        <v>#NUM!</v>
      </c>
      <c r="AG7" s="51" t="str">
        <f t="shared" ref="AG7:AG13" si="11">IMSUM(COMPLEX(1,0),IMDIV(COMPLEX(0,2*PI()*O7),COMPLEX(wp_lf_DCM,0)))</f>
        <v>1-7.34594122199397i</v>
      </c>
      <c r="AH7" s="51">
        <f>IMABS(AG7)</f>
        <v>7.4136935758763487</v>
      </c>
      <c r="AI7" s="51">
        <f>IMARGUMENT(AG7)</f>
        <v>-1.435498389268244</v>
      </c>
      <c r="AJ7" s="51" t="str">
        <f t="shared" ref="AJ7:AJ13" si="12">IMSUM(COMPLEX(1,0),IMDIV(COMPLEX(0,2*PI()*O7),COMPLEX(wz1_dcm,0)))</f>
        <v>1+0.0171405295179859i</v>
      </c>
      <c r="AK7" s="51">
        <f>IMABS(AJ7)</f>
        <v>1.0001468880880233</v>
      </c>
      <c r="AL7" s="51">
        <f>IMARGUMENT(AJ7)</f>
        <v>1.713885119748032E-2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-0.000133283554228113</v>
      </c>
      <c r="AT7" s="87" t="str">
        <f t="shared" ref="AT7:AT13" si="15">COMPLEX(0,2*PI()*O7*wp0_ea)</f>
        <v>0.00104728635354894i</v>
      </c>
      <c r="AU7" s="87">
        <f t="shared" ref="AU7:AU13" si="16">IMABS(AT7)</f>
        <v>1.04728635354894E-3</v>
      </c>
      <c r="AV7" s="87">
        <f t="shared" ref="AV7:AV13" si="17">IMARGUMENT(AT7)</f>
        <v>1.5707963267948966</v>
      </c>
      <c r="AW7" s="87" t="str">
        <f t="shared" ref="AW7:AW13" si="18">IMSUM(COMPLEX(1,0),IMDIV(COMPLEX(0,2*PI()*O7),COMPLEX(wp1_ea,0)))</f>
        <v>1+0.183110257007378i</v>
      </c>
      <c r="AX7" s="87">
        <f t="shared" ref="AX7:AX13" si="19">IMABS(AW7)</f>
        <v>1.0166264634669453</v>
      </c>
      <c r="AY7" s="87">
        <f t="shared" ref="AY7:AY13" si="20">IMARGUMENT(AW7)</f>
        <v>0.18110394356627815</v>
      </c>
      <c r="AZ7" s="87" t="str">
        <f t="shared" ref="AZ7:AZ13" si="21">IMSUM(COMPLEX(1,0),IMDIV(COMPLEX(0,2*PI()*O7),COMPLEX(wz_ea,0)))</f>
        <v>1+2.72878943979287i</v>
      </c>
      <c r="BA7" s="87">
        <f t="shared" ref="BA7:BA13" si="22">IMABS(AZ7)</f>
        <v>2.9062504721247078</v>
      </c>
      <c r="BB7" s="87">
        <f t="shared" ref="BB7:BB13" si="23">IMARGUMENT(AZ7)</f>
        <v>1.2195311922337477</v>
      </c>
      <c r="BC7" s="86" t="str">
        <f t="shared" ref="BC7:BC13" si="24">IMPRODUCT(AS7,IMDIV(AZ7,IMPRODUCT(AT7,AW7)))</f>
        <v>-0.313467103527628+0.184664668694714i</v>
      </c>
      <c r="BD7" s="87">
        <f t="shared" ref="BD7:BD13" si="25">20*LOG(IMABS(BC7))</f>
        <v>-8.7823449777140041</v>
      </c>
      <c r="BE7" s="92">
        <f t="shared" ref="BE7:BE13" si="26">(180/PI())*IMARGUMENT(BC7)</f>
        <v>149.49749868002809</v>
      </c>
      <c r="BF7" s="86" t="str">
        <f t="shared" ref="BF7:BF13" si="27">IMPRODUCT(AC7,BC7)</f>
        <v>0.217157741341005+0.455571969668476i</v>
      </c>
      <c r="BG7" s="91">
        <f t="shared" ref="BG7:BG13" si="28">20*LOG(IMABS(BF7))</f>
        <v>-5.939654210578464</v>
      </c>
      <c r="BH7" s="92">
        <f t="shared" ref="BH7:BH13" si="29">(180/PI())*IMARGUMENT(BF7)</f>
        <v>64.514237240138982</v>
      </c>
      <c r="BI7" s="86" t="e">
        <f>IMPRODUCT(AP7,BC7)</f>
        <v>#NUM!</v>
      </c>
      <c r="BJ7" s="91" t="e">
        <f t="shared" ref="BJ7:BJ13" si="30">20*LOG(IMABS(BI7))</f>
        <v>#NUM!</v>
      </c>
      <c r="BK7" s="92" t="e">
        <f t="shared" ref="BK7:BK13" si="31">(180/PI())*IMARGUMENT(BI7)</f>
        <v>#NUM!</v>
      </c>
      <c r="BL7" s="32">
        <f>IF($B$31=0,BJ7,BG7)</f>
        <v>-5.939654210578464</v>
      </c>
      <c r="BM7" s="32">
        <f>IF($B$31=0,BK7,BH7)</f>
        <v>64.514237240138982</v>
      </c>
    </row>
    <row r="8" spans="1:65" s="32" customFormat="1" ht="15" thickBot="1" x14ac:dyDescent="0.35">
      <c r="A8" s="11"/>
      <c r="B8" s="11"/>
      <c r="C8" s="11"/>
      <c r="D8" s="18"/>
      <c r="E8" s="104"/>
      <c r="F8" s="104"/>
      <c r="G8" s="104"/>
      <c r="H8" s="104"/>
      <c r="I8" s="104"/>
      <c r="J8" s="104"/>
      <c r="K8" s="104"/>
      <c r="L8" s="104"/>
      <c r="M8" s="26"/>
      <c r="N8" s="86" t="s">
        <v>257</v>
      </c>
      <c r="O8" s="92">
        <f>fcross</f>
        <v>2728</v>
      </c>
      <c r="P8" s="88" t="str">
        <f t="shared" ref="P8:P13" si="32">COMPLEX(Adc,0)</f>
        <v>21.1560044893378</v>
      </c>
      <c r="Q8" s="89" t="str">
        <f t="shared" ref="Q8:Q13" si="33">IMSUM(COMPLEX(1,0),IMDIV(COMPLEX(0,2*PI()*O8),COMPLEX(wp_lf,0)))</f>
        <v>1+11.9464296640508i</v>
      </c>
      <c r="R8" s="89">
        <f t="shared" si="0"/>
        <v>11.988210113195084</v>
      </c>
      <c r="S8" s="89">
        <f t="shared" si="1"/>
        <v>1.4872839991119264</v>
      </c>
      <c r="T8" s="89" t="str">
        <f t="shared" ref="T8:T13" si="34">IMSUM(COMPLEX(1,0),IMDIV(COMPLEX(0,2*PI()*O8),COMPLEX(wz_esr,0)))</f>
        <v>1+0.0171405295179859i</v>
      </c>
      <c r="U8" s="89">
        <f t="shared" si="2"/>
        <v>1.0001468880880233</v>
      </c>
      <c r="V8" s="89">
        <f t="shared" si="3"/>
        <v>1.713885119748032E-2</v>
      </c>
      <c r="W8" s="87" t="str">
        <f t="shared" ref="W8:W13" si="35">IMSUB(COMPLEX(1,0),IMDIV(COMPLEX(0,2*PI()*O8),COMPLEX(wz_rhp,0)))</f>
        <v>1-0.0076980247953558i</v>
      </c>
      <c r="X8" s="89">
        <f t="shared" si="4"/>
        <v>1.0000296293539257</v>
      </c>
      <c r="Y8" s="89">
        <f t="shared" si="5"/>
        <v>-7.6978727401753773E-3</v>
      </c>
      <c r="Z8" s="87" t="str">
        <f t="shared" ref="Z8:Z13" si="36">IMSUM(COMPLEX(1,0),IMDIV(COMPLEX(0,2*PI()*O8),COMPLEX(Q*(wsl/2),0)),IMDIV(IMPOWER(COMPLEX(0,2*PI()*O8),2),IMPOWER(COMPLEX(wsl/2,0),2)))</f>
        <v>0.999992558016+0.00420141703967675i</v>
      </c>
      <c r="AA8" s="89">
        <f t="shared" si="6"/>
        <v>1.0000013839953044</v>
      </c>
      <c r="AB8" s="89">
        <f t="shared" si="7"/>
        <v>4.2014235854927143E-3</v>
      </c>
      <c r="AC8" s="90" t="str">
        <f t="shared" si="8"/>
        <v>0.156445341033369-1.75809631014958i</v>
      </c>
      <c r="AD8" s="91">
        <f t="shared" si="9"/>
        <v>4.9351071810119551</v>
      </c>
      <c r="AE8" s="92">
        <f t="shared" si="10"/>
        <v>-84.914891705770216</v>
      </c>
      <c r="AF8" s="51" t="e">
        <f t="shared" ref="AF8:AF13" si="37">COMPLEX($B$68,0)</f>
        <v>#NUM!</v>
      </c>
      <c r="AG8" s="51" t="str">
        <f t="shared" si="11"/>
        <v>1-7.34594122199397i</v>
      </c>
      <c r="AH8" s="51">
        <f t="shared" ref="AH8:AH13" si="38">IMABS(AG8)</f>
        <v>7.4136935758763487</v>
      </c>
      <c r="AI8" s="51">
        <f t="shared" ref="AI8:AI13" si="39">IMARGUMENT(AG8)</f>
        <v>-1.435498389268244</v>
      </c>
      <c r="AJ8" s="51" t="str">
        <f t="shared" si="12"/>
        <v>1+0.0171405295179859i</v>
      </c>
      <c r="AK8" s="51">
        <f t="shared" ref="AK8:AK13" si="40">IMABS(AJ8)</f>
        <v>1.0001468880880233</v>
      </c>
      <c r="AL8" s="51">
        <f t="shared" ref="AL8:AL13" si="41">IMARGUMENT(AJ8)</f>
        <v>1.713885119748032E-2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-0.000133283554228113</v>
      </c>
      <c r="AT8" s="87" t="str">
        <f t="shared" si="15"/>
        <v>0.00104728635354894i</v>
      </c>
      <c r="AU8" s="87">
        <f t="shared" si="16"/>
        <v>1.04728635354894E-3</v>
      </c>
      <c r="AV8" s="87">
        <f t="shared" si="17"/>
        <v>1.5707963267948966</v>
      </c>
      <c r="AW8" s="87" t="str">
        <f t="shared" si="18"/>
        <v>1+0.183110257007378i</v>
      </c>
      <c r="AX8" s="87">
        <f t="shared" si="19"/>
        <v>1.0166264634669453</v>
      </c>
      <c r="AY8" s="87">
        <f t="shared" si="20"/>
        <v>0.18110394356627815</v>
      </c>
      <c r="AZ8" s="87" t="str">
        <f t="shared" si="21"/>
        <v>1+2.72878943979287i</v>
      </c>
      <c r="BA8" s="87">
        <f t="shared" si="22"/>
        <v>2.9062504721247078</v>
      </c>
      <c r="BB8" s="87">
        <f t="shared" si="23"/>
        <v>1.2195311922337477</v>
      </c>
      <c r="BC8" s="86" t="str">
        <f t="shared" si="24"/>
        <v>-0.313467103527628+0.184664668694714i</v>
      </c>
      <c r="BD8" s="87">
        <f t="shared" si="25"/>
        <v>-8.7823449777140041</v>
      </c>
      <c r="BE8" s="92">
        <f t="shared" si="26"/>
        <v>149.49749868002809</v>
      </c>
      <c r="BF8" s="86" t="str">
        <f t="shared" si="27"/>
        <v>0.275617804733049+0.579995285135958i</v>
      </c>
      <c r="BG8" s="91">
        <f t="shared" si="28"/>
        <v>-3.8472377967020508</v>
      </c>
      <c r="BH8" s="92">
        <f t="shared" si="29"/>
        <v>64.582606974257885</v>
      </c>
      <c r="BI8" s="86" t="e">
        <f t="shared" ref="BI8:BI13" si="47">IMPRODUCT(AP8,BC8)</f>
        <v>#NUM!</v>
      </c>
      <c r="BJ8" s="91" t="e">
        <f t="shared" si="30"/>
        <v>#NUM!</v>
      </c>
      <c r="BK8" s="92" t="e">
        <f t="shared" si="31"/>
        <v>#NUM!</v>
      </c>
      <c r="BL8" s="32">
        <f t="shared" ref="BL8:BL13" si="48">IF($B$31=0,BJ8,BG8)</f>
        <v>-3.8472377967020508</v>
      </c>
      <c r="BM8" s="32">
        <f t="shared" ref="BM8:BM13" si="49">IF($B$31=0,BK8,BH8)</f>
        <v>64.582606974257885</v>
      </c>
    </row>
    <row r="9" spans="1:65" s="32" customFormat="1" ht="15" thickBot="1" x14ac:dyDescent="0.35">
      <c r="A9" s="71" t="s">
        <v>166</v>
      </c>
      <c r="B9" s="11"/>
      <c r="C9" s="11"/>
      <c r="D9" s="18"/>
      <c r="E9" s="36"/>
      <c r="F9" s="36"/>
      <c r="G9" s="36"/>
      <c r="H9" s="47"/>
      <c r="I9" s="47"/>
      <c r="J9" s="47"/>
      <c r="K9" s="36"/>
      <c r="L9" s="36"/>
      <c r="M9" s="26"/>
      <c r="N9" s="73" t="s">
        <v>258</v>
      </c>
      <c r="O9" s="93">
        <f>IF($B$31=0,B74,wz_rhp/(2*PI()))</f>
        <v>354376.61900566961</v>
      </c>
      <c r="P9" s="74" t="str">
        <f t="shared" si="32"/>
        <v>21.1560044893378</v>
      </c>
      <c r="Q9" s="75" t="str">
        <f t="shared" si="33"/>
        <v>1+1551.88246097337i</v>
      </c>
      <c r="R9" s="75">
        <f t="shared" si="0"/>
        <v>1551.8827831626857</v>
      </c>
      <c r="S9" s="75">
        <f t="shared" si="1"/>
        <v>1.5701519481858588</v>
      </c>
      <c r="T9" s="75" t="str">
        <f t="shared" si="34"/>
        <v>1+2.2266139657444i</v>
      </c>
      <c r="U9" s="75">
        <f t="shared" si="2"/>
        <v>2.440862501749741</v>
      </c>
      <c r="V9" s="75">
        <f t="shared" si="3"/>
        <v>1.1486807530172598</v>
      </c>
      <c r="W9" s="76" t="str">
        <f t="shared" si="35"/>
        <v>1-i</v>
      </c>
      <c r="X9" s="75">
        <f t="shared" si="4"/>
        <v>1.4142135623730951</v>
      </c>
      <c r="Y9" s="75">
        <f t="shared" si="5"/>
        <v>-0.78539816339744828</v>
      </c>
      <c r="Z9" s="76" t="str">
        <f t="shared" si="36"/>
        <v>0.874417211902111+0.545778579748334i</v>
      </c>
      <c r="AA9" s="75">
        <f t="shared" si="6"/>
        <v>1.030766568425058</v>
      </c>
      <c r="AB9" s="75">
        <f t="shared" si="7"/>
        <v>0.55799696220529893</v>
      </c>
      <c r="AC9" s="77" t="str">
        <f t="shared" si="8"/>
        <v>-0.00880443589141507-0.044796327736357i</v>
      </c>
      <c r="AD9" s="78">
        <f t="shared" si="9"/>
        <v>-26.810545510239177</v>
      </c>
      <c r="AE9" s="79">
        <f t="shared" si="10"/>
        <v>-101.11939158497985</v>
      </c>
      <c r="AF9" s="51" t="e">
        <f t="shared" si="37"/>
        <v>#NUM!</v>
      </c>
      <c r="AG9" s="51" t="str">
        <f t="shared" si="11"/>
        <v>1-954.263128176173i</v>
      </c>
      <c r="AH9" s="51">
        <f t="shared" si="38"/>
        <v>954.26365214052623</v>
      </c>
      <c r="AI9" s="51">
        <f t="shared" si="39"/>
        <v>-1.5697483981844098</v>
      </c>
      <c r="AJ9" s="51" t="str">
        <f t="shared" si="12"/>
        <v>1+2.2266139657444i</v>
      </c>
      <c r="AK9" s="51">
        <f t="shared" si="40"/>
        <v>2.440862501749741</v>
      </c>
      <c r="AL9" s="51">
        <f t="shared" si="41"/>
        <v>1.1486807530172598</v>
      </c>
      <c r="AM9" s="51" t="e">
        <f t="shared" si="13"/>
        <v>#NUM!</v>
      </c>
      <c r="AN9" s="51" t="e">
        <f t="shared" si="42"/>
        <v>#NUM!</v>
      </c>
      <c r="AO9" s="51" t="e">
        <f t="shared" si="43"/>
        <v>#NUM!</v>
      </c>
      <c r="AP9" s="60" t="e">
        <f t="shared" si="44"/>
        <v>#NUM!</v>
      </c>
      <c r="AQ9" s="51" t="e">
        <f t="shared" si="45"/>
        <v>#NUM!</v>
      </c>
      <c r="AR9" s="63" t="e">
        <f t="shared" si="46"/>
        <v>#NUM!</v>
      </c>
      <c r="AS9" s="76" t="str">
        <f t="shared" si="14"/>
        <v>-0.000133283554228113</v>
      </c>
      <c r="AT9" s="76" t="str">
        <f t="shared" si="15"/>
        <v>0.136046113306983i</v>
      </c>
      <c r="AU9" s="76">
        <f t="shared" si="16"/>
        <v>0.13604611330698299</v>
      </c>
      <c r="AV9" s="76">
        <f t="shared" si="17"/>
        <v>1.5707963267948966</v>
      </c>
      <c r="AW9" s="76" t="str">
        <f t="shared" si="18"/>
        <v>1+23.7866546127323i</v>
      </c>
      <c r="AX9" s="76">
        <f t="shared" si="19"/>
        <v>23.80766552321791</v>
      </c>
      <c r="AY9" s="76">
        <f t="shared" si="20"/>
        <v>1.5287806878143495</v>
      </c>
      <c r="AZ9" s="76" t="str">
        <f t="shared" si="21"/>
        <v>1+354.479169960474i</v>
      </c>
      <c r="BA9" s="76">
        <f t="shared" si="22"/>
        <v>354.48058047778392</v>
      </c>
      <c r="BB9" s="76">
        <f t="shared" si="23"/>
        <v>1.5679752940460099</v>
      </c>
      <c r="BC9" s="73" t="str">
        <f t="shared" si="24"/>
        <v>-0.000571585452615413+0.0145757996937619i</v>
      </c>
      <c r="BD9" s="76">
        <f t="shared" si="25"/>
        <v>-36.720678756188967</v>
      </c>
      <c r="BE9" s="79">
        <f t="shared" si="26"/>
        <v>92.245685516751294</v>
      </c>
      <c r="BF9" s="73" t="str">
        <f t="shared" si="27"/>
        <v>0.000657974787575268-0.00010272676470514i</v>
      </c>
      <c r="BG9" s="78">
        <f t="shared" si="28"/>
        <v>-63.53122426642814</v>
      </c>
      <c r="BH9" s="79">
        <f t="shared" si="29"/>
        <v>-8.8737060682285431</v>
      </c>
      <c r="BI9" s="86" t="e">
        <f t="shared" si="47"/>
        <v>#NUM!</v>
      </c>
      <c r="BJ9" s="78" t="e">
        <f t="shared" si="30"/>
        <v>#NUM!</v>
      </c>
      <c r="BK9" s="79" t="e">
        <f t="shared" si="31"/>
        <v>#NUM!</v>
      </c>
      <c r="BL9" s="32">
        <f t="shared" si="48"/>
        <v>-63.53122426642814</v>
      </c>
      <c r="BM9" s="32">
        <f t="shared" si="49"/>
        <v>-8.8737060682285431</v>
      </c>
    </row>
    <row r="10" spans="1:65" s="32" customFormat="1" ht="15" thickBot="1" x14ac:dyDescent="0.35">
      <c r="A10" s="32" t="s">
        <v>25</v>
      </c>
      <c r="B10" s="3">
        <f>VIN_min</f>
        <v>8</v>
      </c>
      <c r="C10" s="32" t="s">
        <v>10</v>
      </c>
      <c r="E10" s="32" t="s">
        <v>28</v>
      </c>
      <c r="N10" s="60" t="s">
        <v>216</v>
      </c>
      <c r="O10" s="94">
        <f>IF(B31=0,B72,wz_esr/(2*PI()))</f>
        <v>159154.94309189534</v>
      </c>
      <c r="P10" s="80" t="str">
        <f t="shared" si="32"/>
        <v>21.1560044893378</v>
      </c>
      <c r="Q10" s="81" t="str">
        <f t="shared" si="33"/>
        <v>1+696.969696969698i</v>
      </c>
      <c r="R10" s="81">
        <f t="shared" si="0"/>
        <v>696.97041436063319</v>
      </c>
      <c r="S10" s="81">
        <f t="shared" si="1"/>
        <v>1.5693615451707481</v>
      </c>
      <c r="T10" s="81" t="str">
        <f t="shared" si="34"/>
        <v>1+i</v>
      </c>
      <c r="U10" s="81">
        <f t="shared" si="2"/>
        <v>1.4142135623730951</v>
      </c>
      <c r="V10" s="81">
        <f t="shared" si="3"/>
        <v>0.78539816339744828</v>
      </c>
      <c r="W10" s="51" t="str">
        <f t="shared" si="35"/>
        <v>1-0.449112426035503i</v>
      </c>
      <c r="X10" s="81">
        <f t="shared" si="4"/>
        <v>1.0962216797799136</v>
      </c>
      <c r="Y10" s="81">
        <f t="shared" si="5"/>
        <v>-0.4221155737776367</v>
      </c>
      <c r="Z10" s="51" t="str">
        <f t="shared" si="36"/>
        <v>0.974669704089416+0.245115942028986i</v>
      </c>
      <c r="AA10" s="81">
        <f t="shared" si="6"/>
        <v>1.0050188342048656</v>
      </c>
      <c r="AB10" s="81">
        <f t="shared" si="7"/>
        <v>0.24637691294095171</v>
      </c>
      <c r="AC10" s="68" t="str">
        <f t="shared" si="8"/>
        <v>0.0055281216029194-0.0464954372279228i</v>
      </c>
      <c r="AD10" s="66">
        <f t="shared" si="9"/>
        <v>-26.590830172270927</v>
      </c>
      <c r="AE10" s="63">
        <f t="shared" si="10"/>
        <v>-83.219591193593743</v>
      </c>
      <c r="AF10" s="51" t="e">
        <f t="shared" si="37"/>
        <v>#NUM!</v>
      </c>
      <c r="AG10" s="51" t="str">
        <f t="shared" si="11"/>
        <v>1-428.571428571429i</v>
      </c>
      <c r="AH10" s="51">
        <f t="shared" si="38"/>
        <v>428.57259523650777</v>
      </c>
      <c r="AI10" s="51">
        <f t="shared" si="39"/>
        <v>-1.5684629976961173</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-0.000133283554228113</v>
      </c>
      <c r="AT10" s="51" t="str">
        <f t="shared" si="15"/>
        <v>0.0611i</v>
      </c>
      <c r="AU10" s="51">
        <f t="shared" si="16"/>
        <v>6.1100000000000002E-2</v>
      </c>
      <c r="AV10" s="51">
        <f t="shared" si="17"/>
        <v>1.5707963267948966</v>
      </c>
      <c r="AW10" s="51" t="str">
        <f t="shared" si="18"/>
        <v>1+10.6828821603928i</v>
      </c>
      <c r="AX10" s="51">
        <f t="shared" si="19"/>
        <v>10.729583927293675</v>
      </c>
      <c r="AY10" s="51">
        <f t="shared" si="20"/>
        <v>1.4774606103496717</v>
      </c>
      <c r="AZ10" s="51" t="str">
        <f t="shared" si="21"/>
        <v>1+159.201i</v>
      </c>
      <c r="BA10" s="51">
        <f t="shared" si="22"/>
        <v>159.20414065281091</v>
      </c>
      <c r="BB10" s="51">
        <f t="shared" si="23"/>
        <v>1.5645150418252558</v>
      </c>
      <c r="BC10" s="60" t="str">
        <f t="shared" si="24"/>
        <v>-0.00281416158002934+0.0322447567726241i</v>
      </c>
      <c r="BD10" s="51">
        <f t="shared" si="25"/>
        <v>-29.797863342986147</v>
      </c>
      <c r="BE10" s="63">
        <f t="shared" si="26"/>
        <v>94.987851511461827</v>
      </c>
      <c r="BF10" s="60" t="str">
        <f t="shared" si="27"/>
        <v>0.00148367703702652+0.000309098609589111i</v>
      </c>
      <c r="BG10" s="66">
        <f t="shared" si="28"/>
        <v>-56.38869351525706</v>
      </c>
      <c r="BH10" s="63">
        <f t="shared" si="29"/>
        <v>11.768260317868046</v>
      </c>
      <c r="BI10" s="86" t="e">
        <f t="shared" si="47"/>
        <v>#NUM!</v>
      </c>
      <c r="BJ10" s="66" t="e">
        <f t="shared" si="30"/>
        <v>#NUM!</v>
      </c>
      <c r="BK10" s="63" t="e">
        <f t="shared" si="31"/>
        <v>#NUM!</v>
      </c>
      <c r="BL10" s="32">
        <f t="shared" si="48"/>
        <v>-56.38869351525706</v>
      </c>
      <c r="BM10" s="32">
        <f t="shared" si="49"/>
        <v>11.768260317868046</v>
      </c>
    </row>
    <row r="11" spans="1:65" s="32" customFormat="1" ht="15" thickBot="1" x14ac:dyDescent="0.35">
      <c r="A11" s="32" t="s">
        <v>26</v>
      </c>
      <c r="B11" s="3">
        <f>VIN_nom</f>
        <v>12</v>
      </c>
      <c r="C11" s="32" t="s">
        <v>10</v>
      </c>
      <c r="E11" s="32" t="s">
        <v>29</v>
      </c>
      <c r="N11" s="64" t="s">
        <v>214</v>
      </c>
      <c r="O11" s="95">
        <f>IF(B31=0,B70,wp_lf/(2*PI()))</f>
        <v>228.35274443619764</v>
      </c>
      <c r="P11" s="82" t="str">
        <f t="shared" si="32"/>
        <v>21.1560044893378</v>
      </c>
      <c r="Q11" s="56" t="str">
        <f t="shared" si="33"/>
        <v>1+i</v>
      </c>
      <c r="R11" s="56">
        <f t="shared" si="0"/>
        <v>1.4142135623730951</v>
      </c>
      <c r="S11" s="56">
        <f t="shared" si="1"/>
        <v>0.78539816339744828</v>
      </c>
      <c r="T11" s="56" t="str">
        <f t="shared" si="34"/>
        <v>1+0.00143478260869565i</v>
      </c>
      <c r="U11" s="56">
        <f t="shared" si="2"/>
        <v>1.0000010293000374</v>
      </c>
      <c r="V11" s="56">
        <f t="shared" si="3"/>
        <v>1.4347816241484974E-3</v>
      </c>
      <c r="W11" s="57" t="str">
        <f t="shared" si="35"/>
        <v>1-0.000644378698224851i</v>
      </c>
      <c r="X11" s="56">
        <f t="shared" si="4"/>
        <v>1.0000002076119319</v>
      </c>
      <c r="Y11" s="56">
        <f t="shared" si="5"/>
        <v>-6.4437860903772642E-4</v>
      </c>
      <c r="Z11" s="57" t="str">
        <f t="shared" si="36"/>
        <v>0.999999947855024+0.00035168809073724i</v>
      </c>
      <c r="AA11" s="56">
        <f t="shared" si="6"/>
        <v>1.0000000096972819</v>
      </c>
      <c r="AB11" s="56">
        <f t="shared" si="7"/>
        <v>3.5168809457655005E-4</v>
      </c>
      <c r="AC11" s="61" t="str">
        <f t="shared" si="8"/>
        <v>10.5826549411319-10.5733734752109i</v>
      </c>
      <c r="AD11" s="67">
        <f t="shared" si="9"/>
        <v>23.498383712905515</v>
      </c>
      <c r="AE11" s="65">
        <f t="shared" si="10"/>
        <v>-44.974863486643883</v>
      </c>
      <c r="AF11" s="51" t="e">
        <f t="shared" si="37"/>
        <v>#NUM!</v>
      </c>
      <c r="AG11" s="51" t="str">
        <f t="shared" si="11"/>
        <v>1-0.614906832298137i</v>
      </c>
      <c r="AH11" s="51">
        <f t="shared" si="38"/>
        <v>1.1739294750567129</v>
      </c>
      <c r="AI11" s="51">
        <f t="shared" si="39"/>
        <v>-0.55130836209182221</v>
      </c>
      <c r="AJ11" s="51" t="str">
        <f t="shared" si="12"/>
        <v>1+0.00143478260869565i</v>
      </c>
      <c r="AK11" s="51">
        <f t="shared" si="40"/>
        <v>1.0000010293000374</v>
      </c>
      <c r="AL11" s="51">
        <f t="shared" si="41"/>
        <v>1.4347816241484974E-3</v>
      </c>
      <c r="AM11" s="51" t="e">
        <f t="shared" si="13"/>
        <v>#NUM!</v>
      </c>
      <c r="AN11" s="51" t="e">
        <f t="shared" si="42"/>
        <v>#NUM!</v>
      </c>
      <c r="AO11" s="51" t="e">
        <f t="shared" si="43"/>
        <v>#NUM!</v>
      </c>
      <c r="AP11" s="60" t="e">
        <f t="shared" si="44"/>
        <v>#NUM!</v>
      </c>
      <c r="AQ11" s="51" t="e">
        <f t="shared" si="45"/>
        <v>#NUM!</v>
      </c>
      <c r="AR11" s="63" t="e">
        <f t="shared" si="46"/>
        <v>#NUM!</v>
      </c>
      <c r="AS11" s="57" t="str">
        <f t="shared" si="14"/>
        <v>-0.000133283554228113</v>
      </c>
      <c r="AT11" s="57" t="str">
        <f t="shared" si="15"/>
        <v>0.0000876652173913043i</v>
      </c>
      <c r="AU11" s="57">
        <f t="shared" si="16"/>
        <v>8.7665217391304294E-5</v>
      </c>
      <c r="AV11" s="57">
        <f t="shared" si="17"/>
        <v>1.5707963267948966</v>
      </c>
      <c r="AW11" s="57" t="str">
        <f t="shared" si="18"/>
        <v>1+0.0153276135344766i</v>
      </c>
      <c r="AX11" s="57">
        <f t="shared" si="19"/>
        <v>1.0001174609697914</v>
      </c>
      <c r="AY11" s="57">
        <f t="shared" si="20"/>
        <v>1.532641336892346E-2</v>
      </c>
      <c r="AZ11" s="57" t="str">
        <f t="shared" si="21"/>
        <v>1+0.228418826086956i</v>
      </c>
      <c r="BA11" s="57">
        <f t="shared" si="22"/>
        <v>1.0257558969418323</v>
      </c>
      <c r="BB11" s="57">
        <f t="shared" si="23"/>
        <v>0.2245661379731145</v>
      </c>
      <c r="BC11" s="64" t="str">
        <f t="shared" si="24"/>
        <v>-0.323901360835326+1.52533449415242i</v>
      </c>
      <c r="BD11" s="57">
        <f t="shared" si="25"/>
        <v>3.8588452799154576</v>
      </c>
      <c r="BE11" s="65">
        <f t="shared" si="26"/>
        <v>101.98855312629982</v>
      </c>
      <c r="BF11" s="64" t="str">
        <f t="shared" si="27"/>
        <v>12.7001949446121+19.566818678662i</v>
      </c>
      <c r="BG11" s="67">
        <f t="shared" si="28"/>
        <v>27.357228992820971</v>
      </c>
      <c r="BH11" s="65">
        <f t="shared" si="29"/>
        <v>57.013689639656015</v>
      </c>
      <c r="BI11" s="86" t="e">
        <f t="shared" si="47"/>
        <v>#NUM!</v>
      </c>
      <c r="BJ11" s="67" t="e">
        <f t="shared" si="30"/>
        <v>#NUM!</v>
      </c>
      <c r="BK11" s="65" t="e">
        <f t="shared" si="31"/>
        <v>#NUM!</v>
      </c>
      <c r="BL11" s="32">
        <f t="shared" si="48"/>
        <v>27.357228992820971</v>
      </c>
      <c r="BM11" s="32">
        <f t="shared" si="49"/>
        <v>57.013689639656015</v>
      </c>
    </row>
    <row r="12" spans="1:65" s="32" customFormat="1" ht="15" thickBot="1" x14ac:dyDescent="0.35">
      <c r="A12" s="32" t="s">
        <v>27</v>
      </c>
      <c r="B12" s="3">
        <f>VIN_max</f>
        <v>18</v>
      </c>
      <c r="C12" s="32" t="s">
        <v>10</v>
      </c>
      <c r="E12" s="32" t="s">
        <v>30</v>
      </c>
      <c r="N12" s="73" t="s">
        <v>224</v>
      </c>
      <c r="O12" s="79">
        <f>wz_ea/(2*PI())</f>
        <v>999.71069963062632</v>
      </c>
      <c r="P12" s="74" t="str">
        <f t="shared" si="32"/>
        <v>21.1560044893378</v>
      </c>
      <c r="Q12" s="75" t="str">
        <f t="shared" si="33"/>
        <v>1+4.37792285833442i</v>
      </c>
      <c r="R12" s="75">
        <f t="shared" si="0"/>
        <v>4.4906801882929734</v>
      </c>
      <c r="S12" s="75">
        <f t="shared" si="1"/>
        <v>1.346230188821782</v>
      </c>
      <c r="T12" s="75" t="str">
        <f t="shared" si="34"/>
        <v>1+0.00628136757934938i</v>
      </c>
      <c r="U12" s="75">
        <f t="shared" si="2"/>
        <v>1.0000197275947444</v>
      </c>
      <c r="V12" s="75">
        <f t="shared" si="3"/>
        <v>6.281284969640798E-3</v>
      </c>
      <c r="W12" s="76" t="str">
        <f t="shared" si="35"/>
        <v>1-0.00282104023238236i</v>
      </c>
      <c r="X12" s="75">
        <f t="shared" si="4"/>
        <v>1.0000039791260797</v>
      </c>
      <c r="Y12" s="75">
        <f t="shared" si="5"/>
        <v>-2.8210327488866972E-3</v>
      </c>
      <c r="Z12" s="76" t="str">
        <f t="shared" si="36"/>
        <v>0.999999000578517+0.00153966333144255i</v>
      </c>
      <c r="AA12" s="75">
        <f t="shared" si="6"/>
        <v>1.0000001858605863</v>
      </c>
      <c r="AB12" s="75">
        <f t="shared" si="7"/>
        <v>1.539663653591716E-3</v>
      </c>
      <c r="AC12" s="77" t="str">
        <f t="shared" si="8"/>
        <v>1.05792572621261-4.59088430813523i</v>
      </c>
      <c r="AD12" s="78">
        <f t="shared" si="9"/>
        <v>13.462634765600747</v>
      </c>
      <c r="AE12" s="79">
        <f t="shared" si="10"/>
        <v>-77.023266453508583</v>
      </c>
      <c r="AF12" s="51" t="e">
        <f t="shared" si="37"/>
        <v>#NUM!</v>
      </c>
      <c r="AG12" s="51" t="str">
        <f t="shared" si="11"/>
        <v>1-2.69201467686402i</v>
      </c>
      <c r="AH12" s="51">
        <f t="shared" si="38"/>
        <v>2.8717491221294544</v>
      </c>
      <c r="AI12" s="51">
        <f t="shared" si="39"/>
        <v>-1.2151249157032735</v>
      </c>
      <c r="AJ12" s="51" t="str">
        <f t="shared" si="12"/>
        <v>1+0.00628136757934938i</v>
      </c>
      <c r="AK12" s="51">
        <f t="shared" si="40"/>
        <v>1.0000197275947444</v>
      </c>
      <c r="AL12" s="51">
        <f t="shared" si="41"/>
        <v>6.281284969640798E-3</v>
      </c>
      <c r="AM12" s="51" t="e">
        <f t="shared" si="13"/>
        <v>#NUM!</v>
      </c>
      <c r="AN12" s="51" t="e">
        <f t="shared" si="42"/>
        <v>#NUM!</v>
      </c>
      <c r="AO12" s="51" t="e">
        <f t="shared" si="43"/>
        <v>#NUM!</v>
      </c>
      <c r="AP12" s="60" t="e">
        <f t="shared" si="44"/>
        <v>#NUM!</v>
      </c>
      <c r="AQ12" s="51" t="e">
        <f t="shared" si="45"/>
        <v>#NUM!</v>
      </c>
      <c r="AR12" s="63" t="e">
        <f t="shared" si="46"/>
        <v>#NUM!</v>
      </c>
      <c r="AS12" s="76" t="str">
        <f t="shared" si="14"/>
        <v>-0.000133283554228113</v>
      </c>
      <c r="AT12" s="76" t="str">
        <f t="shared" si="15"/>
        <v>0.000383791559098247i</v>
      </c>
      <c r="AU12" s="76">
        <f t="shared" si="16"/>
        <v>3.83791559098247E-4</v>
      </c>
      <c r="AV12" s="76">
        <f t="shared" si="17"/>
        <v>1.5707963267948966</v>
      </c>
      <c r="AW12" s="76" t="str">
        <f t="shared" si="18"/>
        <v>1+0.0671031096563012i</v>
      </c>
      <c r="AX12" s="76">
        <f t="shared" si="19"/>
        <v>1.0022488849210787</v>
      </c>
      <c r="AY12" s="76">
        <f t="shared" si="20"/>
        <v>6.7002662988107212E-2</v>
      </c>
      <c r="AZ12" s="76" t="str">
        <f t="shared" si="21"/>
        <v>1+i</v>
      </c>
      <c r="BA12" s="76">
        <f t="shared" si="22"/>
        <v>1.4142135623730951</v>
      </c>
      <c r="BB12" s="76">
        <f t="shared" si="23"/>
        <v>0.78539816339744828</v>
      </c>
      <c r="BC12" s="73" t="str">
        <f t="shared" si="24"/>
        <v>-0.322525181639079+0.368923541102946i</v>
      </c>
      <c r="BD12" s="76">
        <f t="shared" si="25"/>
        <v>-6.195588747411743</v>
      </c>
      <c r="BE12" s="79">
        <f t="shared" si="26"/>
        <v>131.16103019464407</v>
      </c>
      <c r="BF12" s="73" t="str">
        <f t="shared" si="27"/>
        <v>1.35247760874382+1.87096950050357i</v>
      </c>
      <c r="BG12" s="78">
        <f t="shared" si="28"/>
        <v>7.2670460181889887</v>
      </c>
      <c r="BH12" s="79">
        <f t="shared" si="29"/>
        <v>54.137763741135458</v>
      </c>
      <c r="BI12" s="86" t="e">
        <f t="shared" si="47"/>
        <v>#NUM!</v>
      </c>
      <c r="BJ12" s="78" t="e">
        <f t="shared" si="30"/>
        <v>#NUM!</v>
      </c>
      <c r="BK12" s="79" t="e">
        <f t="shared" si="31"/>
        <v>#NUM!</v>
      </c>
      <c r="BL12" s="32">
        <f t="shared" si="48"/>
        <v>7.2670460181889887</v>
      </c>
      <c r="BM12" s="32">
        <f t="shared" si="49"/>
        <v>54.137763741135458</v>
      </c>
    </row>
    <row r="13" spans="1:65" s="32" customFormat="1" ht="15" thickBot="1" x14ac:dyDescent="0.35">
      <c r="A13" s="32" t="s">
        <v>66</v>
      </c>
      <c r="B13" s="3">
        <f>Fsw</f>
        <v>2000000</v>
      </c>
      <c r="C13" s="32" t="s">
        <v>67</v>
      </c>
      <c r="E13" s="32" t="s">
        <v>68</v>
      </c>
      <c r="N13" s="64" t="s">
        <v>230</v>
      </c>
      <c r="O13" s="65">
        <f>wp1_ea/(2*PI())</f>
        <v>14898.127743275916</v>
      </c>
      <c r="P13" s="82" t="str">
        <f t="shared" si="32"/>
        <v>21.1560044893378</v>
      </c>
      <c r="Q13" s="56" t="str">
        <f t="shared" si="33"/>
        <v>1+65.2417284498129i</v>
      </c>
      <c r="R13" s="56">
        <f t="shared" si="0"/>
        <v>65.249391806507475</v>
      </c>
      <c r="S13" s="56">
        <f t="shared" si="1"/>
        <v>1.5554699134259731</v>
      </c>
      <c r="T13" s="56" t="str">
        <f t="shared" si="34"/>
        <v>1+0.0936076973410358i</v>
      </c>
      <c r="U13" s="56">
        <f t="shared" si="2"/>
        <v>1.0043716448613487</v>
      </c>
      <c r="V13" s="56">
        <f t="shared" si="3"/>
        <v>9.333571644522487E-2</v>
      </c>
      <c r="W13" s="57" t="str">
        <f t="shared" si="35"/>
        <v>1-0.0420403800484297i</v>
      </c>
      <c r="X13" s="56">
        <f t="shared" si="4"/>
        <v>1.0008833066619787</v>
      </c>
      <c r="Y13" s="56">
        <f t="shared" si="5"/>
        <v>-4.2015638980547006E-2</v>
      </c>
      <c r="Z13" s="57" t="str">
        <f t="shared" si="36"/>
        <v>0.999778045789745+0.0229447389149122i</v>
      </c>
      <c r="AA13" s="56">
        <f t="shared" si="6"/>
        <v>1.0000413000906687</v>
      </c>
      <c r="AB13" s="56">
        <f t="shared" si="7"/>
        <v>2.2945804813700118E-2</v>
      </c>
      <c r="AC13" s="61" t="str">
        <f t="shared" si="8"/>
        <v>0.0142385953958616-0.32561342819296i</v>
      </c>
      <c r="AD13" s="67">
        <f t="shared" si="9"/>
        <v>-9.7376572850527516</v>
      </c>
      <c r="AE13" s="65">
        <f t="shared" si="10"/>
        <v>-87.496135129233309</v>
      </c>
      <c r="AF13" s="51" t="e">
        <f t="shared" si="37"/>
        <v>#NUM!</v>
      </c>
      <c r="AG13" s="51" t="str">
        <f t="shared" si="11"/>
        <v>1-40.1175845747297i</v>
      </c>
      <c r="AH13" s="51">
        <f t="shared" si="38"/>
        <v>40.130046001849912</v>
      </c>
      <c r="AI13" s="51">
        <f t="shared" si="39"/>
        <v>-1.5458747625007478</v>
      </c>
      <c r="AJ13" s="51" t="str">
        <f t="shared" si="12"/>
        <v>1+0.0936076973410358i</v>
      </c>
      <c r="AK13" s="51">
        <f t="shared" si="40"/>
        <v>1.0043716448613487</v>
      </c>
      <c r="AL13" s="51">
        <f t="shared" si="41"/>
        <v>9.333571644522487E-2</v>
      </c>
      <c r="AM13" s="51" t="e">
        <f t="shared" si="13"/>
        <v>#NUM!</v>
      </c>
      <c r="AN13" s="51" t="e">
        <f t="shared" si="42"/>
        <v>#NUM!</v>
      </c>
      <c r="AO13" s="51" t="e">
        <f t="shared" si="43"/>
        <v>#NUM!</v>
      </c>
      <c r="AP13" s="60" t="e">
        <f t="shared" si="44"/>
        <v>#NUM!</v>
      </c>
      <c r="AQ13" s="51" t="e">
        <f t="shared" si="45"/>
        <v>#NUM!</v>
      </c>
      <c r="AR13" s="63" t="e">
        <f t="shared" si="46"/>
        <v>#NUM!</v>
      </c>
      <c r="AS13" s="57" t="str">
        <f t="shared" si="14"/>
        <v>-0.000133283554228113</v>
      </c>
      <c r="AT13" s="57" t="str">
        <f t="shared" si="15"/>
        <v>0.00571943030753729i</v>
      </c>
      <c r="AU13" s="57">
        <f t="shared" si="16"/>
        <v>5.7194303075372901E-3</v>
      </c>
      <c r="AV13" s="57">
        <f t="shared" si="17"/>
        <v>1.5707963267948966</v>
      </c>
      <c r="AW13" s="57" t="str">
        <f t="shared" si="18"/>
        <v>1+i</v>
      </c>
      <c r="AX13" s="57">
        <f t="shared" si="19"/>
        <v>1.4142135623730951</v>
      </c>
      <c r="AY13" s="57">
        <f t="shared" si="20"/>
        <v>0.78539816339744828</v>
      </c>
      <c r="AZ13" s="57" t="str">
        <f t="shared" si="21"/>
        <v>1+14.9024390243902i</v>
      </c>
      <c r="BA13" s="57">
        <f t="shared" si="22"/>
        <v>14.935952894799446</v>
      </c>
      <c r="BB13" s="57">
        <f t="shared" si="23"/>
        <v>1.5037936638067892</v>
      </c>
      <c r="BC13" s="64" t="str">
        <f t="shared" si="24"/>
        <v>-0.161988728420069+0.18529237005243i</v>
      </c>
      <c r="BD13" s="57">
        <f t="shared" si="25"/>
        <v>-12.177165391217999</v>
      </c>
      <c r="BE13" s="65">
        <f t="shared" si="26"/>
        <v>131.16103019464404</v>
      </c>
      <c r="BF13" s="64" t="str">
        <f t="shared" si="27"/>
        <v>0.0580271918681068+0.0553840082765939i</v>
      </c>
      <c r="BG13" s="67">
        <f t="shared" si="28"/>
        <v>-21.914822676270745</v>
      </c>
      <c r="BH13" s="65">
        <f t="shared" si="29"/>
        <v>43.664895065410747</v>
      </c>
      <c r="BI13" s="86" t="e">
        <f t="shared" si="47"/>
        <v>#NUM!</v>
      </c>
      <c r="BJ13" s="67" t="e">
        <f t="shared" si="30"/>
        <v>#NUM!</v>
      </c>
      <c r="BK13" s="65" t="e">
        <f t="shared" si="31"/>
        <v>#NUM!</v>
      </c>
      <c r="BL13" s="32">
        <f t="shared" si="48"/>
        <v>-21.914822676270745</v>
      </c>
      <c r="BM13" s="32">
        <f t="shared" si="49"/>
        <v>43.664895065410747</v>
      </c>
    </row>
    <row r="14" spans="1:65" s="32" customFormat="1" x14ac:dyDescent="0.3">
      <c r="B14" s="27"/>
      <c r="O14" s="52"/>
    </row>
    <row r="15" spans="1:65" ht="15" thickBot="1" x14ac:dyDescent="0.35">
      <c r="A15" s="70" t="s">
        <v>473</v>
      </c>
      <c r="N15" s="32"/>
      <c r="O15" s="52" t="s">
        <v>193</v>
      </c>
      <c r="P15" s="32">
        <f>B16</f>
        <v>13</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13</v>
      </c>
      <c r="C16" t="s">
        <v>10</v>
      </c>
      <c r="E16" t="s">
        <v>196</v>
      </c>
      <c r="F16" s="32"/>
      <c r="G16" s="32"/>
      <c r="N16" s="32"/>
      <c r="O16" s="69"/>
      <c r="P16" s="247" t="s">
        <v>471</v>
      </c>
      <c r="Q16" s="247"/>
      <c r="R16" s="247"/>
      <c r="S16" s="247"/>
      <c r="T16" s="247"/>
      <c r="U16" s="247"/>
      <c r="V16" s="247"/>
      <c r="W16" s="247"/>
      <c r="X16" s="247"/>
      <c r="Y16" s="247"/>
      <c r="Z16" s="247"/>
      <c r="AA16" s="247"/>
      <c r="AB16" s="247"/>
      <c r="AC16" s="247"/>
      <c r="AD16" s="247"/>
      <c r="AE16" s="246"/>
      <c r="AF16" s="245" t="s">
        <v>472</v>
      </c>
      <c r="AG16" s="247"/>
      <c r="AH16" s="247"/>
      <c r="AI16" s="247"/>
      <c r="AJ16" s="247"/>
      <c r="AK16" s="247"/>
      <c r="AL16" s="247"/>
      <c r="AM16" s="247"/>
      <c r="AN16" s="247"/>
      <c r="AO16" s="247"/>
      <c r="AP16" s="247"/>
      <c r="AQ16" s="247"/>
      <c r="AR16" s="246"/>
      <c r="AS16" s="245" t="s">
        <v>223</v>
      </c>
      <c r="AT16" s="247"/>
      <c r="AU16" s="247"/>
      <c r="AV16" s="247"/>
      <c r="AW16" s="247"/>
      <c r="AX16" s="247"/>
      <c r="AY16" s="247"/>
      <c r="AZ16" s="247"/>
      <c r="BA16" s="247"/>
      <c r="BB16" s="247"/>
      <c r="BC16" s="247"/>
      <c r="BD16" s="247"/>
      <c r="BE16" s="246"/>
      <c r="BF16" s="245" t="s">
        <v>506</v>
      </c>
      <c r="BG16" s="247"/>
      <c r="BH16" s="246"/>
      <c r="BI16" s="245" t="s">
        <v>507</v>
      </c>
      <c r="BJ16" s="247"/>
      <c r="BK16" s="246"/>
      <c r="BL16" s="245" t="s">
        <v>508</v>
      </c>
      <c r="BM16" s="246"/>
    </row>
    <row r="17" spans="1:65" x14ac:dyDescent="0.3">
      <c r="A17" t="s">
        <v>389</v>
      </c>
      <c r="B17">
        <f>IOUT</f>
        <v>1</v>
      </c>
      <c r="C17" t="s">
        <v>11</v>
      </c>
      <c r="E17" t="s">
        <v>498</v>
      </c>
      <c r="N17" s="32"/>
      <c r="O17" s="54"/>
      <c r="P17" s="51"/>
      <c r="Q17" s="251" t="s">
        <v>214</v>
      </c>
      <c r="R17" s="251"/>
      <c r="S17" s="251"/>
      <c r="T17" s="249" t="s">
        <v>216</v>
      </c>
      <c r="U17" s="249"/>
      <c r="V17" s="249"/>
      <c r="W17" s="249" t="s">
        <v>258</v>
      </c>
      <c r="X17" s="249"/>
      <c r="Y17" s="249"/>
      <c r="Z17" s="249" t="s">
        <v>219</v>
      </c>
      <c r="AA17" s="249"/>
      <c r="AB17" s="249"/>
      <c r="AC17" s="248" t="s">
        <v>221</v>
      </c>
      <c r="AD17" s="249"/>
      <c r="AE17" s="250"/>
      <c r="AF17" s="217"/>
      <c r="AG17" s="251" t="s">
        <v>214</v>
      </c>
      <c r="AH17" s="251"/>
      <c r="AI17" s="251"/>
      <c r="AJ17" s="252" t="s">
        <v>216</v>
      </c>
      <c r="AK17" s="252"/>
      <c r="AL17" s="252"/>
      <c r="AM17" s="249" t="s">
        <v>258</v>
      </c>
      <c r="AN17" s="249"/>
      <c r="AO17" s="249"/>
      <c r="AP17" s="253" t="s">
        <v>221</v>
      </c>
      <c r="AQ17" s="252"/>
      <c r="AR17" s="254"/>
      <c r="AS17" s="51"/>
      <c r="AT17" s="249" t="s">
        <v>229</v>
      </c>
      <c r="AU17" s="249"/>
      <c r="AV17" s="249"/>
      <c r="AW17" s="249" t="s">
        <v>230</v>
      </c>
      <c r="AX17" s="249"/>
      <c r="AY17" s="249"/>
      <c r="AZ17" s="249" t="s">
        <v>224</v>
      </c>
      <c r="BA17" s="249"/>
      <c r="BB17" s="249"/>
      <c r="BC17" s="248" t="s">
        <v>221</v>
      </c>
      <c r="BD17" s="249"/>
      <c r="BE17" s="250"/>
      <c r="BF17" s="248" t="s">
        <v>221</v>
      </c>
      <c r="BG17" s="249"/>
      <c r="BH17" s="250"/>
      <c r="BI17" s="248" t="s">
        <v>221</v>
      </c>
      <c r="BJ17" s="249"/>
      <c r="BK17" s="250"/>
      <c r="BL17" s="51"/>
      <c r="BM17" s="63"/>
    </row>
    <row r="18" spans="1:65" ht="15" thickBot="1" x14ac:dyDescent="0.35">
      <c r="A18" t="s">
        <v>582</v>
      </c>
      <c r="B18">
        <f>VOUT/(VOUT+VIN_var)</f>
        <v>0.43478260869565216</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10</v>
      </c>
      <c r="C19" t="s">
        <v>10</v>
      </c>
      <c r="E19" t="s">
        <v>167</v>
      </c>
      <c r="N19" s="11">
        <v>1</v>
      </c>
      <c r="O19" s="52">
        <f>10^(1+(N19/100))</f>
        <v>10.232929922807543</v>
      </c>
      <c r="P19" s="50" t="str">
        <f t="shared" ref="P19:P82" si="50">COMPLEX(Adc,0)</f>
        <v>21.1560044893378</v>
      </c>
      <c r="Q19" s="18" t="str">
        <f t="shared" ref="Q19:Q82" si="51">IMSUM(COMPLEX(1,0),IMDIV(COMPLEX(0,2*PI()*O19),COMPLEX(wp_lf,0)))</f>
        <v>1+0.0448119419281456i</v>
      </c>
      <c r="R19" s="18">
        <f>IMABS(Q19)</f>
        <v>1.0010035515118672</v>
      </c>
      <c r="S19" s="18">
        <f>IMARGUMENT(Q19)</f>
        <v>4.4781982245624866E-2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1-0.0000288758608045861i</v>
      </c>
      <c r="X19" s="18">
        <f>IMABS(W19)</f>
        <v>1.0000000004169076</v>
      </c>
      <c r="Y19" s="18">
        <f>IMARGUMENT(W19)</f>
        <v>-2.8875860796560388E-5</v>
      </c>
      <c r="Z19" s="32" t="str">
        <f t="shared" ref="Z19:Z82" si="54">IMSUM(COMPLEX(1,0),IMDIV(COMPLEX(0,2*PI()*O19),COMPLEX(Q*(wsl/2),0)),IMDIV(IMPOWER(COMPLEX(0,2*PI()*O19),2),IMPOWER(COMPLEX(wsl/2,0),2)))</f>
        <v>0.999999999895287+0.0000157598262989376i</v>
      </c>
      <c r="AA19" s="18">
        <f>IMABS(Z19)</f>
        <v>1.0000000000194729</v>
      </c>
      <c r="AB19" s="18">
        <f>IMARGUMENT(Z19)</f>
        <v>1.5759826299283092E-5</v>
      </c>
      <c r="AC19" s="68" t="str">
        <f>(IMDIV(IMPRODUCT(P19,T19,W19),IMPRODUCT(Q19,Z19)))</f>
        <v>21.1136246917851-0.945726602714393i</v>
      </c>
      <c r="AD19" s="66">
        <f>20*LOG(IMABS(AC19))</f>
        <v>26.499960664749473</v>
      </c>
      <c r="AE19" s="63">
        <f>(180/PI())*IMARGUMENT(AC19)</f>
        <v>-2.564692162623214</v>
      </c>
      <c r="AF19" s="51" t="e">
        <f>COMPLEX($B$68,0)</f>
        <v>#NUM!</v>
      </c>
      <c r="AG19" s="51" t="str">
        <f t="shared" ref="AG19:AG82" si="55">IMSUM(COMPLEX(1,0),IMDIV(COMPLEX(0,2*PI()*O19),COMPLEX(wp_lf_DCM,0)))</f>
        <v>1-0.0275551692601641i</v>
      </c>
      <c r="AH19" s="51">
        <f>IMABS(AG19)</f>
        <v>1.0003795716391635</v>
      </c>
      <c r="AI19" s="51">
        <f>IMARGUMENT(AG19)</f>
        <v>-2.7548198338472298E-2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-0.000133283554228113</v>
      </c>
      <c r="AT19" s="32" t="str">
        <f t="shared" ref="AT19:AT82" si="59">COMPLEX(0,2*PI()*O19*wp0_ea)</f>
        <v>3.92844863085738E-06i</v>
      </c>
      <c r="AU19" s="32">
        <f>IMABS(AT19)</f>
        <v>3.9284486308573803E-6</v>
      </c>
      <c r="AV19" s="32">
        <f>IMARGUMENT(AT19)</f>
        <v>1.5707963267948966</v>
      </c>
      <c r="AW19" s="32" t="str">
        <f t="shared" ref="AW19:AW82" si="60">IMSUM(COMPLEX(1,0),IMDIV(COMPLEX(0,2*PI()*O19),COMPLEX(wp1_ea,0)))</f>
        <v>1+0.000686860127604024i</v>
      </c>
      <c r="AX19" s="32">
        <f>IMABS(AW19)</f>
        <v>1.0000002358883897</v>
      </c>
      <c r="AY19" s="32">
        <f>IMARGUMENT(AW19)</f>
        <v>6.8686001958915557E-4</v>
      </c>
      <c r="AZ19" s="32" t="str">
        <f t="shared" ref="AZ19:AZ82" si="61">IMSUM(COMPLEX(1,0),IMDIV(COMPLEX(0,2*PI()*O19),COMPLEX(wz_ea,0)))</f>
        <v>1+0.0102358911699039i</v>
      </c>
      <c r="BA19" s="32">
        <f>IMABS(AZ19)</f>
        <v>1.0000523853619081</v>
      </c>
      <c r="BB19" s="32">
        <f>IMARGUMENT(AZ19)</f>
        <v>1.0235533709102951E-2</v>
      </c>
      <c r="BC19" s="60" t="str">
        <f>IMPRODUCT(AS19,IMDIV(AZ19,IMPRODUCT(AT19,AW19)))</f>
        <v>-0.323977303995154+33.9280059226013i</v>
      </c>
      <c r="BD19" s="51">
        <f>20*LOG(IMABS(BC19))</f>
        <v>30.611562688707224</v>
      </c>
      <c r="BE19" s="63">
        <f>(180/PI())*IMARGUMENT(BC19)</f>
        <v>90.547098702356749</v>
      </c>
      <c r="BF19" s="60" t="str">
        <f>IMPRODUCT(AC19,BC19)</f>
        <v>25.2462825728455+716.64957754553i</v>
      </c>
      <c r="BG19" s="66">
        <f>20*LOG(IMABS(BF19))</f>
        <v>57.111523353456697</v>
      </c>
      <c r="BH19" s="63">
        <f>(180/PI())*IMARGUMENT(BF19)</f>
        <v>87.982406539733546</v>
      </c>
      <c r="BI19" s="60" t="e">
        <f>IMPRODUCT(AP19,BC19)</f>
        <v>#NUM!</v>
      </c>
      <c r="BJ19" s="66" t="e">
        <f>20*LOG(IMABS(BI19))</f>
        <v>#NUM!</v>
      </c>
      <c r="BK19" s="63" t="e">
        <f>(180/PI())*IMARGUMENT(BI19)</f>
        <v>#NUM!</v>
      </c>
      <c r="BL19" s="51">
        <f>IF($B$31=0,BJ19,BG19)</f>
        <v>57.111523353456697</v>
      </c>
      <c r="BM19" s="63">
        <f>IF($B$31=0,BK19,BH19)</f>
        <v>87.982406539733546</v>
      </c>
    </row>
    <row r="20" spans="1:65" x14ac:dyDescent="0.3">
      <c r="A20" t="s">
        <v>33</v>
      </c>
      <c r="B20" s="45">
        <f>IOUT</f>
        <v>1</v>
      </c>
      <c r="C20" t="s">
        <v>11</v>
      </c>
      <c r="E20" t="s">
        <v>34</v>
      </c>
      <c r="N20" s="11">
        <v>2</v>
      </c>
      <c r="O20" s="52">
        <f t="shared" ref="O20:O83" si="62">10^(1+(N20/100))</f>
        <v>10.471285480509</v>
      </c>
      <c r="P20" s="50" t="str">
        <f t="shared" si="50"/>
        <v>21.1560044893378</v>
      </c>
      <c r="Q20" s="18" t="str">
        <f t="shared" si="51"/>
        <v>1+0.0458557461455635i</v>
      </c>
      <c r="R20" s="18">
        <f t="shared" ref="R20:R83" si="63">IMABS(Q20)</f>
        <v>1.0010508226132011</v>
      </c>
      <c r="S20" s="18">
        <f t="shared" ref="S20:S83" si="64">IMARGUMENT(Q20)</f>
        <v>4.5823645587101607E-2</v>
      </c>
      <c r="T20" s="18" t="str">
        <f t="shared" si="52"/>
        <v>1+0.0000657930270784171i</v>
      </c>
      <c r="U20" s="18">
        <f t="shared" ref="U20:U83" si="65">IMABS(T20)</f>
        <v>1.0000000021643611</v>
      </c>
      <c r="V20" s="18">
        <f t="shared" ref="V20:V83" si="66">IMARGUMENT(T20)</f>
        <v>6.5793026983483859E-5</v>
      </c>
      <c r="W20" s="32" t="str">
        <f t="shared" si="53"/>
        <v>1-0.0000295484660074074i</v>
      </c>
      <c r="X20" s="18">
        <f t="shared" ref="X20:X83" si="67">IMABS(W20)</f>
        <v>1.0000000004365559</v>
      </c>
      <c r="Y20" s="18">
        <f t="shared" ref="Y20:Y83" si="68">IMARGUMENT(W20)</f>
        <v>-2.9548465998807693E-5</v>
      </c>
      <c r="Z20" s="32" t="str">
        <f t="shared" si="54"/>
        <v>0.999999999890352+0.0000161269198112648i</v>
      </c>
      <c r="AA20" s="18">
        <f t="shared" ref="AA20:AA83" si="69">IMABS(Z20)</f>
        <v>1.0000000000203908</v>
      </c>
      <c r="AB20" s="18">
        <f t="shared" ref="AB20:AB83" si="70">IMARGUMENT(Z20)</f>
        <v>1.6126919811635002E-5</v>
      </c>
      <c r="AC20" s="68" t="str">
        <f t="shared" ref="AC20:AC83" si="71">(IMDIV(IMPRODUCT(P20,T20,W20),IMPRODUCT(Q20,Z20)))</f>
        <v>21.1116315844651-0.96766400974785i</v>
      </c>
      <c r="AD20" s="66">
        <f t="shared" ref="AD20:AD83" si="72">20*LOG(IMABS(AC20))</f>
        <v>26.499550495510526</v>
      </c>
      <c r="AE20" s="63">
        <f t="shared" ref="AE20:AE83" si="73">(180/PI())*IMARGUMENT(AC20)</f>
        <v>-2.6243488381112252</v>
      </c>
      <c r="AF20" s="51" t="e">
        <f t="shared" ref="AF20:AF83" si="74">COMPLEX($B$68,0)</f>
        <v>#NUM!</v>
      </c>
      <c r="AG20" s="51" t="str">
        <f t="shared" si="55"/>
        <v>1-0.0281970116050359i</v>
      </c>
      <c r="AH20" s="51">
        <f t="shared" ref="AH20:AH83" si="75">IMABS(AG20)</f>
        <v>1.0003974567457949</v>
      </c>
      <c r="AI20" s="51">
        <f t="shared" ref="AI20:AI83" si="76">IMARGUMENT(AG20)</f>
        <v>-2.8189542288136072E-2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-0.000133283554228113</v>
      </c>
      <c r="AT20" s="32" t="str">
        <f t="shared" si="59"/>
        <v>4.01995395449128E-06i</v>
      </c>
      <c r="AU20" s="32">
        <f t="shared" ref="AU20:AU83" si="84">IMABS(AT20)</f>
        <v>4.0199539544912801E-6</v>
      </c>
      <c r="AV20" s="32">
        <f t="shared" ref="AV20:AV83" si="85">IMARGUMENT(AT20)</f>
        <v>1.5707963267948966</v>
      </c>
      <c r="AW20" s="32" t="str">
        <f t="shared" si="60"/>
        <v>1+0.000702859155254262i</v>
      </c>
      <c r="AX20" s="32">
        <f t="shared" ref="AX20:AX83" si="86">IMABS(AW20)</f>
        <v>1.0000002470054656</v>
      </c>
      <c r="AY20" s="32">
        <f t="shared" ref="AY20:AY83" si="87">IMARGUMENT(AW20)</f>
        <v>7.0285903951424681E-4</v>
      </c>
      <c r="AZ20" s="32" t="str">
        <f t="shared" si="61"/>
        <v>1+0.0104743157039111i</v>
      </c>
      <c r="BA20" s="32">
        <f t="shared" ref="BA20:BA83" si="88">IMABS(AZ20)</f>
        <v>1.0000548541402443</v>
      </c>
      <c r="BB20" s="32">
        <f t="shared" ref="BB20:BB83" si="89">IMARGUMENT(AZ20)</f>
        <v>1.0473932678896703E-2</v>
      </c>
      <c r="BC20" s="60" t="str">
        <f t="shared" ref="BC20:BC83" si="90">IMPRODUCT(AS20,IMDIV(AZ20,IMPRODUCT(AT20,AW20)))</f>
        <v>-0.323977296791795+33.155720469027i</v>
      </c>
      <c r="BD20" s="51">
        <f t="shared" ref="BD20:BD83" si="91">20*LOG(IMABS(BC20))</f>
        <v>30.411584034531991</v>
      </c>
      <c r="BE20" s="63">
        <f t="shared" ref="BE20:BE83" si="92">(180/PI())*IMARGUMENT(BC20)</f>
        <v>90.559841280848147</v>
      </c>
      <c r="BF20" s="60" t="str">
        <f t="shared" ref="BF20:BF83" si="93">IMPRODUCT(AC20,BC20)</f>
        <v>25.2439080835383+700.284856629687i</v>
      </c>
      <c r="BG20" s="66">
        <f t="shared" ref="BG20:BG83" si="94">20*LOG(IMABS(BF20))</f>
        <v>56.911134530042503</v>
      </c>
      <c r="BH20" s="63">
        <f t="shared" ref="BH20:BH83" si="95">(180/PI())*IMARGUMENT(BF20)</f>
        <v>87.93549244273693</v>
      </c>
      <c r="BI20" s="60" t="e">
        <f t="shared" ref="BI20:BI49" si="96">IMPRODUCT(AP20,BC20)</f>
        <v>#NUM!</v>
      </c>
      <c r="BJ20" s="66" t="e">
        <f t="shared" ref="BJ20:BJ83" si="97">20*LOG(IMABS(BI20))</f>
        <v>#NUM!</v>
      </c>
      <c r="BK20" s="63" t="e">
        <f t="shared" ref="BK20:BK49" si="98">(180/PI())*IMARGUMENT(BI20)</f>
        <v>#NUM!</v>
      </c>
      <c r="BL20" s="51">
        <f t="shared" ref="BL20:BL83" si="99">IF($B$31=0,BJ20,BG20)</f>
        <v>56.911134530042503</v>
      </c>
      <c r="BM20" s="63">
        <f t="shared" ref="BM20:BM83" si="100">IF($B$31=0,BK20,BH20)</f>
        <v>87.93549244273693</v>
      </c>
    </row>
    <row r="21" spans="1:65" s="32" customFormat="1" x14ac:dyDescent="0.3">
      <c r="A21"/>
      <c r="B21"/>
      <c r="C21"/>
      <c r="D21"/>
      <c r="E21"/>
      <c r="F21"/>
      <c r="G21"/>
      <c r="N21" s="11">
        <v>3</v>
      </c>
      <c r="O21" s="52">
        <f t="shared" si="62"/>
        <v>10.715193052376069</v>
      </c>
      <c r="P21" s="50" t="str">
        <f t="shared" si="50"/>
        <v>21.1560044893378</v>
      </c>
      <c r="Q21" s="18" t="str">
        <f t="shared" si="51"/>
        <v>1+0.0469238636865603i</v>
      </c>
      <c r="R21" s="18">
        <f t="shared" si="63"/>
        <v>1.0011003191405319</v>
      </c>
      <c r="S21" s="18">
        <f t="shared" si="64"/>
        <v>4.6889469359956942E-2</v>
      </c>
      <c r="T21" s="18" t="str">
        <f t="shared" si="52"/>
        <v>1+0.0000673255435502821i</v>
      </c>
      <c r="U21" s="18">
        <f t="shared" si="65"/>
        <v>1.0000000022663644</v>
      </c>
      <c r="V21" s="18">
        <f t="shared" si="66"/>
        <v>6.7325543448559289E-5</v>
      </c>
      <c r="W21" s="32" t="str">
        <f t="shared" si="53"/>
        <v>1-0.0000302367381980261i</v>
      </c>
      <c r="X21" s="18">
        <f t="shared" si="67"/>
        <v>1.0000000004571301</v>
      </c>
      <c r="Y21" s="18">
        <f t="shared" si="68"/>
        <v>-3.0236738188811351E-5</v>
      </c>
      <c r="Z21" s="32" t="str">
        <f t="shared" si="54"/>
        <v>0.999999999885185+0.0000165025640299409i</v>
      </c>
      <c r="AA21" s="18">
        <f t="shared" si="69"/>
        <v>1.0000000000213523</v>
      </c>
      <c r="AB21" s="18">
        <f t="shared" si="70"/>
        <v>1.6502564030337568E-5</v>
      </c>
      <c r="AC21" s="68" t="str">
        <f t="shared" si="71"/>
        <v>21.1095449483433-0.990105887028364i</v>
      </c>
      <c r="AD21" s="66">
        <f t="shared" si="72"/>
        <v>26.499121037107017</v>
      </c>
      <c r="AE21" s="63">
        <f t="shared" si="73"/>
        <v>-2.685389193195038</v>
      </c>
      <c r="AF21" s="51" t="e">
        <f t="shared" si="74"/>
        <v>#NUM!</v>
      </c>
      <c r="AG21" s="51" t="str">
        <f t="shared" si="55"/>
        <v>1-0.0288538043786924i</v>
      </c>
      <c r="AH21" s="51">
        <f t="shared" si="75"/>
        <v>1.0004161844088308</v>
      </c>
      <c r="AI21" s="51">
        <f t="shared" si="76"/>
        <v>-2.8845801041251815E-2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-0.000133283554228113</v>
      </c>
      <c r="AT21" s="32" t="str">
        <f t="shared" si="59"/>
        <v>4.11359071092224E-06i</v>
      </c>
      <c r="AU21" s="32">
        <f t="shared" si="84"/>
        <v>4.1135907109222396E-6</v>
      </c>
      <c r="AV21" s="32">
        <f t="shared" si="85"/>
        <v>1.5707963267948966</v>
      </c>
      <c r="AW21" s="32" t="str">
        <f t="shared" si="60"/>
        <v>1+0.000719230848132057i</v>
      </c>
      <c r="AX21" s="32">
        <f t="shared" si="86"/>
        <v>1.0000002586464729</v>
      </c>
      <c r="AY21" s="32">
        <f t="shared" si="87"/>
        <v>7.1923072411439796E-4</v>
      </c>
      <c r="AZ21" s="32" t="str">
        <f t="shared" si="61"/>
        <v>1+0.0107182938587485i</v>
      </c>
      <c r="BA21" s="32">
        <f t="shared" si="88"/>
        <v>1.000057439261987</v>
      </c>
      <c r="BB21" s="32">
        <f t="shared" si="89"/>
        <v>1.0717883441324315E-2</v>
      </c>
      <c r="BC21" s="60" t="str">
        <f t="shared" si="90"/>
        <v>-0.323977289248952+32.4010146173127i</v>
      </c>
      <c r="BD21" s="51">
        <f t="shared" si="91"/>
        <v>30.211606386240998</v>
      </c>
      <c r="BE21" s="63">
        <f t="shared" si="92"/>
        <v>90.572880601513134</v>
      </c>
      <c r="BF21" s="60" t="str">
        <f t="shared" si="93"/>
        <v>25.2414221686502+684.291446257439i</v>
      </c>
      <c r="BG21" s="66">
        <f t="shared" si="94"/>
        <v>56.710727423348011</v>
      </c>
      <c r="BH21" s="63">
        <f t="shared" si="95"/>
        <v>87.887491408318098</v>
      </c>
      <c r="BI21" s="60" t="e">
        <f t="shared" si="96"/>
        <v>#NUM!</v>
      </c>
      <c r="BJ21" s="66" t="e">
        <f t="shared" si="97"/>
        <v>#NUM!</v>
      </c>
      <c r="BK21" s="63" t="e">
        <f t="shared" si="98"/>
        <v>#NUM!</v>
      </c>
      <c r="BL21" s="51">
        <f t="shared" si="99"/>
        <v>56.710727423348011</v>
      </c>
      <c r="BM21" s="63">
        <f t="shared" si="100"/>
        <v>87.887491408318098</v>
      </c>
    </row>
    <row r="22" spans="1:65" x14ac:dyDescent="0.3">
      <c r="A22" t="s">
        <v>168</v>
      </c>
      <c r="N22" s="11">
        <v>4</v>
      </c>
      <c r="O22" s="52">
        <f t="shared" si="62"/>
        <v>10.964781961431854</v>
      </c>
      <c r="P22" s="50" t="str">
        <f t="shared" si="50"/>
        <v>21.1560044893378</v>
      </c>
      <c r="Q22" s="18" t="str">
        <f t="shared" si="51"/>
        <v>1+0.0480168608811945i</v>
      </c>
      <c r="R22" s="18">
        <f t="shared" si="63"/>
        <v>1.0011521457445336</v>
      </c>
      <c r="S22" s="18">
        <f t="shared" si="64"/>
        <v>4.7980008986514958E-2</v>
      </c>
      <c r="T22" s="18" t="str">
        <f t="shared" si="52"/>
        <v>1+0.0000688937569164964i</v>
      </c>
      <c r="U22" s="18">
        <f t="shared" si="65"/>
        <v>1.0000000023731748</v>
      </c>
      <c r="V22" s="18">
        <f t="shared" si="66"/>
        <v>6.8893756807498444E-5</v>
      </c>
      <c r="W22" s="32" t="str">
        <f t="shared" si="53"/>
        <v>1-0.0000309410423074679i</v>
      </c>
      <c r="X22" s="18">
        <f t="shared" si="67"/>
        <v>1.000000000478674</v>
      </c>
      <c r="Y22" s="18">
        <f t="shared" si="68"/>
        <v>-3.0941042297594119E-5</v>
      </c>
      <c r="Z22" s="32" t="str">
        <f t="shared" si="54"/>
        <v>0.999999999879774+0.000016886958126503i</v>
      </c>
      <c r="AA22" s="18">
        <f t="shared" si="69"/>
        <v>1.0000000000223586</v>
      </c>
      <c r="AB22" s="18">
        <f t="shared" si="70"/>
        <v>1.6886958126928037E-5</v>
      </c>
      <c r="AC22" s="68" t="str">
        <f t="shared" si="71"/>
        <v>21.1073604143361-1.01306352134657i</v>
      </c>
      <c r="AD22" s="66">
        <f t="shared" si="72"/>
        <v>26.498671384465027</v>
      </c>
      <c r="AE22" s="63">
        <f t="shared" si="73"/>
        <v>-2.7478450369940721</v>
      </c>
      <c r="AF22" s="51" t="e">
        <f t="shared" si="74"/>
        <v>#NUM!</v>
      </c>
      <c r="AG22" s="51" t="str">
        <f t="shared" si="55"/>
        <v>1-0.0295258958213556i</v>
      </c>
      <c r="AH22" s="51">
        <f t="shared" si="75"/>
        <v>1.0004357943036892</v>
      </c>
      <c r="AI22" s="51">
        <f t="shared" si="76"/>
        <v>-2.9517320292525847E-2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-0.000133283554228113</v>
      </c>
      <c r="AT22" s="32" t="str">
        <f t="shared" si="59"/>
        <v>4.20940854759793E-06i</v>
      </c>
      <c r="AU22" s="32">
        <f t="shared" si="84"/>
        <v>4.2094085475979304E-6</v>
      </c>
      <c r="AV22" s="32">
        <f t="shared" si="85"/>
        <v>1.5707963267948966</v>
      </c>
      <c r="AW22" s="32" t="str">
        <f t="shared" si="60"/>
        <v>1+0.000735983886725678i</v>
      </c>
      <c r="AX22" s="32">
        <f t="shared" si="86"/>
        <v>1.000000270836104</v>
      </c>
      <c r="AY22" s="32">
        <f t="shared" si="87"/>
        <v>7.3598375383836408E-4</v>
      </c>
      <c r="AZ22" s="32" t="str">
        <f t="shared" si="61"/>
        <v>1+0.0109679549948631i</v>
      </c>
      <c r="BA22" s="32">
        <f t="shared" si="88"/>
        <v>1.0000601462096015</v>
      </c>
      <c r="BB22" s="32">
        <f t="shared" si="89"/>
        <v>1.0967515226098346E-2</v>
      </c>
      <c r="BC22" s="60" t="str">
        <f t="shared" si="90"/>
        <v>-0.323977281350625+31.6634882124263i</v>
      </c>
      <c r="BD22" s="51">
        <f t="shared" si="91"/>
        <v>30.011629791229247</v>
      </c>
      <c r="BE22" s="63">
        <f t="shared" si="92"/>
        <v>90.586223571315756</v>
      </c>
      <c r="BF22" s="60" t="str">
        <f t="shared" si="93"/>
        <v>25.2388196230718+668.660867240246i</v>
      </c>
      <c r="BG22" s="66">
        <f t="shared" si="94"/>
        <v>56.510301175694273</v>
      </c>
      <c r="BH22" s="63">
        <f t="shared" si="95"/>
        <v>87.838378534321706</v>
      </c>
      <c r="BI22" s="60" t="e">
        <f t="shared" si="96"/>
        <v>#NUM!</v>
      </c>
      <c r="BJ22" s="66" t="e">
        <f t="shared" si="97"/>
        <v>#NUM!</v>
      </c>
      <c r="BK22" s="63" t="e">
        <f t="shared" si="98"/>
        <v>#NUM!</v>
      </c>
      <c r="BL22" s="51">
        <f t="shared" si="99"/>
        <v>56.510301175694273</v>
      </c>
      <c r="BM22" s="63">
        <f t="shared" si="100"/>
        <v>87.838378534321706</v>
      </c>
    </row>
    <row r="23" spans="1:65" x14ac:dyDescent="0.3">
      <c r="A23" t="s">
        <v>169</v>
      </c>
      <c r="B23" s="45">
        <f>Lm</f>
        <v>3.2999999999999997E-6</v>
      </c>
      <c r="C23" t="s">
        <v>86</v>
      </c>
      <c r="E23" t="s">
        <v>170</v>
      </c>
      <c r="N23" s="11">
        <v>5</v>
      </c>
      <c r="O23" s="52">
        <f t="shared" si="62"/>
        <v>11.220184543019636</v>
      </c>
      <c r="P23" s="50" t="str">
        <f t="shared" si="50"/>
        <v>21.1560044893378</v>
      </c>
      <c r="Q23" s="18" t="str">
        <f t="shared" si="51"/>
        <v>1+0.0491353172510462i</v>
      </c>
      <c r="R23" s="18">
        <f t="shared" si="63"/>
        <v>1.0012064119857407</v>
      </c>
      <c r="S23" s="18">
        <f t="shared" si="64"/>
        <v>4.9095832303794801E-2</v>
      </c>
      <c r="T23" s="18" t="str">
        <f t="shared" si="52"/>
        <v>1+0.0000704984986645445i</v>
      </c>
      <c r="U23" s="18">
        <f t="shared" si="65"/>
        <v>1.0000000024850191</v>
      </c>
      <c r="V23" s="18">
        <f t="shared" si="66"/>
        <v>7.0498498547751085E-5</v>
      </c>
      <c r="W23" s="32" t="str">
        <f t="shared" si="53"/>
        <v>1-0.0000316617517670943i</v>
      </c>
      <c r="X23" s="18">
        <f t="shared" si="67"/>
        <v>1.0000000005012333</v>
      </c>
      <c r="Y23" s="18">
        <f t="shared" si="68"/>
        <v>-3.1661751756514353E-5</v>
      </c>
      <c r="Z23" s="32" t="str">
        <f t="shared" si="54"/>
        <v>0.999999999874107+0.000017280305911789i</v>
      </c>
      <c r="AA23" s="18">
        <f t="shared" si="69"/>
        <v>1.0000000000234115</v>
      </c>
      <c r="AB23" s="18">
        <f t="shared" si="70"/>
        <v>1.728030591224445E-5</v>
      </c>
      <c r="AC23" s="68" t="str">
        <f t="shared" si="71"/>
        <v>21.1050734111745-1.03654842950335i</v>
      </c>
      <c r="AD23" s="66">
        <f t="shared" si="72"/>
        <v>26.498200590239975</v>
      </c>
      <c r="AE23" s="63">
        <f t="shared" si="73"/>
        <v>-2.8117488896057936</v>
      </c>
      <c r="AF23" s="51" t="e">
        <f t="shared" si="74"/>
        <v>#NUM!</v>
      </c>
      <c r="AG23" s="51" t="str">
        <f t="shared" si="55"/>
        <v>1-0.0302136422848048i</v>
      </c>
      <c r="AH23" s="51">
        <f t="shared" si="75"/>
        <v>1.0004563279724479</v>
      </c>
      <c r="AI23" s="51">
        <f t="shared" si="76"/>
        <v>-3.0204453666458794E-2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-0.000133283554228113</v>
      </c>
      <c r="AT23" s="32" t="str">
        <f t="shared" si="59"/>
        <v>4.30745826840367E-06i</v>
      </c>
      <c r="AU23" s="32">
        <f t="shared" si="84"/>
        <v>4.3074582684036701E-6</v>
      </c>
      <c r="AV23" s="32">
        <f t="shared" si="85"/>
        <v>1.5707963267948966</v>
      </c>
      <c r="AW23" s="32" t="str">
        <f t="shared" si="60"/>
        <v>1+0.000753127153717938i</v>
      </c>
      <c r="AX23" s="32">
        <f t="shared" si="86"/>
        <v>1.0000002836002146</v>
      </c>
      <c r="AY23" s="32">
        <f t="shared" si="87"/>
        <v>7.5312701132661806E-4</v>
      </c>
      <c r="AZ23" s="32" t="str">
        <f t="shared" si="61"/>
        <v>1+0.0112234314858941i</v>
      </c>
      <c r="BA23" s="32">
        <f t="shared" si="88"/>
        <v>1.0000629807238735</v>
      </c>
      <c r="BB23" s="32">
        <f t="shared" si="89"/>
        <v>1.1222960266775576E-2</v>
      </c>
      <c r="BC23" s="60" t="str">
        <f t="shared" si="90"/>
        <v>-0.323977273080065+30.9427502081051i</v>
      </c>
      <c r="BD23" s="51">
        <f t="shared" si="91"/>
        <v>29.811654299124108</v>
      </c>
      <c r="BE23" s="63">
        <f t="shared" si="92"/>
        <v>90.599877257742932</v>
      </c>
      <c r="BF23" s="60" t="str">
        <f t="shared" si="93"/>
        <v>25.2360950008189+653.384832819299i</v>
      </c>
      <c r="BG23" s="66">
        <f t="shared" si="94"/>
        <v>56.309854889364075</v>
      </c>
      <c r="BH23" s="63">
        <f t="shared" si="95"/>
        <v>87.788128368137151</v>
      </c>
      <c r="BI23" s="60" t="e">
        <f t="shared" si="96"/>
        <v>#NUM!</v>
      </c>
      <c r="BJ23" s="66" t="e">
        <f t="shared" si="97"/>
        <v>#NUM!</v>
      </c>
      <c r="BK23" s="63" t="e">
        <f t="shared" si="98"/>
        <v>#NUM!</v>
      </c>
      <c r="BL23" s="51">
        <f t="shared" si="99"/>
        <v>56.309854889364075</v>
      </c>
      <c r="BM23" s="63">
        <f t="shared" si="100"/>
        <v>87.788128368137151</v>
      </c>
    </row>
    <row r="24" spans="1:65" x14ac:dyDescent="0.3">
      <c r="A24" s="32"/>
      <c r="B24" s="32"/>
      <c r="C24" s="32"/>
      <c r="D24" s="32"/>
      <c r="E24" s="32"/>
      <c r="F24" s="32"/>
      <c r="G24" s="32"/>
      <c r="N24" s="11">
        <v>6</v>
      </c>
      <c r="O24" s="52">
        <f t="shared" si="62"/>
        <v>11.481536214968834</v>
      </c>
      <c r="P24" s="50" t="str">
        <f t="shared" si="50"/>
        <v>21.1560044893378</v>
      </c>
      <c r="Q24" s="18" t="str">
        <f t="shared" si="51"/>
        <v>1+0.0502798258164873i</v>
      </c>
      <c r="R24" s="18">
        <f t="shared" si="63"/>
        <v>1.0012632325638129</v>
      </c>
      <c r="S24" s="18">
        <f t="shared" si="64"/>
        <v>5.023751981562239E-2</v>
      </c>
      <c r="T24" s="18" t="str">
        <f t="shared" si="52"/>
        <v>1+0.0000721406196497425i</v>
      </c>
      <c r="U24" s="18">
        <f t="shared" si="65"/>
        <v>1.0000000026021345</v>
      </c>
      <c r="V24" s="18">
        <f t="shared" si="66"/>
        <v>7.2140619524596104E-5</v>
      </c>
      <c r="W24" s="32" t="str">
        <f t="shared" si="53"/>
        <v>1-0.0000323992487066003i</v>
      </c>
      <c r="X24" s="18">
        <f t="shared" si="67"/>
        <v>1.0000000005248555</v>
      </c>
      <c r="Y24" s="18">
        <f t="shared" si="68"/>
        <v>-3.2399248695263682E-5</v>
      </c>
      <c r="Z24" s="32" t="str">
        <f t="shared" si="54"/>
        <v>0.999999999868174+0.0000176828159440014i</v>
      </c>
      <c r="AA24" s="18">
        <f t="shared" si="69"/>
        <v>1.0000000000245151</v>
      </c>
      <c r="AB24" s="18">
        <f t="shared" si="70"/>
        <v>1.7682815944489425E-5</v>
      </c>
      <c r="AC24" s="68" t="str">
        <f t="shared" si="71"/>
        <v>21.1026791562324-1.060572361349i</v>
      </c>
      <c r="AD24" s="66">
        <f t="shared" si="72"/>
        <v>26.49770766286165</v>
      </c>
      <c r="AE24" s="63">
        <f t="shared" si="73"/>
        <v>-2.8771339965429443</v>
      </c>
      <c r="AF24" s="51" t="e">
        <f t="shared" si="74"/>
        <v>#NUM!</v>
      </c>
      <c r="AG24" s="51" t="str">
        <f t="shared" si="55"/>
        <v>1-0.0309174084213183i</v>
      </c>
      <c r="AH24" s="51">
        <f t="shared" si="75"/>
        <v>1.000477828911511</v>
      </c>
      <c r="AI24" s="51">
        <f t="shared" si="76"/>
        <v>-3.0907562893323141E-2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-0.000133283554228113</v>
      </c>
      <c r="AT24" s="32" t="str">
        <f t="shared" si="59"/>
        <v>4.40779186059927E-06i</v>
      </c>
      <c r="AU24" s="32">
        <f t="shared" si="84"/>
        <v>4.40779186059927E-6</v>
      </c>
      <c r="AV24" s="32">
        <f t="shared" si="85"/>
        <v>1.5707963267948966</v>
      </c>
      <c r="AW24" s="32" t="str">
        <f t="shared" si="60"/>
        <v>1+0.000770669738695917i</v>
      </c>
      <c r="AX24" s="32">
        <f t="shared" si="86"/>
        <v>1.000000296965879</v>
      </c>
      <c r="AY24" s="32">
        <f t="shared" si="87"/>
        <v>7.7066958612087122E-4</v>
      </c>
      <c r="AZ24" s="32" t="str">
        <f t="shared" si="61"/>
        <v>1+0.0114848587888586i</v>
      </c>
      <c r="BA24" s="32">
        <f t="shared" si="88"/>
        <v>1.0000659488160768</v>
      </c>
      <c r="BB24" s="32">
        <f t="shared" si="89"/>
        <v>1.1484353870274406E-2</v>
      </c>
      <c r="BC24" s="60" t="str">
        <f t="shared" si="90"/>
        <v>-0.323977264419723+30.2384184595196i</v>
      </c>
      <c r="BD24" s="51">
        <f t="shared" si="91"/>
        <v>29.611679961890964</v>
      </c>
      <c r="BE24" s="63">
        <f t="shared" si="92"/>
        <v>90.613848892517638</v>
      </c>
      <c r="BF24" s="60" t="str">
        <f t="shared" si="93"/>
        <v>25.2332426041086+638.455244275486i</v>
      </c>
      <c r="BG24" s="66">
        <f t="shared" si="94"/>
        <v>56.109387624752607</v>
      </c>
      <c r="BH24" s="63">
        <f t="shared" si="95"/>
        <v>87.7367148959747</v>
      </c>
      <c r="BI24" s="60" t="e">
        <f t="shared" si="96"/>
        <v>#NUM!</v>
      </c>
      <c r="BJ24" s="66" t="e">
        <f t="shared" si="97"/>
        <v>#NUM!</v>
      </c>
      <c r="BK24" s="63" t="e">
        <f t="shared" si="98"/>
        <v>#NUM!</v>
      </c>
      <c r="BL24" s="51">
        <f t="shared" si="99"/>
        <v>56.109387624752607</v>
      </c>
      <c r="BM24" s="63">
        <f t="shared" si="100"/>
        <v>87.7367148959747</v>
      </c>
    </row>
    <row r="25" spans="1:65" x14ac:dyDescent="0.3">
      <c r="A25" t="s">
        <v>130</v>
      </c>
      <c r="B25" s="45">
        <f>R_cs</f>
        <v>2.7E-2</v>
      </c>
      <c r="C25" s="2" t="s">
        <v>36</v>
      </c>
      <c r="E25" t="s">
        <v>171</v>
      </c>
      <c r="N25" s="11">
        <v>7</v>
      </c>
      <c r="O25" s="52">
        <f t="shared" si="62"/>
        <v>11.748975549395301</v>
      </c>
      <c r="P25" s="50" t="str">
        <f t="shared" si="50"/>
        <v>21.1560044893378</v>
      </c>
      <c r="Q25" s="18" t="str">
        <f t="shared" si="51"/>
        <v>1+0.0514509934111084i</v>
      </c>
      <c r="R25" s="18">
        <f t="shared" si="63"/>
        <v>1.0013227275573995</v>
      </c>
      <c r="S25" s="18">
        <f t="shared" si="64"/>
        <v>5.1405664948002416E-2</v>
      </c>
      <c r="T25" s="18" t="str">
        <f t="shared" si="52"/>
        <v>1+0.0000738209905463728i</v>
      </c>
      <c r="U25" s="18">
        <f t="shared" si="65"/>
        <v>1.0000000027247693</v>
      </c>
      <c r="V25" s="18">
        <f t="shared" si="66"/>
        <v>7.3820990412276017E-5</v>
      </c>
      <c r="W25" s="32" t="str">
        <f t="shared" si="53"/>
        <v>1-0.0000331539241566254i</v>
      </c>
      <c r="X25" s="18">
        <f t="shared" si="67"/>
        <v>1.0000000005495913</v>
      </c>
      <c r="Y25" s="18">
        <f t="shared" si="68"/>
        <v>-3.315392414447799E-5</v>
      </c>
      <c r="Z25" s="32" t="str">
        <f t="shared" si="54"/>
        <v>0.999999999861962+0.000018094701639287i</v>
      </c>
      <c r="AA25" s="18">
        <f t="shared" si="69"/>
        <v>1.000000000025671</v>
      </c>
      <c r="AB25" s="18">
        <f t="shared" si="70"/>
        <v>1.8094701639809915E-5</v>
      </c>
      <c r="AC25" s="68" t="str">
        <f t="shared" si="71"/>
        <v>21.1001726459546-1.08514730273134i</v>
      </c>
      <c r="AD25" s="66">
        <f t="shared" si="72"/>
        <v>26.497191564489718</v>
      </c>
      <c r="AE25" s="63">
        <f t="shared" si="73"/>
        <v>-2.9440343433573051</v>
      </c>
      <c r="AF25" s="51" t="e">
        <f t="shared" si="74"/>
        <v>#NUM!</v>
      </c>
      <c r="AG25" s="51" t="str">
        <f t="shared" si="55"/>
        <v>1-0.031637567377017i</v>
      </c>
      <c r="AH25" s="51">
        <f t="shared" si="75"/>
        <v>1.0005003426633772</v>
      </c>
      <c r="AI25" s="51">
        <f t="shared" si="76"/>
        <v>-3.1627017988619784E-2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-0.000133283554228113</v>
      </c>
      <c r="AT25" s="32" t="str">
        <f t="shared" si="59"/>
        <v>4.51046252238338E-06i</v>
      </c>
      <c r="AU25" s="32">
        <f t="shared" si="84"/>
        <v>4.5104625223833803E-6</v>
      </c>
      <c r="AV25" s="32">
        <f t="shared" si="85"/>
        <v>1.5707963267948966</v>
      </c>
      <c r="AW25" s="32" t="str">
        <f t="shared" si="60"/>
        <v>1+0.000788620942970372i</v>
      </c>
      <c r="AX25" s="32">
        <f t="shared" si="86"/>
        <v>1.0000003109614475</v>
      </c>
      <c r="AY25" s="32">
        <f t="shared" si="87"/>
        <v>7.8862077948326761E-4</v>
      </c>
      <c r="AZ25" s="32" t="str">
        <f t="shared" si="61"/>
        <v>1+0.0117523755159731i</v>
      </c>
      <c r="BA25" s="32">
        <f t="shared" si="88"/>
        <v>1.0000690567807147</v>
      </c>
      <c r="BB25" s="32">
        <f t="shared" si="89"/>
        <v>1.175183448798027E-2</v>
      </c>
      <c r="BC25" s="60" t="str">
        <f t="shared" si="90"/>
        <v>-0.323977255351237+29.5501195206533i</v>
      </c>
      <c r="BD25" s="51">
        <f t="shared" si="91"/>
        <v>29.411706833942706</v>
      </c>
      <c r="BE25" s="63">
        <f t="shared" si="92"/>
        <v>90.628145875396839</v>
      </c>
      <c r="BF25" s="60" t="str">
        <f t="shared" si="93"/>
        <v>25.230256471952+623.864186639169i</v>
      </c>
      <c r="BG25" s="66">
        <f t="shared" si="94"/>
        <v>55.908898398432427</v>
      </c>
      <c r="BH25" s="63">
        <f t="shared" si="95"/>
        <v>87.684111532039552</v>
      </c>
      <c r="BI25" s="60" t="e">
        <f t="shared" si="96"/>
        <v>#NUM!</v>
      </c>
      <c r="BJ25" s="66" t="e">
        <f t="shared" si="97"/>
        <v>#NUM!</v>
      </c>
      <c r="BK25" s="63" t="e">
        <f t="shared" si="98"/>
        <v>#NUM!</v>
      </c>
      <c r="BL25" s="51">
        <f t="shared" si="99"/>
        <v>55.908898398432427</v>
      </c>
      <c r="BM25" s="63">
        <f t="shared" si="100"/>
        <v>87.684111532039552</v>
      </c>
    </row>
    <row r="26" spans="1:65" s="32" customFormat="1" x14ac:dyDescent="0.3">
      <c r="A26" t="s">
        <v>131</v>
      </c>
      <c r="B26" s="45">
        <f>R_sl</f>
        <v>0</v>
      </c>
      <c r="C26" s="2" t="s">
        <v>36</v>
      </c>
      <c r="D26"/>
      <c r="E26" t="s">
        <v>172</v>
      </c>
      <c r="F26"/>
      <c r="G26"/>
      <c r="K26"/>
      <c r="N26" s="11">
        <v>8</v>
      </c>
      <c r="O26" s="52">
        <f t="shared" si="62"/>
        <v>12.022644346174133</v>
      </c>
      <c r="P26" s="50" t="str">
        <f t="shared" si="50"/>
        <v>21.1560044893378</v>
      </c>
      <c r="Q26" s="18" t="str">
        <f t="shared" si="51"/>
        <v>1+0.0526494410034704i</v>
      </c>
      <c r="R26" s="18">
        <f t="shared" si="63"/>
        <v>1.0013850226750838</v>
      </c>
      <c r="S26" s="18">
        <f t="shared" si="64"/>
        <v>5.2600874307645797E-2</v>
      </c>
      <c r="T26" s="18" t="str">
        <f t="shared" si="52"/>
        <v>1+0.000075540502309327i</v>
      </c>
      <c r="U26" s="18">
        <f t="shared" si="65"/>
        <v>1.0000000028531837</v>
      </c>
      <c r="V26" s="18">
        <f t="shared" si="66"/>
        <v>7.5540502165639703E-5</v>
      </c>
      <c r="W26" s="32" t="str">
        <f t="shared" si="53"/>
        <v>1-0.0000339261782560824i</v>
      </c>
      <c r="X26" s="18">
        <f t="shared" si="67"/>
        <v>1.0000000005754928</v>
      </c>
      <c r="Y26" s="18">
        <f t="shared" si="68"/>
        <v>-3.3926178243066222E-5</v>
      </c>
      <c r="Z26" s="32" t="str">
        <f t="shared" si="54"/>
        <v>0.999999999855456+0.0000185161813848935i</v>
      </c>
      <c r="AA26" s="18">
        <f t="shared" si="69"/>
        <v>1.0000000000268807</v>
      </c>
      <c r="AB26" s="18">
        <f t="shared" si="70"/>
        <v>1.851618138545382E-5</v>
      </c>
      <c r="AC26" s="68" t="str">
        <f t="shared" si="71"/>
        <v>21.0975486458737-1.11028547833994i</v>
      </c>
      <c r="AD26" s="66">
        <f t="shared" si="72"/>
        <v>26.496651208878006</v>
      </c>
      <c r="AE26" s="63">
        <f t="shared" si="73"/>
        <v>-3.0124846704442496</v>
      </c>
      <c r="AF26" s="51" t="e">
        <f t="shared" si="74"/>
        <v>#NUM!</v>
      </c>
      <c r="AG26" s="51" t="str">
        <f t="shared" si="55"/>
        <v>1-0.0323745009897116i</v>
      </c>
      <c r="AH26" s="51">
        <f t="shared" si="75"/>
        <v>1.0005239169127007</v>
      </c>
      <c r="AI26" s="51">
        <f t="shared" si="76"/>
        <v>-3.2363197436049831E-2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-0.000133283554228113</v>
      </c>
      <c r="AT26" s="32" t="str">
        <f t="shared" si="59"/>
        <v>4.61552469109988E-06i</v>
      </c>
      <c r="AU26" s="32">
        <f t="shared" si="84"/>
        <v>4.6155246910998796E-6</v>
      </c>
      <c r="AV26" s="32">
        <f t="shared" si="85"/>
        <v>1.5707963267948966</v>
      </c>
      <c r="AW26" s="32" t="str">
        <f t="shared" si="60"/>
        <v>1+0.00080699028450742i</v>
      </c>
      <c r="AX26" s="32">
        <f t="shared" si="86"/>
        <v>1.0000003256166066</v>
      </c>
      <c r="AY26" s="32">
        <f t="shared" si="87"/>
        <v>8.0699010932783449E-4</v>
      </c>
      <c r="AZ26" s="32" t="str">
        <f t="shared" si="61"/>
        <v>1+0.0120261235081472i</v>
      </c>
      <c r="BA26" s="32">
        <f t="shared" si="88"/>
        <v>1.0000723112088612</v>
      </c>
      <c r="BB26" s="32">
        <f t="shared" si="89"/>
        <v>1.2025543788472095E-2</v>
      </c>
      <c r="BC26" s="60" t="str">
        <f t="shared" si="90"/>
        <v>-0.323977245855363+28.8774884462985i</v>
      </c>
      <c r="BD26" s="51">
        <f t="shared" si="91"/>
        <v>29.211734972255478</v>
      </c>
      <c r="BE26" s="63">
        <f t="shared" si="92"/>
        <v>90.642775778055935</v>
      </c>
      <c r="BF26" s="60" t="str">
        <f t="shared" si="93"/>
        <v>25.2271303682649+609.603924497824i</v>
      </c>
      <c r="BG26" s="66">
        <f t="shared" si="94"/>
        <v>55.708386181133484</v>
      </c>
      <c r="BH26" s="63">
        <f t="shared" si="95"/>
        <v>87.630291107611683</v>
      </c>
      <c r="BI26" s="60" t="e">
        <f t="shared" si="96"/>
        <v>#NUM!</v>
      </c>
      <c r="BJ26" s="66" t="e">
        <f t="shared" si="97"/>
        <v>#NUM!</v>
      </c>
      <c r="BK26" s="63" t="e">
        <f t="shared" si="98"/>
        <v>#NUM!</v>
      </c>
      <c r="BL26" s="51">
        <f t="shared" si="99"/>
        <v>55.708386181133484</v>
      </c>
      <c r="BM26" s="63">
        <f t="shared" si="100"/>
        <v>87.630291107611683</v>
      </c>
    </row>
    <row r="27" spans="1:65" s="32" customFormat="1" x14ac:dyDescent="0.3">
      <c r="A27" t="s">
        <v>118</v>
      </c>
      <c r="B27" s="22">
        <f>Rsl_int</f>
        <v>1333</v>
      </c>
      <c r="C27" s="2" t="s">
        <v>36</v>
      </c>
      <c r="D27"/>
      <c r="E27" t="s">
        <v>173</v>
      </c>
      <c r="F27"/>
      <c r="G27"/>
      <c r="K27"/>
      <c r="N27" s="11">
        <v>9</v>
      </c>
      <c r="O27" s="52">
        <f t="shared" si="62"/>
        <v>12.302687708123818</v>
      </c>
      <c r="P27" s="50" t="str">
        <f t="shared" si="50"/>
        <v>21.1560044893378</v>
      </c>
      <c r="Q27" s="18" t="str">
        <f t="shared" si="51"/>
        <v>1+0.0538758040263503i</v>
      </c>
      <c r="R27" s="18">
        <f t="shared" si="63"/>
        <v>1.0014502495179107</v>
      </c>
      <c r="S27" s="18">
        <f t="shared" si="64"/>
        <v>5.3823767943530582E-2</v>
      </c>
      <c r="T27" s="18" t="str">
        <f t="shared" si="52"/>
        <v>1+0.0000773000666465025i</v>
      </c>
      <c r="U27" s="18">
        <f t="shared" si="65"/>
        <v>1.0000000029876501</v>
      </c>
      <c r="V27" s="18">
        <f t="shared" si="66"/>
        <v>7.7300066492538792E-5</v>
      </c>
      <c r="W27" s="32" t="str">
        <f t="shared" si="53"/>
        <v>1-0.0000347164204643168i</v>
      </c>
      <c r="X27" s="18">
        <f t="shared" si="67"/>
        <v>1.0000000006026148</v>
      </c>
      <c r="Y27" s="18">
        <f t="shared" si="68"/>
        <v>-3.4716420450369708E-5</v>
      </c>
      <c r="Z27" s="32" t="str">
        <f t="shared" si="54"/>
        <v>0.999999999848644+0.0000189474786549608i</v>
      </c>
      <c r="AA27" s="18">
        <f t="shared" si="69"/>
        <v>1.0000000000281475</v>
      </c>
      <c r="AB27" s="18">
        <f t="shared" si="70"/>
        <v>1.8947478655561191E-5</v>
      </c>
      <c r="AC27" s="68" t="str">
        <f t="shared" si="71"/>
        <v>21.094801680195-1.13599935443183i</v>
      </c>
      <c r="AD27" s="66">
        <f t="shared" si="72"/>
        <v>26.496085459141359</v>
      </c>
      <c r="AE27" s="63">
        <f t="shared" si="73"/>
        <v>-3.0825204880207075</v>
      </c>
      <c r="AF27" s="51" t="e">
        <f t="shared" si="74"/>
        <v>#NUM!</v>
      </c>
      <c r="AG27" s="51" t="str">
        <f t="shared" si="55"/>
        <v>1-0.0331285999913583i</v>
      </c>
      <c r="AH27" s="51">
        <f t="shared" si="75"/>
        <v>1.0005486015868432</v>
      </c>
      <c r="AI27" s="51">
        <f t="shared" si="76"/>
        <v>-3.3116488374036447E-2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-0.000133283554228113</v>
      </c>
      <c r="AT27" s="32" t="str">
        <f t="shared" si="59"/>
        <v>0.0000047230340721013i</v>
      </c>
      <c r="AU27" s="32">
        <f t="shared" si="84"/>
        <v>4.7230340721013003E-6</v>
      </c>
      <c r="AV27" s="32">
        <f t="shared" si="85"/>
        <v>1.5707963267948966</v>
      </c>
      <c r="AW27" s="32" t="str">
        <f t="shared" si="60"/>
        <v>1+0.000825787502975096i</v>
      </c>
      <c r="AX27" s="32">
        <f t="shared" si="86"/>
        <v>1.0000003409624418</v>
      </c>
      <c r="AY27" s="32">
        <f t="shared" si="87"/>
        <v>8.2578731526679176E-4</v>
      </c>
      <c r="AZ27" s="32" t="str">
        <f t="shared" si="61"/>
        <v>1+0.0123062479101898i</v>
      </c>
      <c r="BA27" s="32">
        <f t="shared" si="88"/>
        <v>1.0000757190021299</v>
      </c>
      <c r="BB27" s="32">
        <f t="shared" si="89"/>
        <v>1.2305626731906398E-2</v>
      </c>
      <c r="BC27" s="60" t="str">
        <f t="shared" si="90"/>
        <v>-0.323977235911962+28.2201685985557i</v>
      </c>
      <c r="BD27" s="51">
        <f t="shared" si="91"/>
        <v>29.011764436488832</v>
      </c>
      <c r="BE27" s="63">
        <f t="shared" si="92"/>
        <v>90.657746348061366</v>
      </c>
      <c r="BF27" s="60" t="str">
        <f t="shared" si="93"/>
        <v>25.2238577694561+595.666897899046i</v>
      </c>
      <c r="BG27" s="66">
        <f t="shared" si="94"/>
        <v>55.507849895630201</v>
      </c>
      <c r="BH27" s="63">
        <f t="shared" si="95"/>
        <v>87.575225860040675</v>
      </c>
      <c r="BI27" s="60" t="e">
        <f t="shared" si="96"/>
        <v>#NUM!</v>
      </c>
      <c r="BJ27" s="66" t="e">
        <f t="shared" si="97"/>
        <v>#NUM!</v>
      </c>
      <c r="BK27" s="63" t="e">
        <f t="shared" si="98"/>
        <v>#NUM!</v>
      </c>
      <c r="BL27" s="51">
        <f t="shared" si="99"/>
        <v>55.507849895630201</v>
      </c>
      <c r="BM27" s="63">
        <f t="shared" si="100"/>
        <v>87.575225860040675</v>
      </c>
    </row>
    <row r="28" spans="1:65" x14ac:dyDescent="0.3">
      <c r="A28" t="s">
        <v>116</v>
      </c>
      <c r="B28" s="22">
        <f>Isl</f>
        <v>2.9999999999999997E-5</v>
      </c>
      <c r="C28" s="2" t="s">
        <v>11</v>
      </c>
      <c r="E28" t="s">
        <v>174</v>
      </c>
      <c r="K28" s="32"/>
      <c r="N28" s="11">
        <v>10</v>
      </c>
      <c r="O28" s="52">
        <f t="shared" si="62"/>
        <v>12.58925411794168</v>
      </c>
      <c r="P28" s="50" t="str">
        <f t="shared" si="50"/>
        <v>21.1560044893378</v>
      </c>
      <c r="Q28" s="18" t="str">
        <f t="shared" si="51"/>
        <v>1+0.0551307327136555i</v>
      </c>
      <c r="R28" s="18">
        <f t="shared" si="63"/>
        <v>1.0015185458540168</v>
      </c>
      <c r="S28" s="18">
        <f t="shared" si="64"/>
        <v>5.5074979611358897E-2</v>
      </c>
      <c r="T28" s="18" t="str">
        <f t="shared" si="52"/>
        <v>1+0.0000791006165022013i</v>
      </c>
      <c r="U28" s="18">
        <f t="shared" si="65"/>
        <v>1.0000000031284537</v>
      </c>
      <c r="V28" s="18">
        <f t="shared" si="66"/>
        <v>7.9100616337226222E-5</v>
      </c>
      <c r="W28" s="32" t="str">
        <f t="shared" si="53"/>
        <v>1-0.0000355250697782076i</v>
      </c>
      <c r="X28" s="18">
        <f t="shared" si="67"/>
        <v>1.0000000006310152</v>
      </c>
      <c r="Y28" s="18">
        <f t="shared" si="68"/>
        <v>-3.5525069763263027E-5</v>
      </c>
      <c r="Z28" s="32" t="str">
        <f t="shared" si="54"/>
        <v>0.999999999841511+0.0000193888221290106i</v>
      </c>
      <c r="AA28" s="18">
        <f t="shared" si="69"/>
        <v>1.0000000000294742</v>
      </c>
      <c r="AB28" s="18">
        <f t="shared" si="70"/>
        <v>1.9388822129653924E-5</v>
      </c>
      <c r="AC28" s="68" t="str">
        <f t="shared" si="71"/>
        <v>21.0919260209355-1.1623016414236i</v>
      </c>
      <c r="AD28" s="66">
        <f t="shared" si="72"/>
        <v>26.495493125422129</v>
      </c>
      <c r="AE28" s="63">
        <f t="shared" si="73"/>
        <v>-3.1541780912690038</v>
      </c>
      <c r="AF28" s="51" t="e">
        <f t="shared" si="74"/>
        <v>#NUM!</v>
      </c>
      <c r="AG28" s="51" t="str">
        <f t="shared" si="55"/>
        <v>1-0.0339002642152292i</v>
      </c>
      <c r="AH28" s="51">
        <f t="shared" si="75"/>
        <v>1.0005744489611266</v>
      </c>
      <c r="AI28" s="51">
        <f t="shared" si="76"/>
        <v>-3.3887286785827926E-2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-0.000133283554228113</v>
      </c>
      <c r="AT28" s="32" t="str">
        <f t="shared" si="59"/>
        <v>0.0000048330476682845i</v>
      </c>
      <c r="AU28" s="32">
        <f t="shared" si="84"/>
        <v>4.8330476682845004E-6</v>
      </c>
      <c r="AV28" s="32">
        <f t="shared" si="85"/>
        <v>1.5707963267948966</v>
      </c>
      <c r="AW28" s="32" t="str">
        <f t="shared" si="60"/>
        <v>1+0.000845022564907439i</v>
      </c>
      <c r="AX28" s="32">
        <f t="shared" si="86"/>
        <v>1.0000003570315039</v>
      </c>
      <c r="AY28" s="32">
        <f t="shared" si="87"/>
        <v>8.4502236377437116E-4</v>
      </c>
      <c r="AZ28" s="32" t="str">
        <f t="shared" si="61"/>
        <v>1+0.0125928972477669i</v>
      </c>
      <c r="BA28" s="32">
        <f t="shared" si="88"/>
        <v>1.0000792873873015</v>
      </c>
      <c r="BB28" s="32">
        <f t="shared" si="89"/>
        <v>1.2592231646094248E-2</v>
      </c>
      <c r="BC28" s="60" t="str">
        <f t="shared" si="90"/>
        <v>-0.323977225499946+27.5778114577413i</v>
      </c>
      <c r="BD28" s="51">
        <f t="shared" si="91"/>
        <v>28.811795289112577</v>
      </c>
      <c r="BE28" s="63">
        <f t="shared" si="92"/>
        <v>90.673065512933832</v>
      </c>
      <c r="BF28" s="60" t="str">
        <f t="shared" si="93"/>
        <v>25.2204318514905+582.045718346969i</v>
      </c>
      <c r="BG28" s="66">
        <f t="shared" si="94"/>
        <v>55.307288414534703</v>
      </c>
      <c r="BH28" s="63">
        <f t="shared" si="95"/>
        <v>87.518887421664829</v>
      </c>
      <c r="BI28" s="60" t="e">
        <f t="shared" si="96"/>
        <v>#NUM!</v>
      </c>
      <c r="BJ28" s="66" t="e">
        <f t="shared" si="97"/>
        <v>#NUM!</v>
      </c>
      <c r="BK28" s="63" t="e">
        <f t="shared" si="98"/>
        <v>#NUM!</v>
      </c>
      <c r="BL28" s="51">
        <f t="shared" si="99"/>
        <v>55.307288414534703</v>
      </c>
      <c r="BM28" s="63">
        <f t="shared" si="100"/>
        <v>87.518887421664829</v>
      </c>
    </row>
    <row r="29" spans="1:65" x14ac:dyDescent="0.3">
      <c r="A29" s="32"/>
      <c r="B29" s="27"/>
      <c r="C29" s="2"/>
      <c r="D29" s="32"/>
      <c r="E29" s="32"/>
      <c r="F29" s="32"/>
      <c r="G29" s="32"/>
      <c r="N29" s="11">
        <v>11</v>
      </c>
      <c r="O29" s="52">
        <f t="shared" si="62"/>
        <v>12.882495516931346</v>
      </c>
      <c r="P29" s="50" t="str">
        <f t="shared" si="50"/>
        <v>21.1560044893378</v>
      </c>
      <c r="Q29" s="18" t="str">
        <f t="shared" si="51"/>
        <v>1+0.056414892445187i</v>
      </c>
      <c r="R29" s="18">
        <f t="shared" si="63"/>
        <v>1.001590055905909</v>
      </c>
      <c r="S29" s="18">
        <f t="shared" si="64"/>
        <v>5.6355157040757255E-2</v>
      </c>
      <c r="T29" s="18" t="str">
        <f t="shared" si="52"/>
        <v>1+0.0000809431065517899i</v>
      </c>
      <c r="U29" s="18">
        <f t="shared" si="65"/>
        <v>1.0000000032758931</v>
      </c>
      <c r="V29" s="18">
        <f t="shared" si="66"/>
        <v>8.0943106375015906E-5</v>
      </c>
      <c r="W29" s="32" t="str">
        <f t="shared" si="53"/>
        <v>1-0.0000363525549543246i</v>
      </c>
      <c r="X29" s="18">
        <f t="shared" si="67"/>
        <v>1.0000000006607541</v>
      </c>
      <c r="Y29" s="18">
        <f t="shared" si="68"/>
        <v>-3.6352554938311199E-5</v>
      </c>
      <c r="Z29" s="32" t="str">
        <f t="shared" si="54"/>
        <v>0.999999999834041+0.0000198404458131945i</v>
      </c>
      <c r="AA29" s="18">
        <f t="shared" si="69"/>
        <v>1.0000000000308626</v>
      </c>
      <c r="AB29" s="18">
        <f t="shared" si="70"/>
        <v>1.9840445813883849E-5</v>
      </c>
      <c r="AC29" s="68" t="str">
        <f t="shared" si="71"/>
        <v>21.088915676601-1.1892052963334i</v>
      </c>
      <c r="AD29" s="66">
        <f t="shared" si="72"/>
        <v>26.494872962452259</v>
      </c>
      <c r="AE29" s="63">
        <f t="shared" si="73"/>
        <v>-3.2274945756376554</v>
      </c>
      <c r="AF29" s="51" t="e">
        <f t="shared" si="74"/>
        <v>#NUM!</v>
      </c>
      <c r="AG29" s="51" t="str">
        <f t="shared" si="55"/>
        <v>1-0.03468990280791i</v>
      </c>
      <c r="AH29" s="51">
        <f t="shared" si="75"/>
        <v>1.0006015137690039</v>
      </c>
      <c r="AI29" s="51">
        <f t="shared" si="76"/>
        <v>-3.4675997693214188E-2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-0.000133283554228113</v>
      </c>
      <c r="AT29" s="32" t="str">
        <f t="shared" si="59"/>
        <v>4.94562381031436E-06i</v>
      </c>
      <c r="AU29" s="32">
        <f t="shared" si="84"/>
        <v>4.9456238103143597E-6</v>
      </c>
      <c r="AV29" s="32">
        <f t="shared" si="85"/>
        <v>1.5707963267948966</v>
      </c>
      <c r="AW29" s="32" t="str">
        <f t="shared" si="60"/>
        <v>1+0.00086470566898889i</v>
      </c>
      <c r="AX29" s="32">
        <f t="shared" si="86"/>
        <v>1.0000003738578771</v>
      </c>
      <c r="AY29" s="32">
        <f t="shared" si="87"/>
        <v>8.6470545347092922E-4</v>
      </c>
      <c r="AZ29" s="32" t="str">
        <f t="shared" si="61"/>
        <v>1+0.0128862235061515i</v>
      </c>
      <c r="BA29" s="32">
        <f t="shared" si="88"/>
        <v>1.0000830239316387</v>
      </c>
      <c r="BB29" s="32">
        <f t="shared" si="89"/>
        <v>1.2885510304307386E-2</v>
      </c>
      <c r="BC29" s="60" t="str">
        <f t="shared" si="90"/>
        <v>-0.323977214597228+26.9500764375965i</v>
      </c>
      <c r="BD29" s="51">
        <f t="shared" si="91"/>
        <v>28.61182759553866</v>
      </c>
      <c r="BE29" s="63">
        <f t="shared" si="92"/>
        <v>90.688741384303313</v>
      </c>
      <c r="BF29" s="60" t="str">
        <f t="shared" si="93"/>
        <v>25.2168454763987+568.733164889914i</v>
      </c>
      <c r="BG29" s="66">
        <f t="shared" si="94"/>
        <v>55.106700557990905</v>
      </c>
      <c r="BH29" s="63">
        <f t="shared" si="95"/>
        <v>87.461246808665663</v>
      </c>
      <c r="BI29" s="60" t="e">
        <f t="shared" si="96"/>
        <v>#NUM!</v>
      </c>
      <c r="BJ29" s="66" t="e">
        <f t="shared" si="97"/>
        <v>#NUM!</v>
      </c>
      <c r="BK29" s="63" t="e">
        <f t="shared" si="98"/>
        <v>#NUM!</v>
      </c>
      <c r="BL29" s="51">
        <f t="shared" si="99"/>
        <v>55.106700557990905</v>
      </c>
      <c r="BM29" s="63">
        <f t="shared" si="100"/>
        <v>87.461246808665663</v>
      </c>
    </row>
    <row r="30" spans="1:65" x14ac:dyDescent="0.3">
      <c r="A30" s="32" t="s">
        <v>198</v>
      </c>
      <c r="B30" s="22">
        <f>Gcomp</f>
        <v>0.14499999999999999</v>
      </c>
      <c r="C30" s="2"/>
      <c r="D30" s="32"/>
      <c r="E30" s="32" t="s">
        <v>199</v>
      </c>
      <c r="F30" s="32"/>
      <c r="G30" s="32"/>
      <c r="N30" s="11">
        <v>12</v>
      </c>
      <c r="O30" s="52">
        <f t="shared" si="62"/>
        <v>13.182567385564075</v>
      </c>
      <c r="P30" s="50" t="str">
        <f t="shared" si="50"/>
        <v>21.1560044893378</v>
      </c>
      <c r="Q30" s="18" t="str">
        <f t="shared" si="51"/>
        <v>1+0.0577289640994323i</v>
      </c>
      <c r="R30" s="18">
        <f t="shared" si="63"/>
        <v>1.0016649306509604</v>
      </c>
      <c r="S30" s="18">
        <f t="shared" si="64"/>
        <v>5.7664962205045169E-2</v>
      </c>
      <c r="T30" s="18" t="str">
        <f t="shared" si="52"/>
        <v>1+0.000082828513707881i</v>
      </c>
      <c r="U30" s="18">
        <f t="shared" si="65"/>
        <v>1.0000000034302814</v>
      </c>
      <c r="V30" s="18">
        <f t="shared" si="66"/>
        <v>8.282851351846427E-5</v>
      </c>
      <c r="W30" s="32" t="str">
        <f t="shared" si="53"/>
        <v>1-0.0000371993147362614i</v>
      </c>
      <c r="X30" s="18">
        <f t="shared" si="67"/>
        <v>1.0000000006918945</v>
      </c>
      <c r="Y30" s="18">
        <f t="shared" si="68"/>
        <v>-3.7199314719102735E-5</v>
      </c>
      <c r="Z30" s="32" t="str">
        <f t="shared" si="54"/>
        <v>0.99999999982622+0.000020302589164368i</v>
      </c>
      <c r="AA30" s="18">
        <f t="shared" si="69"/>
        <v>1.0000000000323177</v>
      </c>
      <c r="AB30" s="18">
        <f t="shared" si="70"/>
        <v>2.0302589165106641E-5</v>
      </c>
      <c r="AC30" s="68" t="str">
        <f t="shared" si="71"/>
        <v>21.0857643803809-1.21672352505484i</v>
      </c>
      <c r="AD30" s="66">
        <f t="shared" si="72"/>
        <v>26.494223667005159</v>
      </c>
      <c r="AE30" s="63">
        <f t="shared" si="73"/>
        <v>-3.3025078522890716</v>
      </c>
      <c r="AF30" s="51" t="e">
        <f t="shared" si="74"/>
        <v>#NUM!</v>
      </c>
      <c r="AG30" s="51" t="str">
        <f t="shared" si="55"/>
        <v>1-0.0354979344462348i</v>
      </c>
      <c r="AH30" s="51">
        <f t="shared" si="75"/>
        <v>1.0006298533173739</v>
      </c>
      <c r="AI30" s="51">
        <f t="shared" si="76"/>
        <v>-3.5483035353880657E-2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-0.000133283554228113</v>
      </c>
      <c r="AT30" s="32" t="str">
        <f t="shared" si="59"/>
        <v>5.06082218755153E-06i</v>
      </c>
      <c r="AU30" s="32">
        <f t="shared" si="84"/>
        <v>5.0608221875515303E-6</v>
      </c>
      <c r="AV30" s="32">
        <f t="shared" si="85"/>
        <v>1.5707963267948966</v>
      </c>
      <c r="AW30" s="32" t="str">
        <f t="shared" si="60"/>
        <v>1+0.000884847251461773i</v>
      </c>
      <c r="AX30" s="32">
        <f t="shared" si="86"/>
        <v>1.0000003914772526</v>
      </c>
      <c r="AY30" s="32">
        <f t="shared" si="87"/>
        <v>8.8484702053012233E-4</v>
      </c>
      <c r="AZ30" s="32" t="str">
        <f t="shared" si="61"/>
        <v>1+0.0131863822108084i</v>
      </c>
      <c r="BA30" s="32">
        <f t="shared" si="88"/>
        <v>1.0000869365589222</v>
      </c>
      <c r="BB30" s="32">
        <f t="shared" si="89"/>
        <v>1.3185618004851771E-2</v>
      </c>
      <c r="BC30" s="60" t="str">
        <f t="shared" si="90"/>
        <v>-0.32397720318068+26.3366307047044i</v>
      </c>
      <c r="BD30" s="51">
        <f t="shared" si="91"/>
        <v>28.411861424259772</v>
      </c>
      <c r="BE30" s="63">
        <f t="shared" si="92"/>
        <v>90.704782262158602</v>
      </c>
      <c r="BF30" s="60" t="str">
        <f t="shared" si="93"/>
        <v>25.2130911782129+555.722180297193i</v>
      </c>
      <c r="BG30" s="66">
        <f t="shared" si="94"/>
        <v>54.90608509126492</v>
      </c>
      <c r="BH30" s="63">
        <f t="shared" si="95"/>
        <v>87.402274409869534</v>
      </c>
      <c r="BI30" s="60" t="e">
        <f t="shared" si="96"/>
        <v>#NUM!</v>
      </c>
      <c r="BJ30" s="66" t="e">
        <f t="shared" si="97"/>
        <v>#NUM!</v>
      </c>
      <c r="BK30" s="63" t="e">
        <f t="shared" si="98"/>
        <v>#NUM!</v>
      </c>
      <c r="BL30" s="51">
        <f t="shared" si="99"/>
        <v>54.90608509126492</v>
      </c>
      <c r="BM30" s="63">
        <f t="shared" si="100"/>
        <v>87.402274409869534</v>
      </c>
    </row>
    <row r="31" spans="1:65" x14ac:dyDescent="0.3">
      <c r="A31" t="s">
        <v>504</v>
      </c>
      <c r="B31">
        <v>1</v>
      </c>
      <c r="E31" t="s">
        <v>583</v>
      </c>
      <c r="N31" s="11">
        <v>13</v>
      </c>
      <c r="O31" s="52">
        <f t="shared" si="62"/>
        <v>13.489628825916535</v>
      </c>
      <c r="P31" s="50" t="str">
        <f t="shared" si="50"/>
        <v>21.1560044893378</v>
      </c>
      <c r="Q31" s="18" t="str">
        <f t="shared" si="51"/>
        <v>1+0.0590736444145763i</v>
      </c>
      <c r="R31" s="18">
        <f t="shared" si="63"/>
        <v>1.0017433281357155</v>
      </c>
      <c r="S31" s="18">
        <f t="shared" si="64"/>
        <v>5.9005071593380143E-2</v>
      </c>
      <c r="T31" s="18" t="str">
        <f t="shared" si="52"/>
        <v>1+0.000084757837638305i</v>
      </c>
      <c r="U31" s="18">
        <f t="shared" si="65"/>
        <v>1.0000000035919454</v>
      </c>
      <c r="V31" s="18">
        <f t="shared" si="66"/>
        <v>8.4757837435341316E-5</v>
      </c>
      <c r="W31" s="32" t="str">
        <f t="shared" si="53"/>
        <v>1-0.0000380657980872624i</v>
      </c>
      <c r="X31" s="18">
        <f t="shared" si="67"/>
        <v>1.0000000007245025</v>
      </c>
      <c r="Y31" s="18">
        <f t="shared" si="68"/>
        <v>-3.806579806887655E-5</v>
      </c>
      <c r="Z31" s="32" t="str">
        <f t="shared" si="54"/>
        <v>0.99999999981803+0.0000207754972170529i</v>
      </c>
      <c r="AA31" s="18">
        <f t="shared" si="69"/>
        <v>1.0000000000338405</v>
      </c>
      <c r="AB31" s="18">
        <f t="shared" si="70"/>
        <v>2.0775497217844368E-5</v>
      </c>
      <c r="AC31" s="68" t="str">
        <f t="shared" si="71"/>
        <v>21.0824655778471-1.24486978444395i</v>
      </c>
      <c r="AD31" s="66">
        <f t="shared" si="72"/>
        <v>26.493543875234529</v>
      </c>
      <c r="AE31" s="63">
        <f t="shared" si="73"/>
        <v>-3.3792566636832477</v>
      </c>
      <c r="AF31" s="51" t="e">
        <f t="shared" si="74"/>
        <v>#NUM!</v>
      </c>
      <c r="AG31" s="51" t="str">
        <f t="shared" si="55"/>
        <v>1-0.0363247875592736i</v>
      </c>
      <c r="AH31" s="51">
        <f t="shared" si="75"/>
        <v>1.0006595276072807</v>
      </c>
      <c r="AI31" s="51">
        <f t="shared" si="76"/>
        <v>-3.6308823462422889E-2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-0.000133283554228113</v>
      </c>
      <c r="AT31" s="32" t="str">
        <f t="shared" si="59"/>
        <v>5.17870387970043E-06i</v>
      </c>
      <c r="AU31" s="32">
        <f t="shared" si="84"/>
        <v>5.1787038797004296E-6</v>
      </c>
      <c r="AV31" s="32">
        <f t="shared" si="85"/>
        <v>1.5707963267948966</v>
      </c>
      <c r="AW31" s="32" t="str">
        <f t="shared" si="60"/>
        <v>1+0.000905457991659718i</v>
      </c>
      <c r="AX31" s="32">
        <f t="shared" si="86"/>
        <v>1.0000004099270032</v>
      </c>
      <c r="AY31" s="32">
        <f t="shared" si="87"/>
        <v>9.0545774421200162E-4</v>
      </c>
      <c r="AZ31" s="32" t="str">
        <f t="shared" si="61"/>
        <v>1+0.0134935325098558i</v>
      </c>
      <c r="BA31" s="32">
        <f t="shared" si="88"/>
        <v>1.0000910335662421</v>
      </c>
      <c r="BB31" s="32">
        <f t="shared" si="89"/>
        <v>1.3492713652445708E-2</v>
      </c>
      <c r="BC31" s="60" t="str">
        <f t="shared" si="90"/>
        <v>-0.323977191226088+25.7371490020176i</v>
      </c>
      <c r="BD31" s="51">
        <f t="shared" si="91"/>
        <v>28.211896846994442</v>
      </c>
      <c r="BE31" s="63">
        <f t="shared" si="92"/>
        <v>90.721196639192897</v>
      </c>
      <c r="BF31" s="60" t="str">
        <f t="shared" si="93"/>
        <v>25.2091611483119+543.005867323164i</v>
      </c>
      <c r="BG31" s="66">
        <f t="shared" si="94"/>
        <v>54.705440722228964</v>
      </c>
      <c r="BH31" s="63">
        <f t="shared" si="95"/>
        <v>87.341939975509646</v>
      </c>
      <c r="BI31" s="60" t="e">
        <f t="shared" si="96"/>
        <v>#NUM!</v>
      </c>
      <c r="BJ31" s="66" t="e">
        <f t="shared" si="97"/>
        <v>#NUM!</v>
      </c>
      <c r="BK31" s="63" t="e">
        <f t="shared" si="98"/>
        <v>#NUM!</v>
      </c>
      <c r="BL31" s="51">
        <f t="shared" si="99"/>
        <v>54.705440722228964</v>
      </c>
      <c r="BM31" s="63">
        <f t="shared" si="100"/>
        <v>87.341939975509646</v>
      </c>
    </row>
    <row r="32" spans="1:65" ht="15.6" x14ac:dyDescent="0.3">
      <c r="A32" s="53" t="s">
        <v>497</v>
      </c>
      <c r="N32" s="11">
        <v>14</v>
      </c>
      <c r="O32" s="52">
        <f t="shared" si="62"/>
        <v>13.803842646028857</v>
      </c>
      <c r="P32" s="50" t="str">
        <f t="shared" si="50"/>
        <v>21.1560044893378</v>
      </c>
      <c r="Q32" s="18" t="str">
        <f t="shared" si="51"/>
        <v>1+0.0604496463579211i</v>
      </c>
      <c r="R32" s="18">
        <f t="shared" si="63"/>
        <v>1.0018254138046199</v>
      </c>
      <c r="S32" s="18">
        <f t="shared" si="64"/>
        <v>6.0376176485063819E-2</v>
      </c>
      <c r="T32" s="18" t="str">
        <f t="shared" si="52"/>
        <v>1+0.0000867321012961475i</v>
      </c>
      <c r="U32" s="18">
        <f t="shared" si="65"/>
        <v>1.0000000037612287</v>
      </c>
      <c r="V32" s="18">
        <f t="shared" si="66"/>
        <v>8.6732101078667987E-5</v>
      </c>
      <c r="W32" s="32" t="str">
        <f t="shared" si="53"/>
        <v>1-0.0000389524644282698i</v>
      </c>
      <c r="X32" s="18">
        <f t="shared" si="67"/>
        <v>1.0000000007586471</v>
      </c>
      <c r="Y32" s="18">
        <f t="shared" si="68"/>
        <v>-3.895246440856901E-5</v>
      </c>
      <c r="Z32" s="32" t="str">
        <f t="shared" si="54"/>
        <v>0.999999999809454+0.0000212594207133586i</v>
      </c>
      <c r="AA32" s="18">
        <f t="shared" si="69"/>
        <v>1.0000000000354354</v>
      </c>
      <c r="AB32" s="18">
        <f t="shared" si="70"/>
        <v>2.1259420714206671E-5</v>
      </c>
      <c r="AC32" s="68" t="str">
        <f t="shared" si="71"/>
        <v>21.0790124141351-1.27365778419843i</v>
      </c>
      <c r="AD32" s="66">
        <f t="shared" si="72"/>
        <v>26.49283215989357</v>
      </c>
      <c r="AE32" s="63">
        <f t="shared" si="73"/>
        <v>-3.45778059928513</v>
      </c>
      <c r="AF32" s="51" t="e">
        <f t="shared" si="74"/>
        <v>#NUM!</v>
      </c>
      <c r="AG32" s="51" t="str">
        <f t="shared" si="55"/>
        <v>1-0.0371709005554918i</v>
      </c>
      <c r="AH32" s="51">
        <f t="shared" si="75"/>
        <v>1.000690599460246</v>
      </c>
      <c r="AI32" s="51">
        <f t="shared" si="76"/>
        <v>-3.7153795355042998E-2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-0.000133283554228113</v>
      </c>
      <c r="AT32" s="32" t="str">
        <f t="shared" si="59"/>
        <v>5.29933138919461E-06i</v>
      </c>
      <c r="AU32" s="32">
        <f t="shared" si="84"/>
        <v>5.2993313891946097E-6</v>
      </c>
      <c r="AV32" s="32">
        <f t="shared" si="85"/>
        <v>1.5707963267948966</v>
      </c>
      <c r="AW32" s="32" t="str">
        <f t="shared" si="60"/>
        <v>1+0.000926548817669996i</v>
      </c>
      <c r="AX32" s="32">
        <f t="shared" si="86"/>
        <v>1.0000004292462636</v>
      </c>
      <c r="AY32" s="32">
        <f t="shared" si="87"/>
        <v>9.2654855252499691E-4</v>
      </c>
      <c r="AZ32" s="32" t="str">
        <f t="shared" si="61"/>
        <v>1+0.013807837258448i</v>
      </c>
      <c r="BA32" s="32">
        <f t="shared" si="88"/>
        <v>1.0000953236415795</v>
      </c>
      <c r="BB32" s="32">
        <f t="shared" si="89"/>
        <v>1.3806959841441608E-2</v>
      </c>
      <c r="BC32" s="60" t="str">
        <f t="shared" si="90"/>
        <v>-0.323977178708095+25.1513134764019i</v>
      </c>
      <c r="BD32" s="51">
        <f t="shared" si="91"/>
        <v>28.011933938838638</v>
      </c>
      <c r="BE32" s="63">
        <f t="shared" si="92"/>
        <v>90.737993205247577</v>
      </c>
      <c r="BF32" s="60" t="str">
        <f t="shared" si="93"/>
        <v>25.2050472201498+530.577485056443i</v>
      </c>
      <c r="BG32" s="66">
        <f t="shared" si="94"/>
        <v>54.504766098732205</v>
      </c>
      <c r="BH32" s="63">
        <f t="shared" si="95"/>
        <v>87.280212605962447</v>
      </c>
      <c r="BI32" s="60" t="e">
        <f t="shared" si="96"/>
        <v>#NUM!</v>
      </c>
      <c r="BJ32" s="66" t="e">
        <f t="shared" si="97"/>
        <v>#NUM!</v>
      </c>
      <c r="BK32" s="63" t="e">
        <f t="shared" si="98"/>
        <v>#NUM!</v>
      </c>
      <c r="BL32" s="51">
        <f t="shared" si="99"/>
        <v>54.504766098732205</v>
      </c>
      <c r="BM32" s="63">
        <f t="shared" si="100"/>
        <v>87.280212605962447</v>
      </c>
    </row>
    <row r="33" spans="1:65" x14ac:dyDescent="0.3">
      <c r="K33" s="32"/>
      <c r="N33" s="11">
        <v>15</v>
      </c>
      <c r="O33" s="52">
        <f t="shared" si="62"/>
        <v>14.125375446227544</v>
      </c>
      <c r="P33" s="50" t="str">
        <f t="shared" si="50"/>
        <v>21.1560044893378</v>
      </c>
      <c r="Q33" s="18" t="str">
        <f t="shared" si="51"/>
        <v>1+0.0618576995039104i</v>
      </c>
      <c r="R33" s="18">
        <f t="shared" si="63"/>
        <v>1.0019113608438204</v>
      </c>
      <c r="S33" s="18">
        <f t="shared" si="64"/>
        <v>6.1778983225771009E-2</v>
      </c>
      <c r="T33" s="18" t="str">
        <f t="shared" si="52"/>
        <v>1+0.0000887523514621322i</v>
      </c>
      <c r="U33" s="18">
        <f t="shared" si="65"/>
        <v>1.00000000393849</v>
      </c>
      <c r="V33" s="18">
        <f t="shared" si="66"/>
        <v>8.8752351229098709E-5</v>
      </c>
      <c r="W33" s="32" t="str">
        <f t="shared" si="53"/>
        <v>1-0.0000398597838815138i</v>
      </c>
      <c r="X33" s="18">
        <f t="shared" si="67"/>
        <v>1.0000000007944012</v>
      </c>
      <c r="Y33" s="18">
        <f t="shared" si="68"/>
        <v>-3.9859783860404027E-5</v>
      </c>
      <c r="Z33" s="32" t="str">
        <f t="shared" si="54"/>
        <v>0.999999999800474+0.0000217546162359282i</v>
      </c>
      <c r="AA33" s="18">
        <f t="shared" si="69"/>
        <v>1.0000000000371057</v>
      </c>
      <c r="AB33" s="18">
        <f t="shared" si="70"/>
        <v>2.1754616236836925E-5</v>
      </c>
      <c r="AC33" s="68" t="str">
        <f t="shared" si="71"/>
        <v>21.0753977205923-1.30310148850719i</v>
      </c>
      <c r="AD33" s="66">
        <f t="shared" si="72"/>
        <v>26.49208702743109</v>
      </c>
      <c r="AE33" s="63">
        <f t="shared" si="73"/>
        <v>-3.538120111381688</v>
      </c>
      <c r="AF33" s="51" t="e">
        <f t="shared" si="74"/>
        <v>#NUM!</v>
      </c>
      <c r="AG33" s="51" t="str">
        <f t="shared" si="55"/>
        <v>1-0.0380367220551996i</v>
      </c>
      <c r="AH33" s="51">
        <f t="shared" si="75"/>
        <v>1.000723134650491</v>
      </c>
      <c r="AI33" s="51">
        <f t="shared" si="76"/>
        <v>-3.80183942179401E-2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-0.000133283554228113</v>
      </c>
      <c r="AT33" s="32" t="str">
        <f t="shared" si="59"/>
        <v>5.42276867433628E-06i</v>
      </c>
      <c r="AU33" s="32">
        <f t="shared" si="84"/>
        <v>5.4227686743362802E-6</v>
      </c>
      <c r="AV33" s="32">
        <f t="shared" si="85"/>
        <v>1.5707963267948966</v>
      </c>
      <c r="AW33" s="32" t="str">
        <f t="shared" si="60"/>
        <v>1+0.000948130912127724i</v>
      </c>
      <c r="AX33" s="32">
        <f t="shared" si="86"/>
        <v>1.0000004494760122</v>
      </c>
      <c r="AY33" s="32">
        <f t="shared" si="87"/>
        <v>9.4813062801974574E-4</v>
      </c>
      <c r="AZ33" s="32" t="str">
        <f t="shared" si="61"/>
        <v>1+0.0141294631051229i</v>
      </c>
      <c r="BA33" s="32">
        <f t="shared" si="88"/>
        <v>1.0000998158822143</v>
      </c>
      <c r="BB33" s="32">
        <f t="shared" si="89"/>
        <v>1.4128522940929627E-2</v>
      </c>
      <c r="BC33" s="60" t="str">
        <f t="shared" si="90"/>
        <v>-0.323977165600145+24.5788135101074i</v>
      </c>
      <c r="BD33" s="51">
        <f t="shared" si="91"/>
        <v>27.811972778425023</v>
      </c>
      <c r="BE33" s="63">
        <f t="shared" si="92"/>
        <v>90.755180851856394</v>
      </c>
      <c r="BF33" s="60" t="str">
        <f t="shared" si="93"/>
        <v>25.2007408533483+518.430445352516i</v>
      </c>
      <c r="BG33" s="66">
        <f t="shared" si="94"/>
        <v>54.304059805856106</v>
      </c>
      <c r="BH33" s="63">
        <f t="shared" si="95"/>
        <v>87.217060740474722</v>
      </c>
      <c r="BI33" s="60" t="e">
        <f t="shared" si="96"/>
        <v>#NUM!</v>
      </c>
      <c r="BJ33" s="66" t="e">
        <f t="shared" si="97"/>
        <v>#NUM!</v>
      </c>
      <c r="BK33" s="63" t="e">
        <f t="shared" si="98"/>
        <v>#NUM!</v>
      </c>
      <c r="BL33" s="51">
        <f t="shared" si="99"/>
        <v>54.304059805856106</v>
      </c>
      <c r="BM33" s="63">
        <f t="shared" si="100"/>
        <v>87.217060740474722</v>
      </c>
    </row>
    <row r="34" spans="1:65" x14ac:dyDescent="0.3">
      <c r="A34" t="s">
        <v>197</v>
      </c>
      <c r="B34" s="28">
        <f>(Gcomp*(VOUT/IOUT)*(1-DC_VIN_Var))/(R_cs*Acs*(1+DC_VIN_Var))</f>
        <v>21.156004489337825</v>
      </c>
      <c r="C34" t="s">
        <v>147</v>
      </c>
      <c r="E34" t="s">
        <v>201</v>
      </c>
      <c r="K34" s="32"/>
      <c r="N34" s="11">
        <v>16</v>
      </c>
      <c r="O34" s="52">
        <f t="shared" si="62"/>
        <v>14.454397707459275</v>
      </c>
      <c r="P34" s="50" t="str">
        <f t="shared" si="50"/>
        <v>21.1560044893378</v>
      </c>
      <c r="Q34" s="18" t="str">
        <f t="shared" si="51"/>
        <v>1+0.0632985504209602i</v>
      </c>
      <c r="R34" s="18">
        <f t="shared" si="63"/>
        <v>1.0020013505407039</v>
      </c>
      <c r="S34" s="18">
        <f t="shared" si="64"/>
        <v>6.3214213505440237E-2</v>
      </c>
      <c r="T34" s="18" t="str">
        <f t="shared" si="52"/>
        <v>1+0.0000908196592996384i</v>
      </c>
      <c r="U34" s="18">
        <f t="shared" si="65"/>
        <v>1.0000000041241053</v>
      </c>
      <c r="V34" s="18">
        <f t="shared" si="66"/>
        <v>9.081965904993851E-5</v>
      </c>
      <c r="W34" s="32" t="str">
        <f t="shared" si="53"/>
        <v>1-0.0000407882375197784i</v>
      </c>
      <c r="X34" s="18">
        <f t="shared" si="67"/>
        <v>1.0000000008318402</v>
      </c>
      <c r="Y34" s="18">
        <f t="shared" si="68"/>
        <v>-4.0788237497158871E-5</v>
      </c>
      <c r="Z34" s="32" t="str">
        <f t="shared" si="54"/>
        <v>0.99999999979107+0.0000222613463439824i</v>
      </c>
      <c r="AA34" s="18">
        <f t="shared" si="69"/>
        <v>1.0000000000388538</v>
      </c>
      <c r="AB34" s="18">
        <f t="shared" si="70"/>
        <v>2.2261346344956128E-5</v>
      </c>
      <c r="AC34" s="68" t="str">
        <f t="shared" si="71"/>
        <v>21.0716140008726-1.33321511744666i</v>
      </c>
      <c r="AD34" s="66">
        <f t="shared" si="72"/>
        <v>26.491306914958347</v>
      </c>
      <c r="AE34" s="63">
        <f t="shared" si="73"/>
        <v>-3.6203165309944296</v>
      </c>
      <c r="AF34" s="51" t="e">
        <f t="shared" si="74"/>
        <v>#NUM!</v>
      </c>
      <c r="AG34" s="51" t="str">
        <f t="shared" si="55"/>
        <v>1-0.0389227111284165i</v>
      </c>
      <c r="AH34" s="51">
        <f t="shared" si="75"/>
        <v>1.000757202043326</v>
      </c>
      <c r="AI34" s="51">
        <f t="shared" si="76"/>
        <v>-3.890307329940737E-2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-0.000133283554228113</v>
      </c>
      <c r="AT34" s="32" t="str">
        <f t="shared" si="59"/>
        <v>5.54908118320791E-06i</v>
      </c>
      <c r="AU34" s="32">
        <f t="shared" si="84"/>
        <v>5.5490811832079101E-6</v>
      </c>
      <c r="AV34" s="32">
        <f t="shared" si="85"/>
        <v>1.5707963267948966</v>
      </c>
      <c r="AW34" s="32" t="str">
        <f t="shared" si="60"/>
        <v>1+0.000970215718145059i</v>
      </c>
      <c r="AX34" s="32">
        <f t="shared" si="86"/>
        <v>1.0000004706591592</v>
      </c>
      <c r="AY34" s="32">
        <f t="shared" si="87"/>
        <v>9.7021541371788327E-4</v>
      </c>
      <c r="AZ34" s="32" t="str">
        <f t="shared" si="61"/>
        <v>1+0.0144585805801617i</v>
      </c>
      <c r="BA34" s="32">
        <f t="shared" si="88"/>
        <v>1.0001045198140008</v>
      </c>
      <c r="BB34" s="32">
        <f t="shared" si="89"/>
        <v>1.4457573181764629E-2</v>
      </c>
      <c r="BC34" s="60" t="str">
        <f t="shared" si="90"/>
        <v>-0.323977151874439+24.0193455560738i</v>
      </c>
      <c r="BD34" s="51">
        <f t="shared" si="91"/>
        <v>27.612013448089062</v>
      </c>
      <c r="BE34" s="63">
        <f t="shared" si="92"/>
        <v>90.772768676892056</v>
      </c>
      <c r="BF34" s="60" t="str">
        <f t="shared" si="93"/>
        <v>25.1962331171326+506.558309347748i</v>
      </c>
      <c r="BG34" s="66">
        <f t="shared" si="94"/>
        <v>54.103320363047409</v>
      </c>
      <c r="BH34" s="63">
        <f t="shared" si="95"/>
        <v>87.152452145897627</v>
      </c>
      <c r="BI34" s="60" t="e">
        <f t="shared" si="96"/>
        <v>#NUM!</v>
      </c>
      <c r="BJ34" s="66" t="e">
        <f t="shared" si="97"/>
        <v>#NUM!</v>
      </c>
      <c r="BK34" s="63" t="e">
        <f t="shared" si="98"/>
        <v>#NUM!</v>
      </c>
      <c r="BL34" s="51">
        <f t="shared" si="99"/>
        <v>54.103320363047409</v>
      </c>
      <c r="BM34" s="63">
        <f t="shared" si="100"/>
        <v>87.152452145897627</v>
      </c>
    </row>
    <row r="35" spans="1:65" x14ac:dyDescent="0.3">
      <c r="A35" t="s">
        <v>214</v>
      </c>
      <c r="B35" s="30">
        <f>(1+DC_VIN_Var)/(Cout*(VOUT/IOUT))</f>
        <v>1434.782608695652</v>
      </c>
      <c r="C35" t="s">
        <v>213</v>
      </c>
      <c r="E35" t="s">
        <v>204</v>
      </c>
      <c r="N35" s="11">
        <v>17</v>
      </c>
      <c r="O35" s="52">
        <f t="shared" si="62"/>
        <v>14.791083881682074</v>
      </c>
      <c r="P35" s="50" t="str">
        <f t="shared" si="50"/>
        <v>21.1560044893378</v>
      </c>
      <c r="Q35" s="18" t="str">
        <f t="shared" si="51"/>
        <v>1+0.0647729630672985i</v>
      </c>
      <c r="R35" s="18">
        <f t="shared" si="63"/>
        <v>1.0020955726598724</v>
      </c>
      <c r="S35" s="18">
        <f t="shared" si="64"/>
        <v>6.4682604637533683E-2</v>
      </c>
      <c r="T35" s="18" t="str">
        <f t="shared" si="52"/>
        <v>1+0.0000929351209226456i</v>
      </c>
      <c r="U35" s="18">
        <f t="shared" si="65"/>
        <v>1.0000000043184682</v>
      </c>
      <c r="V35" s="18">
        <f t="shared" si="66"/>
        <v>9.2935120655087352E-5</v>
      </c>
      <c r="W35" s="32" t="str">
        <f t="shared" si="53"/>
        <v>1-0.0000417383176214722i</v>
      </c>
      <c r="X35" s="18">
        <f t="shared" si="67"/>
        <v>1.0000000008710435</v>
      </c>
      <c r="Y35" s="18">
        <f t="shared" si="68"/>
        <v>-4.1738317597234935E-5</v>
      </c>
      <c r="Z35" s="32" t="str">
        <f t="shared" si="54"/>
        <v>0.999999999781224+0.000022779879712532i</v>
      </c>
      <c r="AA35" s="18">
        <f t="shared" si="69"/>
        <v>1.0000000000406852</v>
      </c>
      <c r="AB35" s="18">
        <f t="shared" si="70"/>
        <v>2.2779879713575359E-5</v>
      </c>
      <c r="AC35" s="68" t="str">
        <f t="shared" si="71"/>
        <v>21.0676534164594-1.36401314809811i</v>
      </c>
      <c r="AD35" s="66">
        <f t="shared" si="72"/>
        <v>26.490490187081846</v>
      </c>
      <c r="AE35" s="63">
        <f t="shared" si="73"/>
        <v>-3.7044120838696295</v>
      </c>
      <c r="AF35" s="51" t="e">
        <f t="shared" si="74"/>
        <v>#NUM!</v>
      </c>
      <c r="AG35" s="51" t="str">
        <f t="shared" si="55"/>
        <v>1-0.0398293375382767i</v>
      </c>
      <c r="AH35" s="51">
        <f t="shared" si="75"/>
        <v>1.0007928737399852</v>
      </c>
      <c r="AI35" s="51">
        <f t="shared" si="76"/>
        <v>-3.9808296125640713E-2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-0.000133283554228113</v>
      </c>
      <c r="AT35" s="32" t="str">
        <f t="shared" si="59"/>
        <v>5.67833588837365E-06i</v>
      </c>
      <c r="AU35" s="32">
        <f t="shared" si="84"/>
        <v>5.67833588837365E-6</v>
      </c>
      <c r="AV35" s="32">
        <f t="shared" si="85"/>
        <v>1.5707963267948966</v>
      </c>
      <c r="AW35" s="32" t="str">
        <f t="shared" si="60"/>
        <v>1+0.000992814945378478i</v>
      </c>
      <c r="AX35" s="32">
        <f t="shared" si="86"/>
        <v>1.0000004928406365</v>
      </c>
      <c r="AY35" s="32">
        <f t="shared" si="87"/>
        <v>9.9281461917889095E-4</v>
      </c>
      <c r="AZ35" s="32" t="str">
        <f t="shared" si="61"/>
        <v>1+0.0147953641860061i</v>
      </c>
      <c r="BA35" s="32">
        <f t="shared" si="88"/>
        <v>1.0001094454115493</v>
      </c>
      <c r="BB35" s="32">
        <f t="shared" si="89"/>
        <v>1.479428474555541E-2</v>
      </c>
      <c r="BC35" s="60" t="str">
        <f t="shared" si="90"/>
        <v>-0.323977137501863+23.4726129769864i</v>
      </c>
      <c r="BD35" s="51">
        <f t="shared" si="91"/>
        <v>27.412056034043424</v>
      </c>
      <c r="BE35" s="63">
        <f t="shared" si="92"/>
        <v>90.790765989317251</v>
      </c>
      <c r="BF35" s="60" t="str">
        <f t="shared" si="93"/>
        <v>25.1915146730819+494.954784053073i</v>
      </c>
      <c r="BG35" s="66">
        <f t="shared" si="94"/>
        <v>53.902546221125277</v>
      </c>
      <c r="BH35" s="63">
        <f t="shared" si="95"/>
        <v>87.086353905447638</v>
      </c>
      <c r="BI35" s="60" t="e">
        <f t="shared" si="96"/>
        <v>#NUM!</v>
      </c>
      <c r="BJ35" s="66" t="e">
        <f t="shared" si="97"/>
        <v>#NUM!</v>
      </c>
      <c r="BK35" s="63" t="e">
        <f t="shared" si="98"/>
        <v>#NUM!</v>
      </c>
      <c r="BL35" s="51">
        <f t="shared" si="99"/>
        <v>53.902546221125277</v>
      </c>
      <c r="BM35" s="63">
        <f t="shared" si="100"/>
        <v>87.086353905447638</v>
      </c>
    </row>
    <row r="36" spans="1:65" x14ac:dyDescent="0.3">
      <c r="B36" s="29">
        <f>wp_lf/(2*PI())</f>
        <v>228.35274443619764</v>
      </c>
      <c r="C36" t="s">
        <v>67</v>
      </c>
      <c r="N36" s="11">
        <v>18</v>
      </c>
      <c r="O36" s="52">
        <f t="shared" si="62"/>
        <v>15.135612484362087</v>
      </c>
      <c r="P36" s="50" t="str">
        <f t="shared" si="50"/>
        <v>21.1560044893378</v>
      </c>
      <c r="Q36" s="18" t="str">
        <f t="shared" si="51"/>
        <v>1+0.0662817191960268i</v>
      </c>
      <c r="R36" s="18">
        <f t="shared" si="63"/>
        <v>1.0021942258362802</v>
      </c>
      <c r="S36" s="18">
        <f t="shared" si="64"/>
        <v>6.6184909839351283E-2</v>
      </c>
      <c r="T36" s="18" t="str">
        <f t="shared" si="52"/>
        <v>1+0.0000950998579769078i</v>
      </c>
      <c r="U36" s="18">
        <f t="shared" si="65"/>
        <v>1.0000000045219914</v>
      </c>
      <c r="V36" s="18">
        <f t="shared" si="66"/>
        <v>9.5099857690213968E-5</v>
      </c>
      <c r="W36" s="32" t="str">
        <f t="shared" si="53"/>
        <v>1-0.0000427105279316409i</v>
      </c>
      <c r="X36" s="18">
        <f t="shared" si="67"/>
        <v>1.0000000009120946</v>
      </c>
      <c r="Y36" s="18">
        <f t="shared" si="68"/>
        <v>-4.2710527905670203E-5</v>
      </c>
      <c r="Z36" s="32" t="str">
        <f t="shared" si="54"/>
        <v>0.999999999770913+0.0000233104912748325i</v>
      </c>
      <c r="AA36" s="18">
        <f t="shared" si="69"/>
        <v>1.0000000000426024</v>
      </c>
      <c r="AB36" s="18">
        <f t="shared" si="70"/>
        <v>2.3310491275950485E-5</v>
      </c>
      <c r="AC36" s="68" t="str">
        <f t="shared" si="71"/>
        <v>21.0635077715977-1.3955103153591i</v>
      </c>
      <c r="AD36" s="66">
        <f t="shared" si="72"/>
        <v>26.489635132596341</v>
      </c>
      <c r="AE36" s="63">
        <f t="shared" si="73"/>
        <v>-3.7904499065290085</v>
      </c>
      <c r="AF36" s="51" t="e">
        <f t="shared" si="74"/>
        <v>#NUM!</v>
      </c>
      <c r="AG36" s="51" t="str">
        <f t="shared" si="55"/>
        <v>1-0.0407570819901034i</v>
      </c>
      <c r="AH36" s="51">
        <f t="shared" si="75"/>
        <v>1.0008302252292085</v>
      </c>
      <c r="AI36" s="51">
        <f t="shared" si="76"/>
        <v>-4.0734536720257786E-2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-0.000133283554228113</v>
      </c>
      <c r="AT36" s="32" t="str">
        <f t="shared" si="59"/>
        <v>5.81060132238906E-06i</v>
      </c>
      <c r="AU36" s="32">
        <f t="shared" si="84"/>
        <v>5.8106013223890603E-6</v>
      </c>
      <c r="AV36" s="32">
        <f t="shared" si="85"/>
        <v>1.5707963267948966</v>
      </c>
      <c r="AW36" s="32" t="str">
        <f t="shared" si="60"/>
        <v>1+0.0010159405762374i</v>
      </c>
      <c r="AX36" s="32">
        <f t="shared" si="86"/>
        <v>1.0000005160674941</v>
      </c>
      <c r="AY36" s="32">
        <f t="shared" si="87"/>
        <v>1.0159402267082547E-3</v>
      </c>
      <c r="AZ36" s="32" t="str">
        <f t="shared" si="61"/>
        <v>1+0.0151399924897817i</v>
      </c>
      <c r="BA36" s="32">
        <f t="shared" si="88"/>
        <v>1.0001146031193577</v>
      </c>
      <c r="BB36" s="32">
        <f t="shared" si="89"/>
        <v>1.5138835855658124E-2</v>
      </c>
      <c r="BC36" s="60" t="str">
        <f t="shared" si="90"/>
        <v>-0.323977122451931+22.9383258879949i</v>
      </c>
      <c r="BD36" s="51">
        <f t="shared" si="91"/>
        <v>27.212100626560392</v>
      </c>
      <c r="BE36" s="63">
        <f t="shared" si="92"/>
        <v>90.809182314042587</v>
      </c>
      <c r="BF36" s="60" t="str">
        <f t="shared" si="93"/>
        <v>25.1865757571795+483.613719025543i</v>
      </c>
      <c r="BG36" s="66">
        <f t="shared" si="94"/>
        <v>53.701735759156726</v>
      </c>
      <c r="BH36" s="63">
        <f t="shared" si="95"/>
        <v>87.018732407513568</v>
      </c>
      <c r="BI36" s="60" t="e">
        <f t="shared" si="96"/>
        <v>#NUM!</v>
      </c>
      <c r="BJ36" s="66" t="e">
        <f t="shared" si="97"/>
        <v>#NUM!</v>
      </c>
      <c r="BK36" s="63" t="e">
        <f t="shared" si="98"/>
        <v>#NUM!</v>
      </c>
      <c r="BL36" s="51">
        <f t="shared" si="99"/>
        <v>53.701735759156726</v>
      </c>
      <c r="BM36" s="63">
        <f t="shared" si="100"/>
        <v>87.018732407513568</v>
      </c>
    </row>
    <row r="37" spans="1:65" x14ac:dyDescent="0.3">
      <c r="B37" s="1"/>
      <c r="C37" t="s">
        <v>235</v>
      </c>
      <c r="E37" t="s">
        <v>234</v>
      </c>
      <c r="N37" s="11">
        <v>19</v>
      </c>
      <c r="O37" s="52">
        <f t="shared" si="62"/>
        <v>15.488166189124817</v>
      </c>
      <c r="P37" s="50" t="str">
        <f t="shared" si="50"/>
        <v>21.1560044893378</v>
      </c>
      <c r="Q37" s="18" t="str">
        <f t="shared" si="51"/>
        <v>1+0.0678256187696149i</v>
      </c>
      <c r="R37" s="18">
        <f t="shared" si="63"/>
        <v>1.0022975179862919</v>
      </c>
      <c r="S37" s="18">
        <f t="shared" si="64"/>
        <v>6.7721898513046913E-2</v>
      </c>
      <c r="T37" s="18" t="str">
        <f t="shared" si="52"/>
        <v>1+0.0000973150182346647i</v>
      </c>
      <c r="U37" s="18">
        <f t="shared" si="65"/>
        <v>1.0000000047351063</v>
      </c>
      <c r="V37" s="18">
        <f t="shared" si="66"/>
        <v>9.7315017927466721E-5</v>
      </c>
      <c r="W37" s="32" t="str">
        <f t="shared" si="53"/>
        <v>1-0.0000437053839290595i</v>
      </c>
      <c r="X37" s="18">
        <f t="shared" si="67"/>
        <v>1.0000000009550802</v>
      </c>
      <c r="Y37" s="18">
        <f t="shared" si="68"/>
        <v>-4.3705383901231397E-5</v>
      </c>
      <c r="Z37" s="32" t="str">
        <f t="shared" si="54"/>
        <v>0.999999999760117+0.0000238534623681578i</v>
      </c>
      <c r="AA37" s="18">
        <f t="shared" si="69"/>
        <v>1.0000000000446108</v>
      </c>
      <c r="AB37" s="18">
        <f t="shared" si="70"/>
        <v>2.3853462369355731E-5</v>
      </c>
      <c r="AC37" s="68" t="str">
        <f t="shared" si="71"/>
        <v>21.0591684976164-1.4277216124198i</v>
      </c>
      <c r="AD37" s="66">
        <f t="shared" si="72"/>
        <v>26.48873996103271</v>
      </c>
      <c r="AE37" s="63">
        <f t="shared" si="73"/>
        <v>-3.8784740623604828</v>
      </c>
      <c r="AF37" s="51" t="e">
        <f t="shared" si="74"/>
        <v>#NUM!</v>
      </c>
      <c r="AG37" s="51" t="str">
        <f t="shared" si="55"/>
        <v>1-0.0417064363862849i</v>
      </c>
      <c r="AH37" s="51">
        <f t="shared" si="75"/>
        <v>1.000869335545876</v>
      </c>
      <c r="AI37" s="51">
        <f t="shared" si="76"/>
        <v>-4.1682279827522185E-2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-0.000133283554228113</v>
      </c>
      <c r="AT37" s="32" t="str">
        <f t="shared" si="59"/>
        <v>5.94594761413801E-06i</v>
      </c>
      <c r="AU37" s="32">
        <f t="shared" si="84"/>
        <v>5.9459476141380099E-6</v>
      </c>
      <c r="AV37" s="32">
        <f t="shared" si="85"/>
        <v>1.5707963267948966</v>
      </c>
      <c r="AW37" s="32" t="str">
        <f t="shared" si="60"/>
        <v>1+0.0010396048722374i</v>
      </c>
      <c r="AX37" s="32">
        <f t="shared" si="86"/>
        <v>1.0000005403889991</v>
      </c>
      <c r="AY37" s="32">
        <f t="shared" si="87"/>
        <v>1.0396044977101842E-3</v>
      </c>
      <c r="AZ37" s="32" t="str">
        <f t="shared" si="61"/>
        <v>1+0.0154926482179768i</v>
      </c>
      <c r="BA37" s="32">
        <f t="shared" si="88"/>
        <v>1.0001200038739382</v>
      </c>
      <c r="BB37" s="32">
        <f t="shared" si="89"/>
        <v>1.5491408870215793E-2</v>
      </c>
      <c r="BC37" s="60" t="str">
        <f t="shared" si="90"/>
        <v>-0.323977106692715+22.4162010030123i</v>
      </c>
      <c r="BD37" s="51">
        <f t="shared" si="91"/>
        <v>27.012147320162722</v>
      </c>
      <c r="BE37" s="63">
        <f t="shared" si="92"/>
        <v>90.828027396893276</v>
      </c>
      <c r="BF37" s="60" t="str">
        <f t="shared" si="93"/>
        <v>25.1814061611349+472.529103116028i</v>
      </c>
      <c r="BG37" s="66">
        <f t="shared" si="94"/>
        <v>53.500887281195432</v>
      </c>
      <c r="BH37" s="63">
        <f t="shared" si="95"/>
        <v>86.949553334532808</v>
      </c>
      <c r="BI37" s="60" t="e">
        <f t="shared" si="96"/>
        <v>#NUM!</v>
      </c>
      <c r="BJ37" s="66" t="e">
        <f t="shared" si="97"/>
        <v>#NUM!</v>
      </c>
      <c r="BK37" s="63" t="e">
        <f t="shared" si="98"/>
        <v>#NUM!</v>
      </c>
      <c r="BL37" s="51">
        <f t="shared" si="99"/>
        <v>53.500887281195432</v>
      </c>
      <c r="BM37" s="63">
        <f t="shared" si="100"/>
        <v>86.949553334532808</v>
      </c>
    </row>
    <row r="38" spans="1:65" x14ac:dyDescent="0.3">
      <c r="A38" t="s">
        <v>215</v>
      </c>
      <c r="B38" s="30">
        <f>((VOUT/IOUT)*((1-DC_VIN_Var)^2))/(Lm*DC_VIN_Var)</f>
        <v>2226613.9657444013</v>
      </c>
      <c r="C38" t="s">
        <v>213</v>
      </c>
      <c r="E38" t="s">
        <v>205</v>
      </c>
      <c r="N38" s="11">
        <v>20</v>
      </c>
      <c r="O38" s="52">
        <f t="shared" si="62"/>
        <v>15.848931924611136</v>
      </c>
      <c r="P38" s="50" t="str">
        <f t="shared" si="50"/>
        <v>21.1560044893378</v>
      </c>
      <c r="Q38" s="18" t="str">
        <f t="shared" si="51"/>
        <v>1+0.0694054803840529i</v>
      </c>
      <c r="R38" s="18">
        <f t="shared" si="63"/>
        <v>1.0024056667374448</v>
      </c>
      <c r="S38" s="18">
        <f t="shared" si="64"/>
        <v>6.9294356526968789E-2</v>
      </c>
      <c r="T38" s="18" t="str">
        <f t="shared" si="52"/>
        <v>1+0.0000995817762032062i</v>
      </c>
      <c r="U38" s="18">
        <f t="shared" si="65"/>
        <v>1.0000000049582649</v>
      </c>
      <c r="V38" s="18">
        <f t="shared" si="66"/>
        <v>9.9581775874037632E-5</v>
      </c>
      <c r="W38" s="32" t="str">
        <f t="shared" si="53"/>
        <v>1-0.0000447234130995465i</v>
      </c>
      <c r="X38" s="18">
        <f t="shared" si="67"/>
        <v>1.0000000010000918</v>
      </c>
      <c r="Y38" s="18">
        <f t="shared" si="68"/>
        <v>-4.4723413069728154E-5</v>
      </c>
      <c r="Z38" s="32" t="str">
        <f t="shared" si="54"/>
        <v>0.999999999748811+0.0000244090808829685i</v>
      </c>
      <c r="AA38" s="18">
        <f t="shared" si="69"/>
        <v>1.0000000000467126</v>
      </c>
      <c r="AB38" s="18">
        <f t="shared" si="70"/>
        <v>2.4409080884252122E-5</v>
      </c>
      <c r="AC38" s="68" t="str">
        <f t="shared" si="71"/>
        <v>21.0546266366202-1.4606622908728i</v>
      </c>
      <c r="AD38" s="66">
        <f t="shared" si="72"/>
        <v>26.487802799054236</v>
      </c>
      <c r="AE38" s="63">
        <f t="shared" si="73"/>
        <v>-3.9685295577269115</v>
      </c>
      <c r="AF38" s="51" t="e">
        <f t="shared" si="74"/>
        <v>#NUM!</v>
      </c>
      <c r="AG38" s="51" t="str">
        <f t="shared" si="55"/>
        <v>1-0.0426779040870884i</v>
      </c>
      <c r="AH38" s="51">
        <f t="shared" si="75"/>
        <v>1.0009102874370244</v>
      </c>
      <c r="AI38" s="51">
        <f t="shared" si="76"/>
        <v>-4.2652021139260796E-2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-0.000133283554228113</v>
      </c>
      <c r="AT38" s="32" t="str">
        <f t="shared" si="59"/>
        <v>0.0000060844465260159i</v>
      </c>
      <c r="AU38" s="32">
        <f t="shared" si="84"/>
        <v>6.0844465260158998E-6</v>
      </c>
      <c r="AV38" s="32">
        <f t="shared" si="85"/>
        <v>1.5707963267948966</v>
      </c>
      <c r="AW38" s="32" t="str">
        <f t="shared" si="60"/>
        <v>1+0.00106382038050146i</v>
      </c>
      <c r="AX38" s="32">
        <f t="shared" si="86"/>
        <v>1.0000005658567408</v>
      </c>
      <c r="AY38" s="32">
        <f t="shared" si="87"/>
        <v>1.0638199791883299E-3</v>
      </c>
      <c r="AZ38" s="32" t="str">
        <f t="shared" si="61"/>
        <v>1+0.0158535183533266i</v>
      </c>
      <c r="BA38" s="32">
        <f t="shared" si="88"/>
        <v>1.0001256591269816</v>
      </c>
      <c r="BB38" s="32">
        <f t="shared" si="89"/>
        <v>1.5852190377286132E-2</v>
      </c>
      <c r="BC38" s="60" t="str">
        <f t="shared" si="90"/>
        <v>-0.323977090190795+21.9059614845135i</v>
      </c>
      <c r="BD38" s="51">
        <f t="shared" si="91"/>
        <v>26.81219621382381</v>
      </c>
      <c r="BE38" s="63">
        <f t="shared" si="92"/>
        <v>90.847311209687206</v>
      </c>
      <c r="BF38" s="60" t="str">
        <f t="shared" si="93"/>
        <v>25.175995212955+461.695061291362i</v>
      </c>
      <c r="BG38" s="66">
        <f t="shared" si="94"/>
        <v>53.299999012878033</v>
      </c>
      <c r="BH38" s="63">
        <f t="shared" si="95"/>
        <v>86.878781651960296</v>
      </c>
      <c r="BI38" s="60" t="e">
        <f t="shared" si="96"/>
        <v>#NUM!</v>
      </c>
      <c r="BJ38" s="66" t="e">
        <f t="shared" si="97"/>
        <v>#NUM!</v>
      </c>
      <c r="BK38" s="63" t="e">
        <f t="shared" si="98"/>
        <v>#NUM!</v>
      </c>
      <c r="BL38" s="51">
        <f t="shared" si="99"/>
        <v>53.299999012878033</v>
      </c>
      <c r="BM38" s="63">
        <f t="shared" si="100"/>
        <v>86.878781651960296</v>
      </c>
    </row>
    <row r="39" spans="1:65" x14ac:dyDescent="0.3">
      <c r="A39" s="32"/>
      <c r="B39" s="1">
        <f>wz_rhp/2*PI()</f>
        <v>3497557.0385815231</v>
      </c>
      <c r="C39" s="32" t="s">
        <v>67</v>
      </c>
      <c r="D39" s="32"/>
      <c r="E39" s="32"/>
      <c r="F39" s="32"/>
      <c r="G39" s="32"/>
      <c r="N39" s="11">
        <v>21</v>
      </c>
      <c r="O39" s="52">
        <f t="shared" si="62"/>
        <v>16.218100973589298</v>
      </c>
      <c r="P39" s="50" t="str">
        <f t="shared" si="50"/>
        <v>21.1560044893378</v>
      </c>
      <c r="Q39" s="18" t="str">
        <f t="shared" si="51"/>
        <v>1+0.0710221417028805i</v>
      </c>
      <c r="R39" s="18">
        <f t="shared" si="63"/>
        <v>1.002518899877735</v>
      </c>
      <c r="S39" s="18">
        <f t="shared" si="64"/>
        <v>7.0903086496902731E-2</v>
      </c>
      <c r="T39" s="18" t="str">
        <f t="shared" si="52"/>
        <v>1+0.000101901333747611i</v>
      </c>
      <c r="U39" s="18">
        <f t="shared" si="65"/>
        <v>1.0000000051919409</v>
      </c>
      <c r="V39" s="18">
        <f t="shared" si="66"/>
        <v>1.0190133339490053E-4</v>
      </c>
      <c r="W39" s="32" t="str">
        <f t="shared" si="53"/>
        <v>1-0.0000457651552156431i</v>
      </c>
      <c r="X39" s="18">
        <f t="shared" si="67"/>
        <v>1.0000000010472248</v>
      </c>
      <c r="Y39" s="18">
        <f t="shared" si="68"/>
        <v>-4.5765155183692163E-5</v>
      </c>
      <c r="Z39" s="32" t="str">
        <f t="shared" si="54"/>
        <v>0.999999999736973+0.0000249776414155557i</v>
      </c>
      <c r="AA39" s="18">
        <f t="shared" si="69"/>
        <v>1.000000000048914</v>
      </c>
      <c r="AB39" s="18">
        <f t="shared" si="70"/>
        <v>2.4977641416931123E-5</v>
      </c>
      <c r="AC39" s="68" t="str">
        <f t="shared" si="71"/>
        <v>21.0498728245327-1.4943478604233i</v>
      </c>
      <c r="AD39" s="66">
        <f t="shared" si="72"/>
        <v>26.486821686695738</v>
      </c>
      <c r="AE39" s="63">
        <f t="shared" si="73"/>
        <v>-4.0606623580694281</v>
      </c>
      <c r="AF39" s="51" t="e">
        <f t="shared" si="74"/>
        <v>#NUM!</v>
      </c>
      <c r="AG39" s="51" t="str">
        <f t="shared" si="55"/>
        <v>1-0.0436720001775476i</v>
      </c>
      <c r="AH39" s="51">
        <f t="shared" si="75"/>
        <v>1.0009531675355785</v>
      </c>
      <c r="AI39" s="51">
        <f t="shared" si="76"/>
        <v>-4.3644267525452016E-2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-0.000133283554228113</v>
      </c>
      <c r="AT39" s="32" t="str">
        <f t="shared" si="59"/>
        <v>6.22617149197905E-06i</v>
      </c>
      <c r="AU39" s="32">
        <f t="shared" si="84"/>
        <v>6.2261714919790496E-6</v>
      </c>
      <c r="AV39" s="32">
        <f t="shared" si="85"/>
        <v>1.5707963267948966</v>
      </c>
      <c r="AW39" s="32" t="str">
        <f t="shared" si="60"/>
        <v>1+0.00108859994041259i</v>
      </c>
      <c r="AX39" s="32">
        <f t="shared" si="86"/>
        <v>1.0000005925247395</v>
      </c>
      <c r="AY39" s="32">
        <f t="shared" si="87"/>
        <v>1.0885995103978375E-3</v>
      </c>
      <c r="AZ39" s="32" t="str">
        <f t="shared" si="61"/>
        <v>1+0.0162227942339534i</v>
      </c>
      <c r="BA39" s="32">
        <f t="shared" si="88"/>
        <v>1.0001315808696161</v>
      </c>
      <c r="BB39" s="32">
        <f t="shared" si="89"/>
        <v>1.6221371292099881E-2</v>
      </c>
      <c r="BC39" s="60" t="str">
        <f t="shared" si="90"/>
        <v>-0.323977072911163+21.4073367967518i</v>
      </c>
      <c r="BD39" s="51">
        <f t="shared" si="91"/>
        <v>26.612247411176835</v>
      </c>
      <c r="BE39" s="63">
        <f t="shared" si="92"/>
        <v>90.867043955426197</v>
      </c>
      <c r="BF39" s="60" t="str">
        <f t="shared" si="93"/>
        <v>25.1703317567427+451.105851529296i</v>
      </c>
      <c r="BG39" s="66">
        <f t="shared" si="94"/>
        <v>53.099069097872587</v>
      </c>
      <c r="BH39" s="63">
        <f t="shared" si="95"/>
        <v>86.806381597356761</v>
      </c>
      <c r="BI39" s="60" t="e">
        <f t="shared" si="96"/>
        <v>#NUM!</v>
      </c>
      <c r="BJ39" s="66" t="e">
        <f t="shared" si="97"/>
        <v>#NUM!</v>
      </c>
      <c r="BK39" s="63" t="e">
        <f t="shared" si="98"/>
        <v>#NUM!</v>
      </c>
      <c r="BL39" s="51">
        <f t="shared" si="99"/>
        <v>53.099069097872587</v>
      </c>
      <c r="BM39" s="63">
        <f t="shared" si="100"/>
        <v>86.806381597356761</v>
      </c>
    </row>
    <row r="40" spans="1:65" x14ac:dyDescent="0.3">
      <c r="A40" s="32"/>
      <c r="B40" s="1"/>
      <c r="C40" s="32"/>
      <c r="D40" s="32"/>
      <c r="E40" s="32"/>
      <c r="F40" s="32"/>
      <c r="G40" s="32"/>
      <c r="N40" s="11">
        <v>22</v>
      </c>
      <c r="O40" s="52">
        <f t="shared" si="62"/>
        <v>16.595869074375614</v>
      </c>
      <c r="P40" s="50" t="str">
        <f t="shared" si="50"/>
        <v>21.1560044893378</v>
      </c>
      <c r="Q40" s="18" t="str">
        <f t="shared" si="51"/>
        <v>1+0.0726764599013286i</v>
      </c>
      <c r="R40" s="18">
        <f t="shared" si="63"/>
        <v>1.0026374558252795</v>
      </c>
      <c r="S40" s="18">
        <f t="shared" si="64"/>
        <v>7.254890806676853E-2</v>
      </c>
      <c r="T40" s="18" t="str">
        <f t="shared" si="52"/>
        <v>1+0.000104274920727993i</v>
      </c>
      <c r="U40" s="18">
        <f t="shared" si="65"/>
        <v>1.0000000054366296</v>
      </c>
      <c r="V40" s="18">
        <f t="shared" si="66"/>
        <v>1.0427492035005693E-4</v>
      </c>
      <c r="W40" s="32" t="str">
        <f t="shared" si="53"/>
        <v>1-0.0000468311626228087i</v>
      </c>
      <c r="X40" s="18">
        <f t="shared" si="67"/>
        <v>1.0000000010965788</v>
      </c>
      <c r="Y40" s="18">
        <f t="shared" si="68"/>
        <v>-4.6831162588572657E-5</v>
      </c>
      <c r="Z40" s="32" t="str">
        <f t="shared" si="54"/>
        <v>0.999999999724577+0.0000255594454242398i</v>
      </c>
      <c r="AA40" s="18">
        <f t="shared" si="69"/>
        <v>1.0000000000512197</v>
      </c>
      <c r="AB40" s="18">
        <f t="shared" si="70"/>
        <v>2.555944542571359E-5</v>
      </c>
      <c r="AC40" s="68" t="str">
        <f t="shared" si="71"/>
        <v>21.0448972734712-1.52879408816384i</v>
      </c>
      <c r="AD40" s="66">
        <f t="shared" si="72"/>
        <v>26.485794573439389</v>
      </c>
      <c r="AE40" s="63">
        <f t="shared" si="73"/>
        <v>-4.1549194039789423</v>
      </c>
      <c r="AF40" s="51" t="e">
        <f t="shared" si="74"/>
        <v>#NUM!</v>
      </c>
      <c r="AG40" s="51" t="str">
        <f t="shared" si="55"/>
        <v>1-0.0446892517405685i</v>
      </c>
      <c r="AH40" s="51">
        <f t="shared" si="75"/>
        <v>1.0009980665421547</v>
      </c>
      <c r="AI40" s="51">
        <f t="shared" si="76"/>
        <v>-4.4659537268460364E-2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-0.000133283554228113</v>
      </c>
      <c r="AT40" s="32" t="str">
        <f t="shared" si="59"/>
        <v>6.37119765648037E-06i</v>
      </c>
      <c r="AU40" s="32">
        <f t="shared" si="84"/>
        <v>6.3711976564803702E-6</v>
      </c>
      <c r="AV40" s="32">
        <f t="shared" si="85"/>
        <v>1.5707963267948966</v>
      </c>
      <c r="AW40" s="32" t="str">
        <f t="shared" si="60"/>
        <v>1+0.00111395669042145i</v>
      </c>
      <c r="AX40" s="32">
        <f t="shared" si="86"/>
        <v>1.0000006204495615</v>
      </c>
      <c r="AY40" s="32">
        <f t="shared" si="87"/>
        <v>1.1139562296523565E-3</v>
      </c>
      <c r="AZ40" s="32" t="str">
        <f t="shared" si="61"/>
        <v>1+0.0166006716548172i</v>
      </c>
      <c r="BA40" s="32">
        <f t="shared" si="88"/>
        <v>1.0001377816578028</v>
      </c>
      <c r="BB40" s="32">
        <f t="shared" si="89"/>
        <v>1.659914695649516E-2</v>
      </c>
      <c r="BC40" s="60" t="str">
        <f t="shared" si="90"/>
        <v>-0.323977054817173+20.9200625623176i</v>
      </c>
      <c r="BD40" s="51">
        <f t="shared" si="91"/>
        <v>26.412301020734063</v>
      </c>
      <c r="BE40" s="63">
        <f t="shared" si="92"/>
        <v>90.887236073603205</v>
      </c>
      <c r="BF40" s="60" t="str">
        <f t="shared" si="93"/>
        <v>25.1644041316997+440.75586178467i</v>
      </c>
      <c r="BG40" s="66">
        <f t="shared" si="94"/>
        <v>52.898095594173462</v>
      </c>
      <c r="BH40" s="63">
        <f t="shared" si="95"/>
        <v>86.732316669624268</v>
      </c>
      <c r="BI40" s="60" t="e">
        <f t="shared" si="96"/>
        <v>#NUM!</v>
      </c>
      <c r="BJ40" s="66" t="e">
        <f t="shared" si="97"/>
        <v>#NUM!</v>
      </c>
      <c r="BK40" s="63" t="e">
        <f t="shared" si="98"/>
        <v>#NUM!</v>
      </c>
      <c r="BL40" s="51">
        <f t="shared" si="99"/>
        <v>52.898095594173462</v>
      </c>
      <c r="BM40" s="63">
        <f t="shared" si="100"/>
        <v>86.732316669624268</v>
      </c>
    </row>
    <row r="41" spans="1:65" x14ac:dyDescent="0.3">
      <c r="A41" t="s">
        <v>216</v>
      </c>
      <c r="B41" s="30">
        <f>1/(Cout*Resr)</f>
        <v>1000000</v>
      </c>
      <c r="C41" t="s">
        <v>213</v>
      </c>
      <c r="E41" t="s">
        <v>206</v>
      </c>
      <c r="N41" s="11">
        <v>23</v>
      </c>
      <c r="O41" s="52">
        <f t="shared" si="62"/>
        <v>16.982436524617448</v>
      </c>
      <c r="P41" s="50" t="str">
        <f t="shared" si="50"/>
        <v>21.1560044893378</v>
      </c>
      <c r="Q41" s="18" t="str">
        <f t="shared" si="51"/>
        <v>1+0.0743693121208025i</v>
      </c>
      <c r="R41" s="18">
        <f t="shared" si="63"/>
        <v>1.0027615841192368</v>
      </c>
      <c r="S41" s="18">
        <f t="shared" si="64"/>
        <v>7.423265818826838E-2</v>
      </c>
      <c r="T41" s="18" t="str">
        <f t="shared" si="52"/>
        <v>1+0.000106703795651586i</v>
      </c>
      <c r="U41" s="18">
        <f t="shared" si="65"/>
        <v>1.00000000569285</v>
      </c>
      <c r="V41" s="18">
        <f t="shared" si="66"/>
        <v>1.0670379524662019E-4</v>
      </c>
      <c r="W41" s="32" t="str">
        <f t="shared" si="53"/>
        <v>1-0.0000479220005322804i</v>
      </c>
      <c r="X41" s="18">
        <f t="shared" si="67"/>
        <v>1.000000001148259</v>
      </c>
      <c r="Y41" s="18">
        <f t="shared" si="68"/>
        <v>-4.7922000495595819E-5</v>
      </c>
      <c r="Z41" s="32" t="str">
        <f t="shared" si="54"/>
        <v>0.999999999711597+0.0000261548013892069i</v>
      </c>
      <c r="AA41" s="18">
        <f t="shared" si="69"/>
        <v>1.0000000000536338</v>
      </c>
      <c r="AB41" s="18">
        <f t="shared" si="70"/>
        <v>2.6154801390786089E-5</v>
      </c>
      <c r="AC41" s="68" t="str">
        <f t="shared" si="71"/>
        <v>21.0396897534331-1.56401699737535i</v>
      </c>
      <c r="AD41" s="66">
        <f t="shared" si="72"/>
        <v>26.484719314120355</v>
      </c>
      <c r="AE41" s="63">
        <f t="shared" si="73"/>
        <v>-4.2513486272072853</v>
      </c>
      <c r="AF41" s="51" t="e">
        <f t="shared" si="74"/>
        <v>#NUM!</v>
      </c>
      <c r="AG41" s="51" t="str">
        <f t="shared" si="55"/>
        <v>1-0.0457301981363941i</v>
      </c>
      <c r="AH41" s="51">
        <f t="shared" si="75"/>
        <v>1.0010450794153047</v>
      </c>
      <c r="AI41" s="51">
        <f t="shared" si="76"/>
        <v>-4.5698360300876741E-2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-0.000133283554228113</v>
      </c>
      <c r="AT41" s="32" t="str">
        <f t="shared" si="59"/>
        <v>6.51960191431192E-06i</v>
      </c>
      <c r="AU41" s="32">
        <f t="shared" si="84"/>
        <v>6.5196019143119201E-6</v>
      </c>
      <c r="AV41" s="32">
        <f t="shared" si="85"/>
        <v>1.5707963267948966</v>
      </c>
      <c r="AW41" s="32" t="str">
        <f t="shared" si="60"/>
        <v>1+0.00113990407501253i</v>
      </c>
      <c r="AX41" s="32">
        <f t="shared" si="86"/>
        <v>1.0000006496904392</v>
      </c>
      <c r="AY41" s="32">
        <f t="shared" si="87"/>
        <v>1.1399035812895686E-3</v>
      </c>
      <c r="AZ41" s="32" t="str">
        <f t="shared" si="61"/>
        <v>1+0.0169873509715281i</v>
      </c>
      <c r="BA41" s="32">
        <f t="shared" si="88"/>
        <v>1.0001442746389293</v>
      </c>
      <c r="BB41" s="32">
        <f t="shared" si="89"/>
        <v>1.6985717240569579E-2</v>
      </c>
      <c r="BC41" s="60" t="str">
        <f t="shared" si="90"/>
        <v>-0.323977035870436+20.4438804219618i</v>
      </c>
      <c r="BD41" s="51">
        <f t="shared" si="91"/>
        <v>26.212357156116198</v>
      </c>
      <c r="BE41" s="63">
        <f t="shared" si="92"/>
        <v>90.907898245627479</v>
      </c>
      <c r="BF41" s="60" t="str">
        <f t="shared" si="93"/>
        <v>25.1582001503066+430.639607025222i</v>
      </c>
      <c r="BG41" s="66">
        <f t="shared" si="94"/>
        <v>52.697076470236553</v>
      </c>
      <c r="BH41" s="63">
        <f t="shared" si="95"/>
        <v>86.6565496184202</v>
      </c>
      <c r="BI41" s="60" t="e">
        <f t="shared" si="96"/>
        <v>#NUM!</v>
      </c>
      <c r="BJ41" s="66" t="e">
        <f t="shared" si="97"/>
        <v>#NUM!</v>
      </c>
      <c r="BK41" s="63" t="e">
        <f t="shared" si="98"/>
        <v>#NUM!</v>
      </c>
      <c r="BL41" s="51">
        <f t="shared" si="99"/>
        <v>52.697076470236553</v>
      </c>
      <c r="BM41" s="63">
        <f t="shared" si="100"/>
        <v>86.6565496184202</v>
      </c>
    </row>
    <row r="42" spans="1:65" s="32" customFormat="1" x14ac:dyDescent="0.3">
      <c r="B42" s="30"/>
      <c r="K42"/>
      <c r="N42" s="11">
        <v>24</v>
      </c>
      <c r="O42" s="52">
        <f t="shared" si="62"/>
        <v>17.378008287493756</v>
      </c>
      <c r="P42" s="50" t="str">
        <f t="shared" si="50"/>
        <v>21.1560044893378</v>
      </c>
      <c r="Q42" s="18" t="str">
        <f t="shared" si="51"/>
        <v>1+0.0761015959339576i</v>
      </c>
      <c r="R42" s="18">
        <f t="shared" si="63"/>
        <v>1.0028915459329066</v>
      </c>
      <c r="S42" s="18">
        <f t="shared" si="64"/>
        <v>7.5955191398960065E-2</v>
      </c>
      <c r="T42" s="18" t="str">
        <f t="shared" si="52"/>
        <v>1+0.000109189246340026i</v>
      </c>
      <c r="U42" s="18">
        <f t="shared" si="65"/>
        <v>1.0000000059611458</v>
      </c>
      <c r="V42" s="18">
        <f t="shared" si="66"/>
        <v>1.0918924590609732E-4</v>
      </c>
      <c r="W42" s="32" t="str">
        <f t="shared" si="53"/>
        <v>1-0.0000490382473207573i</v>
      </c>
      <c r="X42" s="18">
        <f t="shared" si="67"/>
        <v>1.0000000012023749</v>
      </c>
      <c r="Y42" s="18">
        <f t="shared" si="68"/>
        <v>-4.9038247281449061E-5</v>
      </c>
      <c r="Z42" s="32" t="str">
        <f t="shared" si="54"/>
        <v>0.999999999698005+0.0000267640249760704i</v>
      </c>
      <c r="AA42" s="18">
        <f t="shared" si="69"/>
        <v>1.0000000000561613</v>
      </c>
      <c r="AB42" s="18">
        <f t="shared" si="70"/>
        <v>2.6764024977762527E-5</v>
      </c>
      <c r="AC42" s="68" t="str">
        <f t="shared" si="71"/>
        <v>21.0342395732747-1.60003286581417i</v>
      </c>
      <c r="AD42" s="66">
        <f t="shared" si="72"/>
        <v>26.483593664655821</v>
      </c>
      <c r="AE42" s="63">
        <f t="shared" si="73"/>
        <v>-4.3499989665881182</v>
      </c>
      <c r="AF42" s="51" t="e">
        <f t="shared" si="74"/>
        <v>#NUM!</v>
      </c>
      <c r="AG42" s="51" t="str">
        <f t="shared" si="55"/>
        <v>1-0.0467953912885826i</v>
      </c>
      <c r="AH42" s="51">
        <f t="shared" si="75"/>
        <v>1.001094305570585</v>
      </c>
      <c r="AI42" s="51">
        <f t="shared" si="76"/>
        <v>-4.6761278446925666E-2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-0.000133283554228113</v>
      </c>
      <c r="AT42" s="32" t="str">
        <f t="shared" si="59"/>
        <v>6.67146295137558E-06i</v>
      </c>
      <c r="AU42" s="32">
        <f t="shared" si="84"/>
        <v>6.6714629513755799E-6</v>
      </c>
      <c r="AV42" s="32">
        <f t="shared" si="85"/>
        <v>1.5707963267948966</v>
      </c>
      <c r="AW42" s="32" t="str">
        <f t="shared" si="60"/>
        <v>1+0.0011664558518326i</v>
      </c>
      <c r="AX42" s="32">
        <f t="shared" si="86"/>
        <v>1.0000006803093957</v>
      </c>
      <c r="AY42" s="32">
        <f t="shared" si="87"/>
        <v>1.1664553227989348E-3</v>
      </c>
      <c r="AZ42" s="32" t="str">
        <f t="shared" si="61"/>
        <v>1+0.0173830372065785i</v>
      </c>
      <c r="BA42" s="32">
        <f t="shared" si="88"/>
        <v>1.0001510735796493</v>
      </c>
      <c r="BB42" s="32">
        <f t="shared" si="89"/>
        <v>1.7381286646597899E-2</v>
      </c>
      <c r="BC42" s="60" t="str">
        <f t="shared" si="90"/>
        <v>-0.323977016030775+19.9785378976103i</v>
      </c>
      <c r="BD42" s="51">
        <f t="shared" si="91"/>
        <v>26.012415936292612</v>
      </c>
      <c r="BE42" s="63">
        <f t="shared" si="92"/>
        <v>90.929041400370195</v>
      </c>
      <c r="BF42" s="60" t="str">
        <f t="shared" si="93"/>
        <v>25.1517070756644+420.751726335501i</v>
      </c>
      <c r="BG42" s="66">
        <f t="shared" si="94"/>
        <v>52.496009600948447</v>
      </c>
      <c r="BH42" s="63">
        <f t="shared" si="95"/>
        <v>86.579042433782107</v>
      </c>
      <c r="BI42" s="60" t="e">
        <f t="shared" si="96"/>
        <v>#NUM!</v>
      </c>
      <c r="BJ42" s="66" t="e">
        <f t="shared" si="97"/>
        <v>#NUM!</v>
      </c>
      <c r="BK42" s="63" t="e">
        <f t="shared" si="98"/>
        <v>#NUM!</v>
      </c>
      <c r="BL42" s="51">
        <f t="shared" si="99"/>
        <v>52.496009600948447</v>
      </c>
      <c r="BM42" s="63">
        <f t="shared" si="100"/>
        <v>86.579042433782107</v>
      </c>
    </row>
    <row r="43" spans="1:65" s="32" customFormat="1" x14ac:dyDescent="0.3">
      <c r="A43"/>
      <c r="B43" s="1"/>
      <c r="C43"/>
      <c r="D43"/>
      <c r="E43"/>
      <c r="F43"/>
      <c r="G43"/>
      <c r="N43" s="11">
        <v>25</v>
      </c>
      <c r="O43" s="52">
        <f t="shared" si="62"/>
        <v>17.782794100389236</v>
      </c>
      <c r="P43" s="50" t="str">
        <f t="shared" si="50"/>
        <v>21.1560044893378</v>
      </c>
      <c r="Q43" s="18" t="str">
        <f t="shared" si="51"/>
        <v>1+0.0778742298206i</v>
      </c>
      <c r="R43" s="18">
        <f t="shared" si="63"/>
        <v>1.0030276146099626</v>
      </c>
      <c r="S43" s="18">
        <f t="shared" si="64"/>
        <v>7.7717380098157193E-2</v>
      </c>
      <c r="T43" s="18" t="str">
        <f t="shared" si="52"/>
        <v>1+0.000111732590612165i</v>
      </c>
      <c r="U43" s="18">
        <f t="shared" si="65"/>
        <v>1.0000000062420857</v>
      </c>
      <c r="V43" s="18">
        <f t="shared" si="66"/>
        <v>1.1173259014720206E-4</v>
      </c>
      <c r="W43" s="32" t="str">
        <f t="shared" si="53"/>
        <v>1-0.0000501804948370611i</v>
      </c>
      <c r="X43" s="18">
        <f t="shared" si="67"/>
        <v>1.0000000012590409</v>
      </c>
      <c r="Y43" s="18">
        <f t="shared" si="68"/>
        <v>-5.0180494794941568E-5</v>
      </c>
      <c r="Z43" s="32" t="str">
        <f t="shared" si="54"/>
        <v>0.999999999683772+0.0000273874392032398i</v>
      </c>
      <c r="AA43" s="18">
        <f t="shared" si="69"/>
        <v>1.0000000000588076</v>
      </c>
      <c r="AB43" s="18">
        <f t="shared" si="70"/>
        <v>2.7387439205052959E-5</v>
      </c>
      <c r="AC43" s="68" t="str">
        <f t="shared" si="71"/>
        <v>21.0285355609646-1.63685822344115i</v>
      </c>
      <c r="AD43" s="66">
        <f t="shared" si="72"/>
        <v>26.482415277591024</v>
      </c>
      <c r="AE43" s="63">
        <f t="shared" si="73"/>
        <v>-4.4509203838326732</v>
      </c>
      <c r="AF43" s="51" t="e">
        <f t="shared" si="74"/>
        <v>#NUM!</v>
      </c>
      <c r="AG43" s="51" t="str">
        <f t="shared" si="55"/>
        <v>1-0.0478853959766422i</v>
      </c>
      <c r="AH43" s="51">
        <f t="shared" si="75"/>
        <v>1.0011458490888527</v>
      </c>
      <c r="AI43" s="51">
        <f t="shared" si="76"/>
        <v>-4.7848845667375288E-2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-0.000133283554228113</v>
      </c>
      <c r="AT43" s="32" t="str">
        <f t="shared" si="59"/>
        <v>6.82686128640331E-06i</v>
      </c>
      <c r="AU43" s="32">
        <f t="shared" si="84"/>
        <v>6.8268612864033098E-6</v>
      </c>
      <c r="AV43" s="32">
        <f t="shared" si="85"/>
        <v>1.5707963267948966</v>
      </c>
      <c r="AW43" s="32" t="str">
        <f t="shared" si="60"/>
        <v>1+0.00119362609898517i</v>
      </c>
      <c r="AX43" s="32">
        <f t="shared" si="86"/>
        <v>1.0000007123713783</v>
      </c>
      <c r="AY43" s="32">
        <f t="shared" si="87"/>
        <v>1.1936255321154064E-3</v>
      </c>
      <c r="AZ43" s="32" t="str">
        <f t="shared" si="61"/>
        <v>1+0.0177879401580473i</v>
      </c>
      <c r="BA43" s="32">
        <f t="shared" si="88"/>
        <v>1.0001581928950372</v>
      </c>
      <c r="BB43" s="32">
        <f t="shared" si="89"/>
        <v>1.7786064415256354E-2</v>
      </c>
      <c r="BC43" s="60" t="str">
        <f t="shared" si="90"/>
        <v>-0.323976995256098+19.5237882584973i</v>
      </c>
      <c r="BD43" s="51">
        <f t="shared" si="91"/>
        <v>25.812477485833071</v>
      </c>
      <c r="BE43" s="63">
        <f t="shared" si="92"/>
        <v>90.950676719832728</v>
      </c>
      <c r="BF43" s="60" t="str">
        <f t="shared" si="93"/>
        <v>25.1449115979678+411.086980087444i</v>
      </c>
      <c r="BG43" s="66">
        <f t="shared" si="94"/>
        <v>52.294892763424087</v>
      </c>
      <c r="BH43" s="63">
        <f t="shared" si="95"/>
        <v>86.499756336000061</v>
      </c>
      <c r="BI43" s="60" t="e">
        <f t="shared" si="96"/>
        <v>#NUM!</v>
      </c>
      <c r="BJ43" s="66" t="e">
        <f t="shared" si="97"/>
        <v>#NUM!</v>
      </c>
      <c r="BK43" s="63" t="e">
        <f t="shared" si="98"/>
        <v>#NUM!</v>
      </c>
      <c r="BL43" s="51">
        <f t="shared" si="99"/>
        <v>52.294892763424087</v>
      </c>
      <c r="BM43" s="63">
        <f t="shared" si="100"/>
        <v>86.499756336000061</v>
      </c>
    </row>
    <row r="44" spans="1:65" s="32" customFormat="1" x14ac:dyDescent="0.3">
      <c r="A44" s="32" t="s">
        <v>209</v>
      </c>
      <c r="B44" s="1">
        <f>(Isl*(Rsl_int+R_sl)*Fsw)</f>
        <v>79980</v>
      </c>
      <c r="C44" s="32" t="s">
        <v>147</v>
      </c>
      <c r="E44" s="32" t="s">
        <v>210</v>
      </c>
      <c r="N44" s="11">
        <v>26</v>
      </c>
      <c r="O44" s="52">
        <f t="shared" si="62"/>
        <v>18.197008586099841</v>
      </c>
      <c r="P44" s="50" t="str">
        <f t="shared" si="50"/>
        <v>21.1560044893378</v>
      </c>
      <c r="Q44" s="18" t="str">
        <f t="shared" si="51"/>
        <v>1+0.079688153654681i</v>
      </c>
      <c r="R44" s="18">
        <f t="shared" si="63"/>
        <v>1.0031700762248104</v>
      </c>
      <c r="S44" s="18">
        <f t="shared" si="64"/>
        <v>7.9520114820041107E-2</v>
      </c>
      <c r="T44" s="18" t="str">
        <f t="shared" si="52"/>
        <v>1+0.000114335176982803i</v>
      </c>
      <c r="U44" s="18">
        <f t="shared" si="65"/>
        <v>1.0000000065362662</v>
      </c>
      <c r="V44" s="18">
        <f t="shared" si="66"/>
        <v>1.1433517648458623E-4</v>
      </c>
      <c r="W44" s="32" t="str">
        <f t="shared" si="53"/>
        <v>1-0.0000513493487159453i</v>
      </c>
      <c r="X44" s="18">
        <f t="shared" si="67"/>
        <v>1.0000000013183779</v>
      </c>
      <c r="Y44" s="18">
        <f t="shared" si="68"/>
        <v>-5.1349348670813405E-5</v>
      </c>
      <c r="Z44" s="32" t="str">
        <f t="shared" si="54"/>
        <v>0.999999999668869+0.0000280253746131906i</v>
      </c>
      <c r="AA44" s="18">
        <f t="shared" si="69"/>
        <v>1.0000000000615796</v>
      </c>
      <c r="AB44" s="18">
        <f t="shared" si="70"/>
        <v>2.8025374615133422E-5</v>
      </c>
      <c r="AC44" s="68" t="str">
        <f t="shared" si="71"/>
        <v>21.0225660430921-1.67450984954717i</v>
      </c>
      <c r="AD44" s="66">
        <f t="shared" si="72"/>
        <v>26.481181697454851</v>
      </c>
      <c r="AE44" s="63">
        <f t="shared" si="73"/>
        <v>-4.5541638791659196</v>
      </c>
      <c r="AF44" s="51" t="e">
        <f t="shared" si="74"/>
        <v>#NUM!</v>
      </c>
      <c r="AG44" s="51" t="str">
        <f t="shared" si="55"/>
        <v>1-0.0490007901354871i</v>
      </c>
      <c r="AH44" s="51">
        <f t="shared" si="75"/>
        <v>1.0011998189342135</v>
      </c>
      <c r="AI44" s="51">
        <f t="shared" si="76"/>
        <v>-4.8961628307893454E-2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-0.000133283554228113</v>
      </c>
      <c r="AT44" s="32" t="str">
        <f t="shared" si="59"/>
        <v>6.98587931364928E-06i</v>
      </c>
      <c r="AU44" s="32">
        <f t="shared" si="84"/>
        <v>6.9858793136492797E-6</v>
      </c>
      <c r="AV44" s="32">
        <f t="shared" si="85"/>
        <v>1.5707963267948966</v>
      </c>
      <c r="AW44" s="32" t="str">
        <f t="shared" si="60"/>
        <v>1+0.00122142922249494i</v>
      </c>
      <c r="AX44" s="32">
        <f t="shared" si="86"/>
        <v>1.0000007459443947</v>
      </c>
      <c r="AY44" s="32">
        <f t="shared" si="87"/>
        <v>1.2214286150830692E-3</v>
      </c>
      <c r="AZ44" s="32" t="str">
        <f t="shared" si="61"/>
        <v>1+0.0182022745108392i</v>
      </c>
      <c r="BA44" s="32">
        <f t="shared" si="88"/>
        <v>1.0001656476791072</v>
      </c>
      <c r="BB44" s="32">
        <f t="shared" si="89"/>
        <v>1.8200264634205047E-2</v>
      </c>
      <c r="BC44" s="60" t="str">
        <f t="shared" si="90"/>
        <v>-0.323976973502344+19.0793903903445i</v>
      </c>
      <c r="BD44" s="51">
        <f t="shared" si="91"/>
        <v>25.612541935170622</v>
      </c>
      <c r="BE44" s="63">
        <f t="shared" si="92"/>
        <v>90.972815644940383</v>
      </c>
      <c r="BF44" s="60" t="str">
        <f t="shared" si="93"/>
        <v>25.1377998100934+401.64024717611i</v>
      </c>
      <c r="BG44" s="66">
        <f t="shared" si="94"/>
        <v>52.093723632625462</v>
      </c>
      <c r="BH44" s="63">
        <f t="shared" si="95"/>
        <v>86.41865176577447</v>
      </c>
      <c r="BI44" s="60" t="e">
        <f t="shared" si="96"/>
        <v>#NUM!</v>
      </c>
      <c r="BJ44" s="66" t="e">
        <f t="shared" si="97"/>
        <v>#NUM!</v>
      </c>
      <c r="BK44" s="63" t="e">
        <f t="shared" si="98"/>
        <v>#NUM!</v>
      </c>
      <c r="BL44" s="51">
        <f t="shared" si="99"/>
        <v>52.093723632625462</v>
      </c>
      <c r="BM44" s="63">
        <f t="shared" si="100"/>
        <v>86.41865176577447</v>
      </c>
    </row>
    <row r="45" spans="1:65" x14ac:dyDescent="0.3">
      <c r="A45" s="32" t="s">
        <v>212</v>
      </c>
      <c r="B45" s="1">
        <f>(R_cs*VIN_var*Acs)/Lm</f>
        <v>106363.63636363637</v>
      </c>
      <c r="C45" s="32" t="s">
        <v>147</v>
      </c>
      <c r="D45" s="32"/>
      <c r="E45" s="32" t="s">
        <v>211</v>
      </c>
      <c r="F45" s="32"/>
      <c r="G45" s="32"/>
      <c r="N45" s="11">
        <v>27</v>
      </c>
      <c r="O45" s="52">
        <f t="shared" si="62"/>
        <v>18.62087136662868</v>
      </c>
      <c r="P45" s="50" t="str">
        <f t="shared" si="50"/>
        <v>21.1560044893378</v>
      </c>
      <c r="Q45" s="18" t="str">
        <f t="shared" si="51"/>
        <v>1+0.081544329202627i</v>
      </c>
      <c r="R45" s="18">
        <f t="shared" si="63"/>
        <v>1.0033192301680989</v>
      </c>
      <c r="S45" s="18">
        <f t="shared" si="64"/>
        <v>8.136430450328351E-2</v>
      </c>
      <c r="T45" s="18" t="str">
        <f t="shared" si="52"/>
        <v>1+0.000116998385377682i</v>
      </c>
      <c r="U45" s="18">
        <f t="shared" si="65"/>
        <v>1.0000000068443111</v>
      </c>
      <c r="V45" s="18">
        <f t="shared" si="66"/>
        <v>1.169983848438331E-4</v>
      </c>
      <c r="W45" s="32" t="str">
        <f t="shared" si="53"/>
        <v>1-0.0000525454286992075i</v>
      </c>
      <c r="X45" s="18">
        <f t="shared" si="67"/>
        <v>1.000000001380511</v>
      </c>
      <c r="Y45" s="18">
        <f t="shared" si="68"/>
        <v>-5.2545428650847801E-5</v>
      </c>
      <c r="Z45" s="32" t="str">
        <f t="shared" si="54"/>
        <v>0.999999999653263+0.0000286781694477208i</v>
      </c>
      <c r="AA45" s="18">
        <f t="shared" si="69"/>
        <v>1.0000000000644815</v>
      </c>
      <c r="AB45" s="18">
        <f t="shared" si="70"/>
        <v>2.867816944980258E-5</v>
      </c>
      <c r="AC45" s="68" t="str">
        <f t="shared" si="71"/>
        <v>21.0163188236125-1.71300476922507i</v>
      </c>
      <c r="AD45" s="66">
        <f t="shared" si="72"/>
        <v>26.479890355917888</v>
      </c>
      <c r="AE45" s="63">
        <f t="shared" si="73"/>
        <v>-4.6597815067620703</v>
      </c>
      <c r="AF45" s="51" t="e">
        <f t="shared" si="74"/>
        <v>#NUM!</v>
      </c>
      <c r="AG45" s="51" t="str">
        <f t="shared" si="55"/>
        <v>1-0.0501421651618638i</v>
      </c>
      <c r="AH45" s="51">
        <f t="shared" si="75"/>
        <v>1.0012563291820529</v>
      </c>
      <c r="AI45" s="51">
        <f t="shared" si="76"/>
        <v>-5.0100205350762095E-2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-0.000133283554228113</v>
      </c>
      <c r="AT45" s="32" t="str">
        <f t="shared" si="59"/>
        <v>7.14860134657639E-06i</v>
      </c>
      <c r="AU45" s="32">
        <f t="shared" si="84"/>
        <v>7.1486013465763899E-6</v>
      </c>
      <c r="AV45" s="32">
        <f t="shared" si="85"/>
        <v>1.5707963267948966</v>
      </c>
      <c r="AW45" s="32" t="str">
        <f t="shared" si="60"/>
        <v>1+0.001249879963946i</v>
      </c>
      <c r="AX45" s="32">
        <f t="shared" si="86"/>
        <v>1.0000007810996572</v>
      </c>
      <c r="AY45" s="32">
        <f t="shared" si="87"/>
        <v>1.2498793130924818E-3</v>
      </c>
      <c r="AZ45" s="32" t="str">
        <f t="shared" si="61"/>
        <v>1+0.0186262599505123i</v>
      </c>
      <c r="BA45" s="32">
        <f t="shared" si="88"/>
        <v>1.0001734537367726</v>
      </c>
      <c r="BB45" s="32">
        <f t="shared" si="89"/>
        <v>1.8624106349068869E-2</v>
      </c>
      <c r="BC45" s="60" t="str">
        <f t="shared" si="90"/>
        <v>-0.32397695072337+18.6451086675198i</v>
      </c>
      <c r="BD45" s="51">
        <f t="shared" si="91"/>
        <v>25.412609420877537</v>
      </c>
      <c r="BE45" s="63">
        <f t="shared" si="92"/>
        <v>90.995469881463535</v>
      </c>
      <c r="BF45" s="60" t="str">
        <f t="shared" si="93"/>
        <v>25.130357182277+392.406522319205i</v>
      </c>
      <c r="BG45" s="66">
        <f t="shared" si="94"/>
        <v>51.892499776795432</v>
      </c>
      <c r="BH45" s="63">
        <f t="shared" si="95"/>
        <v>86.335688374701462</v>
      </c>
      <c r="BI45" s="60" t="e">
        <f t="shared" si="96"/>
        <v>#NUM!</v>
      </c>
      <c r="BJ45" s="66" t="e">
        <f t="shared" si="97"/>
        <v>#NUM!</v>
      </c>
      <c r="BK45" s="63" t="e">
        <f t="shared" si="98"/>
        <v>#NUM!</v>
      </c>
      <c r="BL45" s="51">
        <f t="shared" si="99"/>
        <v>51.892499776795432</v>
      </c>
      <c r="BM45" s="63">
        <f t="shared" si="100"/>
        <v>86.335688374701462</v>
      </c>
    </row>
    <row r="46" spans="1:65" x14ac:dyDescent="0.3">
      <c r="B46" s="1"/>
      <c r="K46" s="32"/>
      <c r="N46" s="11">
        <v>28</v>
      </c>
      <c r="O46" s="52">
        <f t="shared" si="62"/>
        <v>19.054607179632477</v>
      </c>
      <c r="P46" s="50" t="str">
        <f t="shared" si="50"/>
        <v>21.1560044893378</v>
      </c>
      <c r="Q46" s="18" t="str">
        <f t="shared" si="51"/>
        <v>1+0.083443740633283i</v>
      </c>
      <c r="R46" s="18">
        <f t="shared" si="63"/>
        <v>1.0034753897584507</v>
      </c>
      <c r="S46" s="18">
        <f t="shared" si="64"/>
        <v>8.3250876756454428E-2</v>
      </c>
      <c r="T46" s="18" t="str">
        <f t="shared" si="52"/>
        <v>1+0.000119723627865145i</v>
      </c>
      <c r="U46" s="18">
        <f t="shared" si="65"/>
        <v>1.0000000071668735</v>
      </c>
      <c r="V46" s="18">
        <f t="shared" si="66"/>
        <v>1.1972362729311561E-4</v>
      </c>
      <c r="W46" s="32" t="str">
        <f t="shared" si="53"/>
        <v>1-0.000053769368964287i</v>
      </c>
      <c r="X46" s="18">
        <f t="shared" si="67"/>
        <v>1.0000000014455726</v>
      </c>
      <c r="Y46" s="18">
        <f t="shared" si="68"/>
        <v>-5.3769368912468654E-5</v>
      </c>
      <c r="Z46" s="32" t="str">
        <f t="shared" si="54"/>
        <v>0.999999999636922+0.0000293461698272927i</v>
      </c>
      <c r="AA46" s="18">
        <f t="shared" si="69"/>
        <v>1.0000000000675209</v>
      </c>
      <c r="AB46" s="18">
        <f t="shared" si="70"/>
        <v>2.9346169829523366E-5</v>
      </c>
      <c r="AC46" s="68" t="str">
        <f t="shared" si="71"/>
        <v>21.0097811618131-1.75236024913619i</v>
      </c>
      <c r="AD46" s="66">
        <f t="shared" si="72"/>
        <v>26.478538566746053</v>
      </c>
      <c r="AE46" s="63">
        <f t="shared" si="73"/>
        <v>-4.7678263899385867</v>
      </c>
      <c r="AF46" s="51" t="e">
        <f t="shared" si="74"/>
        <v>#NUM!</v>
      </c>
      <c r="AG46" s="51" t="str">
        <f t="shared" si="55"/>
        <v>1-0.0513101262279194i</v>
      </c>
      <c r="AH46" s="51">
        <f t="shared" si="75"/>
        <v>1.0013154992576141</v>
      </c>
      <c r="AI46" s="51">
        <f t="shared" si="76"/>
        <v>-5.1265168669868515E-2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-0.000133283554228113</v>
      </c>
      <c r="AT46" s="32" t="str">
        <f t="shared" si="59"/>
        <v>7.31511366256039E-06i</v>
      </c>
      <c r="AU46" s="32">
        <f t="shared" si="84"/>
        <v>7.3151136625603897E-6</v>
      </c>
      <c r="AV46" s="32">
        <f t="shared" si="85"/>
        <v>1.5707963267948966</v>
      </c>
      <c r="AW46" s="32" t="str">
        <f t="shared" si="60"/>
        <v>1+0.00127899340829806i</v>
      </c>
      <c r="AX46" s="32">
        <f t="shared" si="86"/>
        <v>1.0000008179117348</v>
      </c>
      <c r="AY46" s="32">
        <f t="shared" si="87"/>
        <v>1.278992710895981E-3</v>
      </c>
      <c r="AZ46" s="32" t="str">
        <f t="shared" si="61"/>
        <v>1+0.0190601212797589i</v>
      </c>
      <c r="BA46" s="32">
        <f t="shared" si="88"/>
        <v>1.0001816276173039</v>
      </c>
      <c r="BB46" s="32">
        <f t="shared" si="89"/>
        <v>1.9057813676868429E-2</v>
      </c>
      <c r="BC46" s="60" t="str">
        <f t="shared" si="90"/>
        <v>-0.323976926870861+18.2207128281049i</v>
      </c>
      <c r="BD46" s="51">
        <f t="shared" si="91"/>
        <v>25.212680085953604</v>
      </c>
      <c r="BE46" s="63">
        <f t="shared" si="92"/>
        <v>91.018651406068912</v>
      </c>
      <c r="BF46" s="60" t="str">
        <f t="shared" si="93"/>
        <v>25.1225685358634+383.38091341901i</v>
      </c>
      <c r="BG46" s="66">
        <f t="shared" si="94"/>
        <v>51.691218652699646</v>
      </c>
      <c r="BH46" s="63">
        <f t="shared" si="95"/>
        <v>86.250825016130335</v>
      </c>
      <c r="BI46" s="60" t="e">
        <f t="shared" si="96"/>
        <v>#NUM!</v>
      </c>
      <c r="BJ46" s="66" t="e">
        <f t="shared" si="97"/>
        <v>#NUM!</v>
      </c>
      <c r="BK46" s="63" t="e">
        <f t="shared" si="98"/>
        <v>#NUM!</v>
      </c>
      <c r="BL46" s="51">
        <f t="shared" si="99"/>
        <v>51.691218652699646</v>
      </c>
      <c r="BM46" s="63">
        <f t="shared" si="100"/>
        <v>86.250825016130335</v>
      </c>
    </row>
    <row r="47" spans="1:65" x14ac:dyDescent="0.3">
      <c r="A47" t="s">
        <v>207</v>
      </c>
      <c r="B47" s="1">
        <f>2*PI()*Fsw</f>
        <v>12566370.614359172</v>
      </c>
      <c r="C47" t="s">
        <v>213</v>
      </c>
      <c r="N47" s="11">
        <v>29</v>
      </c>
      <c r="O47" s="52">
        <f t="shared" si="62"/>
        <v>19.498445997580465</v>
      </c>
      <c r="P47" s="50" t="str">
        <f t="shared" si="50"/>
        <v>21.1560044893378</v>
      </c>
      <c r="Q47" s="18" t="str">
        <f t="shared" si="51"/>
        <v>1+0.0853873950397315i</v>
      </c>
      <c r="R47" s="18">
        <f t="shared" si="63"/>
        <v>1.0036388828815228</v>
      </c>
      <c r="S47" s="18">
        <f t="shared" si="64"/>
        <v>8.5180778118408351E-2</v>
      </c>
      <c r="T47" s="18" t="str">
        <f t="shared" si="52"/>
        <v>1+0.000122512349404832i</v>
      </c>
      <c r="U47" s="18">
        <f t="shared" si="65"/>
        <v>1.0000000075046378</v>
      </c>
      <c r="V47" s="18">
        <f t="shared" si="66"/>
        <v>1.2251234879189144E-4</v>
      </c>
      <c r="W47" s="32" t="str">
        <f t="shared" si="53"/>
        <v>1-0.0000550218184605133i</v>
      </c>
      <c r="X47" s="18">
        <f t="shared" si="67"/>
        <v>1.0000000015137003</v>
      </c>
      <c r="Y47" s="18">
        <f t="shared" si="68"/>
        <v>-5.5021818404988941E-5</v>
      </c>
      <c r="Z47" s="32" t="str">
        <f t="shared" si="54"/>
        <v>0.999999999619811+0.0000300297299345496i</v>
      </c>
      <c r="AA47" s="18">
        <f t="shared" si="69"/>
        <v>1.0000000000707032</v>
      </c>
      <c r="AB47" s="18">
        <f t="shared" si="70"/>
        <v>3.002972993693979E-5</v>
      </c>
      <c r="AC47" s="68" t="str">
        <f t="shared" si="71"/>
        <v>21.0029397494825-1.79259379251534i</v>
      </c>
      <c r="AD47" s="66">
        <f t="shared" si="72"/>
        <v>26.47712352054193</v>
      </c>
      <c r="AE47" s="63">
        <f t="shared" si="73"/>
        <v>-4.8783527360621415</v>
      </c>
      <c r="AF47" s="51" t="e">
        <f t="shared" si="74"/>
        <v>#NUM!</v>
      </c>
      <c r="AG47" s="51" t="str">
        <f t="shared" si="55"/>
        <v>1-0.0525052926020709i</v>
      </c>
      <c r="AH47" s="51">
        <f t="shared" si="75"/>
        <v>1.0013774541855978</v>
      </c>
      <c r="AI47" s="51">
        <f t="shared" si="76"/>
        <v>-5.2457123288861887E-2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-0.000133283554228113</v>
      </c>
      <c r="AT47" s="32" t="str">
        <f t="shared" si="59"/>
        <v>7.48550454863525E-06i</v>
      </c>
      <c r="AU47" s="32">
        <f t="shared" si="84"/>
        <v>7.4855045486352499E-6</v>
      </c>
      <c r="AV47" s="32">
        <f t="shared" si="85"/>
        <v>1.5707963267948966</v>
      </c>
      <c r="AW47" s="32" t="str">
        <f t="shared" si="60"/>
        <v>1+0.00130878499188469i</v>
      </c>
      <c r="AX47" s="32">
        <f t="shared" si="86"/>
        <v>1.0000008564587106</v>
      </c>
      <c r="AY47" s="32">
        <f t="shared" si="87"/>
        <v>1.3087842446049334E-3</v>
      </c>
      <c r="AZ47" s="32" t="str">
        <f t="shared" si="61"/>
        <v>1+0.0195040885375986i</v>
      </c>
      <c r="BA47" s="32">
        <f t="shared" si="88"/>
        <v>1.0001901866493603</v>
      </c>
      <c r="BB47" s="32">
        <f t="shared" si="89"/>
        <v>1.9501615921945506E-2</v>
      </c>
      <c r="BC47" s="60" t="str">
        <f t="shared" si="90"/>
        <v>-0.323976901894221+17.8059778518084i</v>
      </c>
      <c r="BD47" s="51">
        <f t="shared" si="91"/>
        <v>25.012754080128691</v>
      </c>
      <c r="BE47" s="63">
        <f t="shared" si="92"/>
        <v>91.042372472503516</v>
      </c>
      <c r="BF47" s="60" t="str">
        <f t="shared" si="93"/>
        <v>25.114418016109+374.558638985406i</v>
      </c>
      <c r="BG47" s="66">
        <f t="shared" si="94"/>
        <v>51.489877600670624</v>
      </c>
      <c r="BH47" s="63">
        <f t="shared" si="95"/>
        <v>86.164019736441389</v>
      </c>
      <c r="BI47" s="60" t="e">
        <f t="shared" si="96"/>
        <v>#NUM!</v>
      </c>
      <c r="BJ47" s="66" t="e">
        <f t="shared" si="97"/>
        <v>#NUM!</v>
      </c>
      <c r="BK47" s="63" t="e">
        <f t="shared" si="98"/>
        <v>#NUM!</v>
      </c>
      <c r="BL47" s="51">
        <f t="shared" si="99"/>
        <v>51.489877600670624</v>
      </c>
      <c r="BM47" s="63">
        <f t="shared" si="100"/>
        <v>86.164019736441389</v>
      </c>
    </row>
    <row r="48" spans="1:65" x14ac:dyDescent="0.3">
      <c r="A48" t="s">
        <v>208</v>
      </c>
      <c r="B48" s="1">
        <f>1/(PI()*(((1-DC_VIN_Var)*(1+(B44/B45)))-0.5))</f>
        <v>0.64930474033824725</v>
      </c>
      <c r="K48" s="32"/>
      <c r="N48" s="11">
        <v>30</v>
      </c>
      <c r="O48" s="52">
        <f t="shared" si="62"/>
        <v>19.952623149688804</v>
      </c>
      <c r="P48" s="50" t="str">
        <f t="shared" si="50"/>
        <v>21.1560044893378</v>
      </c>
      <c r="Q48" s="18" t="str">
        <f t="shared" si="51"/>
        <v>1+0.0873763229732658i</v>
      </c>
      <c r="R48" s="18">
        <f t="shared" si="63"/>
        <v>1.0038100526575375</v>
      </c>
      <c r="S48" s="18">
        <f t="shared" si="64"/>
        <v>8.7154974312789721E-2</v>
      </c>
      <c r="T48" s="18" t="str">
        <f t="shared" si="52"/>
        <v>1+0.000125366028613816i</v>
      </c>
      <c r="U48" s="18">
        <f t="shared" si="65"/>
        <v>1.0000000078583204</v>
      </c>
      <c r="V48" s="18">
        <f t="shared" si="66"/>
        <v>1.253660279570384E-4</v>
      </c>
      <c r="W48" s="32" t="str">
        <f t="shared" si="53"/>
        <v>1-0.0000563034412531872i</v>
      </c>
      <c r="X48" s="18">
        <f t="shared" si="67"/>
        <v>1.0000000015850388</v>
      </c>
      <c r="Y48" s="18">
        <f t="shared" si="68"/>
        <v>-5.6303441193691775E-5</v>
      </c>
      <c r="Z48" s="32" t="str">
        <f t="shared" si="54"/>
        <v>0.999999999601893+0.0000307292122021083i</v>
      </c>
      <c r="AA48" s="18">
        <f t="shared" si="69"/>
        <v>1.000000000074035</v>
      </c>
      <c r="AB48" s="18">
        <f t="shared" si="70"/>
        <v>3.0729212204669442E-5</v>
      </c>
      <c r="AC48" s="68" t="str">
        <f t="shared" si="71"/>
        <v>20.9957806872679-1.83372313335492i</v>
      </c>
      <c r="AD48" s="66">
        <f t="shared" si="72"/>
        <v>26.475642279266278</v>
      </c>
      <c r="AE48" s="63">
        <f t="shared" si="73"/>
        <v>-4.9914158511172415</v>
      </c>
      <c r="AF48" s="51" t="e">
        <f t="shared" si="74"/>
        <v>#NUM!</v>
      </c>
      <c r="AG48" s="51" t="str">
        <f t="shared" si="55"/>
        <v>1-0.0537282979773498i</v>
      </c>
      <c r="AH48" s="51">
        <f t="shared" si="75"/>
        <v>1.0014423248512831</v>
      </c>
      <c r="AI48" s="51">
        <f t="shared" si="76"/>
        <v>-5.3676687642360048E-2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-0.000133283554228113</v>
      </c>
      <c r="AT48" s="32" t="str">
        <f t="shared" si="59"/>
        <v>7.65986434830416E-06i</v>
      </c>
      <c r="AU48" s="32">
        <f t="shared" si="84"/>
        <v>7.6598643483041602E-6</v>
      </c>
      <c r="AV48" s="32">
        <f t="shared" si="85"/>
        <v>1.5707963267948966</v>
      </c>
      <c r="AW48" s="32" t="str">
        <f t="shared" si="60"/>
        <v>1+0.00133927051059783i</v>
      </c>
      <c r="AX48" s="32">
        <f t="shared" si="86"/>
        <v>1.0000008968223482</v>
      </c>
      <c r="AY48" s="32">
        <f t="shared" si="87"/>
        <v>1.3392697098731832E-3</v>
      </c>
      <c r="AZ48" s="32" t="str">
        <f t="shared" si="61"/>
        <v>1+0.0199583971213481i</v>
      </c>
      <c r="BA48" s="32">
        <f t="shared" si="88"/>
        <v>1.0001991489776689</v>
      </c>
      <c r="BB48" s="32">
        <f t="shared" si="89"/>
        <v>1.9955747694431925E-2</v>
      </c>
      <c r="BC48" s="60" t="str">
        <f t="shared" si="90"/>
        <v>-0.323976875740475+17.4006838406557i</v>
      </c>
      <c r="BD48" s="51">
        <f t="shared" si="91"/>
        <v>24.812831560178317</v>
      </c>
      <c r="BE48" s="63">
        <f t="shared" si="92"/>
        <v>91.066645617913437</v>
      </c>
      <c r="BF48" s="60" t="str">
        <f t="shared" si="93"/>
        <v>25.1058890640122+365.935025618611i</v>
      </c>
      <c r="BG48" s="66">
        <f t="shared" si="94"/>
        <v>51.288473839444599</v>
      </c>
      <c r="BH48" s="63">
        <f t="shared" si="95"/>
        <v>86.075229766796198</v>
      </c>
      <c r="BI48" s="60" t="e">
        <f t="shared" si="96"/>
        <v>#NUM!</v>
      </c>
      <c r="BJ48" s="66" t="e">
        <f t="shared" si="97"/>
        <v>#NUM!</v>
      </c>
      <c r="BK48" s="63" t="e">
        <f t="shared" si="98"/>
        <v>#NUM!</v>
      </c>
      <c r="BL48" s="51">
        <f t="shared" si="99"/>
        <v>51.288473839444599</v>
      </c>
      <c r="BM48" s="63">
        <f t="shared" si="100"/>
        <v>86.075229766796198</v>
      </c>
    </row>
    <row r="49" spans="1:65" x14ac:dyDescent="0.3">
      <c r="K49" s="32"/>
      <c r="N49" s="11">
        <v>31</v>
      </c>
      <c r="O49" s="52">
        <f t="shared" si="62"/>
        <v>20.4173794466953</v>
      </c>
      <c r="P49" s="50" t="str">
        <f t="shared" si="50"/>
        <v>21.1560044893378</v>
      </c>
      <c r="Q49" s="18" t="str">
        <f t="shared" si="51"/>
        <v>1+0.0894115789898025i</v>
      </c>
      <c r="R49" s="18">
        <f t="shared" si="63"/>
        <v>1.0039892581384771</v>
      </c>
      <c r="S49" s="18">
        <f t="shared" si="64"/>
        <v>8.9174450495732013E-2</v>
      </c>
      <c r="T49" s="18" t="str">
        <f t="shared" si="52"/>
        <v>1+0.000128286178550586i</v>
      </c>
      <c r="U49" s="18">
        <f t="shared" si="65"/>
        <v>1.0000000082286717</v>
      </c>
      <c r="V49" s="18">
        <f t="shared" si="66"/>
        <v>1.2828617784683608E-4</v>
      </c>
      <c r="W49" s="32" t="str">
        <f t="shared" si="53"/>
        <v>1-0.0000576149168756774i</v>
      </c>
      <c r="X49" s="18">
        <f t="shared" si="67"/>
        <v>1.0000000016597392</v>
      </c>
      <c r="Y49" s="18">
        <f t="shared" si="68"/>
        <v>-5.7614916811926901E-5</v>
      </c>
      <c r="Z49" s="32" t="str">
        <f t="shared" si="54"/>
        <v>0.999999999583131+0.0000314449875047255i</v>
      </c>
      <c r="AA49" s="18">
        <f t="shared" si="69"/>
        <v>1.0000000000775247</v>
      </c>
      <c r="AB49" s="18">
        <f t="shared" si="70"/>
        <v>3.1444987507469804E-5</v>
      </c>
      <c r="AC49" s="68" t="str">
        <f t="shared" si="71"/>
        <v>20.9882894602069-1.87576622970535i</v>
      </c>
      <c r="AD49" s="66">
        <f t="shared" si="72"/>
        <v>26.474091770532237</v>
      </c>
      <c r="AE49" s="63">
        <f t="shared" si="73"/>
        <v>-5.1070721538845802</v>
      </c>
      <c r="AF49" s="51" t="e">
        <f t="shared" si="74"/>
        <v>#NUM!</v>
      </c>
      <c r="AG49" s="51" t="str">
        <f t="shared" si="55"/>
        <v>1-0.0549797908073941i</v>
      </c>
      <c r="AH49" s="51">
        <f t="shared" si="75"/>
        <v>1.0015102482736884</v>
      </c>
      <c r="AI49" s="51">
        <f t="shared" si="76"/>
        <v>-5.4924493840069422E-2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-0.000133283554228113</v>
      </c>
      <c r="AT49" s="32" t="str">
        <f t="shared" si="59"/>
        <v>7.83828550944083E-06i</v>
      </c>
      <c r="AU49" s="32">
        <f t="shared" si="84"/>
        <v>7.8382855094408305E-6</v>
      </c>
      <c r="AV49" s="32">
        <f t="shared" si="85"/>
        <v>1.5707963267948966</v>
      </c>
      <c r="AW49" s="32" t="str">
        <f t="shared" si="60"/>
        <v>1+0.00137046612826302i</v>
      </c>
      <c r="AX49" s="32">
        <f t="shared" si="86"/>
        <v>1.0000009390882634</v>
      </c>
      <c r="AY49" s="32">
        <f t="shared" si="87"/>
        <v>1.3704652702711464E-3</v>
      </c>
      <c r="AZ49" s="32" t="str">
        <f t="shared" si="61"/>
        <v>1+0.0204232879114318i</v>
      </c>
      <c r="BA49" s="32">
        <f t="shared" si="88"/>
        <v>1.0002085336014253</v>
      </c>
      <c r="BB49" s="32">
        <f t="shared" si="89"/>
        <v>2.0420449031309386E-2</v>
      </c>
      <c r="BC49" s="60" t="str">
        <f t="shared" si="90"/>
        <v>-0.32397684835414+17.0046159023974i</v>
      </c>
      <c r="BD49" s="51">
        <f t="shared" si="91"/>
        <v>24.612912690255335</v>
      </c>
      <c r="BE49" s="63">
        <f t="shared" si="92"/>
        <v>91.091483669300246</v>
      </c>
      <c r="BF49" s="60" t="str">
        <f t="shared" si="93"/>
        <v>25.0969643871654+357.505505550503i</v>
      </c>
      <c r="BG49" s="66">
        <f t="shared" si="94"/>
        <v>51.087004460787576</v>
      </c>
      <c r="BH49" s="63">
        <f t="shared" si="95"/>
        <v>85.984411515415658</v>
      </c>
      <c r="BI49" s="60" t="e">
        <f t="shared" si="96"/>
        <v>#NUM!</v>
      </c>
      <c r="BJ49" s="66" t="e">
        <f t="shared" si="97"/>
        <v>#NUM!</v>
      </c>
      <c r="BK49" s="63" t="e">
        <f t="shared" si="98"/>
        <v>#NUM!</v>
      </c>
      <c r="BL49" s="51">
        <f t="shared" si="99"/>
        <v>51.087004460787576</v>
      </c>
      <c r="BM49" s="63">
        <f t="shared" si="100"/>
        <v>85.984411515415658</v>
      </c>
    </row>
    <row r="50" spans="1:65" ht="15.6" x14ac:dyDescent="0.3">
      <c r="A50" s="53" t="s">
        <v>223</v>
      </c>
      <c r="N50" s="11">
        <v>32</v>
      </c>
      <c r="O50" s="52">
        <f t="shared" si="62"/>
        <v>20.8929613085404</v>
      </c>
      <c r="P50" s="50" t="str">
        <f t="shared" si="50"/>
        <v>21.1560044893378</v>
      </c>
      <c r="Q50" s="18" t="str">
        <f t="shared" si="51"/>
        <v>1+0.0914942422090225i</v>
      </c>
      <c r="R50" s="18">
        <f t="shared" si="63"/>
        <v>1.0041768750361677</v>
      </c>
      <c r="S50" s="18">
        <f t="shared" si="64"/>
        <v>9.124021149575133E-2</v>
      </c>
      <c r="T50" s="18" t="str">
        <f t="shared" si="52"/>
        <v>1+0.000131274347517293i</v>
      </c>
      <c r="U50" s="18">
        <f t="shared" si="65"/>
        <v>1.0000000086164771</v>
      </c>
      <c r="V50" s="18">
        <f t="shared" si="66"/>
        <v>1.312743467632114E-4</v>
      </c>
      <c r="W50" s="32" t="str">
        <f t="shared" si="53"/>
        <v>1-0.0000589569406897192i</v>
      </c>
      <c r="X50" s="18">
        <f t="shared" si="67"/>
        <v>1.0000000017379604</v>
      </c>
      <c r="Y50" s="18">
        <f t="shared" si="68"/>
        <v>-5.895694062140931E-5</v>
      </c>
      <c r="Z50" s="32" t="str">
        <f t="shared" si="54"/>
        <v>0.999999999563484+0.0000321774353559417i</v>
      </c>
      <c r="AA50" s="18">
        <f t="shared" si="69"/>
        <v>1.0000000000811775</v>
      </c>
      <c r="AB50" s="18">
        <f t="shared" si="70"/>
        <v>3.21774353588823E-5</v>
      </c>
      <c r="AC50" s="68" t="str">
        <f t="shared" si="71"/>
        <v>20.9804509124203-1.9187412560249i</v>
      </c>
      <c r="AD50" s="66">
        <f t="shared" si="72"/>
        <v>26.472468781664059</v>
      </c>
      <c r="AE50" s="63">
        <f t="shared" si="73"/>
        <v>-5.2253791896719042</v>
      </c>
      <c r="AF50" s="51" t="e">
        <f t="shared" si="74"/>
        <v>#NUM!</v>
      </c>
      <c r="AG50" s="51" t="str">
        <f t="shared" si="55"/>
        <v>1-0.0562604346502685i</v>
      </c>
      <c r="AH50" s="51">
        <f t="shared" si="75"/>
        <v>1.0015813678913148</v>
      </c>
      <c r="AI50" s="51">
        <f t="shared" si="76"/>
        <v>-5.6201187933668413E-2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-0.000133283554228113</v>
      </c>
      <c r="AT50" s="32" t="str">
        <f t="shared" si="59"/>
        <v>8.02086263330658E-06i</v>
      </c>
      <c r="AU50" s="32">
        <f t="shared" si="84"/>
        <v>8.0208626333065794E-6</v>
      </c>
      <c r="AV50" s="32">
        <f t="shared" si="85"/>
        <v>1.5707963267948966</v>
      </c>
      <c r="AW50" s="32" t="str">
        <f t="shared" si="60"/>
        <v>1+0.00140238838520969i</v>
      </c>
      <c r="AX50" s="32">
        <f t="shared" si="86"/>
        <v>1.0000009833461081</v>
      </c>
      <c r="AY50" s="32">
        <f t="shared" si="87"/>
        <v>1.4023874658548824E-3</v>
      </c>
      <c r="AZ50" s="32" t="str">
        <f t="shared" si="61"/>
        <v>1+0.0208990073991005i</v>
      </c>
      <c r="BA50" s="32">
        <f t="shared" si="88"/>
        <v>1.0002183604144985</v>
      </c>
      <c r="BB50" s="32">
        <f t="shared" si="89"/>
        <v>2.0895965520109631E-2</v>
      </c>
      <c r="BC50" s="60" t="str">
        <f t="shared" si="90"/>
        <v>-0.323976819677137+16.6175640365698i</v>
      </c>
      <c r="BD50" s="51">
        <f t="shared" si="91"/>
        <v>24.412997642236057</v>
      </c>
      <c r="BE50" s="63">
        <f t="shared" si="92"/>
        <v>91.116899750117639</v>
      </c>
      <c r="BF50" s="60" t="str">
        <f t="shared" si="93"/>
        <v>25.0876259296039+349.265614243164i</v>
      </c>
      <c r="BG50" s="66">
        <f t="shared" si="94"/>
        <v>50.885466423900127</v>
      </c>
      <c r="BH50" s="63">
        <f t="shared" si="95"/>
        <v>85.891520560445741</v>
      </c>
      <c r="BI50" s="60" t="e">
        <f t="shared" ref="BI50:BI113" si="101">IMPRODUCT(AP50,BC50)</f>
        <v>#NUM!</v>
      </c>
      <c r="BJ50" s="66" t="e">
        <f t="shared" si="97"/>
        <v>#NUM!</v>
      </c>
      <c r="BK50" s="63" t="e">
        <f t="shared" ref="BK50:BK113" si="102">(180/PI())*IMARGUMENT(BI50)</f>
        <v>#NUM!</v>
      </c>
      <c r="BL50" s="51">
        <f t="shared" si="99"/>
        <v>50.885466423900127</v>
      </c>
      <c r="BM50" s="63">
        <f t="shared" si="100"/>
        <v>85.891520560445741</v>
      </c>
    </row>
    <row r="51" spans="1:65" x14ac:dyDescent="0.3">
      <c r="A51" t="s">
        <v>188</v>
      </c>
      <c r="N51" s="11">
        <v>33</v>
      </c>
      <c r="O51" s="52">
        <f t="shared" si="62"/>
        <v>21.379620895022335</v>
      </c>
      <c r="P51" s="50" t="str">
        <f t="shared" si="50"/>
        <v>21.1560044893378</v>
      </c>
      <c r="Q51" s="18" t="str">
        <f t="shared" si="51"/>
        <v>1+0.0936254168865305i</v>
      </c>
      <c r="R51" s="18">
        <f t="shared" si="63"/>
        <v>1.0043732964825263</v>
      </c>
      <c r="S51" s="18">
        <f t="shared" si="64"/>
        <v>9.3353282044755029E-2</v>
      </c>
      <c r="T51" s="18" t="str">
        <f t="shared" si="52"/>
        <v>1+0.000134332119880674i</v>
      </c>
      <c r="U51" s="18">
        <f t="shared" si="65"/>
        <v>1.0000000090225591</v>
      </c>
      <c r="V51" s="18">
        <f t="shared" si="66"/>
        <v>1.3433211907266099E-4</v>
      </c>
      <c r="W51" s="32" t="str">
        <f t="shared" si="53"/>
        <v>1-0.0000603302242541015i</v>
      </c>
      <c r="X51" s="18">
        <f t="shared" si="67"/>
        <v>1.000000001819868</v>
      </c>
      <c r="Y51" s="18">
        <f t="shared" si="68"/>
        <v>-6.0330224180906139E-5</v>
      </c>
      <c r="Z51" s="32" t="str">
        <f t="shared" si="54"/>
        <v>0.999999999542912+0.000032926944109302i</v>
      </c>
      <c r="AA51" s="18">
        <f t="shared" si="69"/>
        <v>1.0000000000850036</v>
      </c>
      <c r="AB51" s="18">
        <f t="shared" si="70"/>
        <v>3.2926944112452892E-5</v>
      </c>
      <c r="AC51" s="68" t="str">
        <f t="shared" si="71"/>
        <v>20.9722492209551-1.96266659450795i</v>
      </c>
      <c r="AD51" s="66">
        <f t="shared" si="72"/>
        <v>26.470769953512388</v>
      </c>
      <c r="AE51" s="63">
        <f t="shared" si="73"/>
        <v>-5.3463956435355202</v>
      </c>
      <c r="AF51" s="51" t="e">
        <f t="shared" si="74"/>
        <v>#NUM!</v>
      </c>
      <c r="AG51" s="51" t="str">
        <f t="shared" si="55"/>
        <v>1-0.0575709085202889i</v>
      </c>
      <c r="AH51" s="51">
        <f t="shared" si="75"/>
        <v>1.001655833861038</v>
      </c>
      <c r="AI51" s="51">
        <f t="shared" si="76"/>
        <v>-5.7507430186277381E-2</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-0.000133283554228113</v>
      </c>
      <c r="AT51" s="32" t="str">
        <f t="shared" si="59"/>
        <v>8.20769252470918E-06i</v>
      </c>
      <c r="AU51" s="32">
        <f t="shared" si="84"/>
        <v>8.2076925247091798E-6</v>
      </c>
      <c r="AV51" s="32">
        <f t="shared" si="85"/>
        <v>1.5707963267948966</v>
      </c>
      <c r="AW51" s="32" t="str">
        <f t="shared" si="60"/>
        <v>1+0.001435054207041i</v>
      </c>
      <c r="AX51" s="32">
        <f t="shared" si="86"/>
        <v>1.0000010296897586</v>
      </c>
      <c r="AY51" s="32">
        <f t="shared" si="87"/>
        <v>1.4350532219346303E-3</v>
      </c>
      <c r="AZ51" s="32" t="str">
        <f t="shared" si="61"/>
        <v>1+0.0213858078171232i</v>
      </c>
      <c r="BA51" s="32">
        <f t="shared" si="88"/>
        <v>1.0002286502475277</v>
      </c>
      <c r="BB51" s="32">
        <f t="shared" si="89"/>
        <v>2.1382548425300942E-2</v>
      </c>
      <c r="BC51" s="60" t="str">
        <f t="shared" si="90"/>
        <v>-0.323976789648633+16.2393230231499i</v>
      </c>
      <c r="BD51" s="51">
        <f t="shared" si="91"/>
        <v>24.213086596083059</v>
      </c>
      <c r="BE51" s="63">
        <f t="shared" si="92"/>
        <v>91.142907287010345</v>
      </c>
      <c r="BF51" s="60" t="str">
        <f t="shared" si="93"/>
        <v>25.0778548406441+341.210988043533i</v>
      </c>
      <c r="BG51" s="66">
        <f t="shared" si="94"/>
        <v>50.683856549595454</v>
      </c>
      <c r="BH51" s="63">
        <f t="shared" si="95"/>
        <v>85.79651164347483</v>
      </c>
      <c r="BI51" s="60" t="e">
        <f t="shared" si="101"/>
        <v>#NUM!</v>
      </c>
      <c r="BJ51" s="66" t="e">
        <f t="shared" si="97"/>
        <v>#NUM!</v>
      </c>
      <c r="BK51" s="63" t="e">
        <f t="shared" si="102"/>
        <v>#NUM!</v>
      </c>
      <c r="BL51" s="51">
        <f t="shared" si="99"/>
        <v>50.683856549595454</v>
      </c>
      <c r="BM51" s="63">
        <f t="shared" si="100"/>
        <v>85.79651164347483</v>
      </c>
    </row>
    <row r="52" spans="1:65" x14ac:dyDescent="0.3">
      <c r="A52" t="s">
        <v>186</v>
      </c>
      <c r="B52" s="3">
        <f>RFBT</f>
        <v>150000</v>
      </c>
      <c r="C52" s="2" t="s">
        <v>36</v>
      </c>
      <c r="E52" t="s">
        <v>189</v>
      </c>
      <c r="N52" s="11">
        <v>34</v>
      </c>
      <c r="O52" s="52">
        <f t="shared" si="62"/>
        <v>21.877616239495538</v>
      </c>
      <c r="P52" s="50" t="str">
        <f t="shared" si="50"/>
        <v>21.1560044893378</v>
      </c>
      <c r="Q52" s="18" t="str">
        <f t="shared" si="51"/>
        <v>1+0.0958062329993509i</v>
      </c>
      <c r="R52" s="18">
        <f t="shared" si="63"/>
        <v>1.004578933823284</v>
      </c>
      <c r="S52" s="18">
        <f t="shared" si="64"/>
        <v>9.5514706999027019E-2</v>
      </c>
      <c r="T52" s="18" t="str">
        <f t="shared" si="52"/>
        <v>1+0.000137461116912112i</v>
      </c>
      <c r="U52" s="18">
        <f t="shared" si="65"/>
        <v>1.0000000094477792</v>
      </c>
      <c r="V52" s="18">
        <f t="shared" si="66"/>
        <v>1.3746111604631049E-4</v>
      </c>
      <c r="W52" s="32" t="str">
        <f t="shared" si="53"/>
        <v>1-0.0000617354957019485i</v>
      </c>
      <c r="X52" s="18">
        <f t="shared" si="67"/>
        <v>1.0000000019056356</v>
      </c>
      <c r="Y52" s="18">
        <f t="shared" si="68"/>
        <v>-6.1735495623518251E-5</v>
      </c>
      <c r="Z52" s="32" t="str">
        <f t="shared" si="54"/>
        <v>0.99999999952137+0.0000336939111642689i</v>
      </c>
      <c r="AA52" s="18">
        <f t="shared" si="69"/>
        <v>1.0000000000890097</v>
      </c>
      <c r="AB52" s="18">
        <f t="shared" si="70"/>
        <v>3.3693911167645143E-5</v>
      </c>
      <c r="AC52" s="68" t="str">
        <f t="shared" si="71"/>
        <v>20.9636678687691-2.00756082531685i</v>
      </c>
      <c r="AD52" s="66">
        <f t="shared" si="72"/>
        <v>26.468991774018335</v>
      </c>
      <c r="AE52" s="63">
        <f t="shared" si="73"/>
        <v>-5.4701813529268799</v>
      </c>
      <c r="AF52" s="51" t="e">
        <f t="shared" si="74"/>
        <v>#NUM!</v>
      </c>
      <c r="AG52" s="51" t="str">
        <f t="shared" si="55"/>
        <v>1-0.0589119072480481i</v>
      </c>
      <c r="AH52" s="51">
        <f t="shared" si="75"/>
        <v>1.001733803370737</v>
      </c>
      <c r="AI52" s="51">
        <f t="shared" si="76"/>
        <v>-5.8843895344334762E-2</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-0.000133283554228113</v>
      </c>
      <c r="AT52" s="32" t="str">
        <f t="shared" si="59"/>
        <v>8.39887424333003E-06i</v>
      </c>
      <c r="AU52" s="32">
        <f t="shared" si="84"/>
        <v>8.3988742433300303E-6</v>
      </c>
      <c r="AV52" s="32">
        <f t="shared" si="85"/>
        <v>1.5707963267948966</v>
      </c>
      <c r="AW52" s="32" t="str">
        <f t="shared" si="60"/>
        <v>1+0.00146848091360807i</v>
      </c>
      <c r="AX52" s="32">
        <f t="shared" si="86"/>
        <v>1.0000010782175155</v>
      </c>
      <c r="AY52" s="32">
        <f t="shared" si="87"/>
        <v>1.4684798580476383E-3</v>
      </c>
      <c r="AZ52" s="32" t="str">
        <f t="shared" si="61"/>
        <v>1+0.0218839472735251i</v>
      </c>
      <c r="BA52" s="32">
        <f t="shared" si="88"/>
        <v>1.000239424911991</v>
      </c>
      <c r="BB52" s="32">
        <f t="shared" si="89"/>
        <v>2.1880454817413617E-2</v>
      </c>
      <c r="BC52" s="60" t="str">
        <f t="shared" si="90"/>
        <v>-0.323976758204932+15.8696923137457i</v>
      </c>
      <c r="BD52" s="51">
        <f t="shared" si="91"/>
        <v>24.01317974022529</v>
      </c>
      <c r="BE52" s="63">
        <f t="shared" si="92"/>
        <v>91.169520016698385</v>
      </c>
      <c r="BF52" s="60" t="str">
        <f t="shared" si="93"/>
        <v>25.0676314426991+333.337361893008i</v>
      </c>
      <c r="BG52" s="66">
        <f t="shared" si="94"/>
        <v>50.482171514243618</v>
      </c>
      <c r="BH52" s="63">
        <f t="shared" si="95"/>
        <v>85.699338663771513</v>
      </c>
      <c r="BI52" s="60" t="e">
        <f t="shared" si="101"/>
        <v>#NUM!</v>
      </c>
      <c r="BJ52" s="66" t="e">
        <f t="shared" si="97"/>
        <v>#NUM!</v>
      </c>
      <c r="BK52" s="63" t="e">
        <f t="shared" si="102"/>
        <v>#NUM!</v>
      </c>
      <c r="BL52" s="51">
        <f t="shared" si="99"/>
        <v>50.482171514243618</v>
      </c>
      <c r="BM52" s="63">
        <f t="shared" si="100"/>
        <v>85.699338663771513</v>
      </c>
    </row>
    <row r="53" spans="1:65" x14ac:dyDescent="0.3">
      <c r="A53" t="s">
        <v>187</v>
      </c>
      <c r="B53" s="3">
        <f>RFBB</f>
        <v>10710</v>
      </c>
      <c r="C53" s="2" t="s">
        <v>36</v>
      </c>
      <c r="E53" t="s">
        <v>190</v>
      </c>
      <c r="N53" s="11">
        <v>35</v>
      </c>
      <c r="O53" s="52">
        <f t="shared" si="62"/>
        <v>22.387211385683404</v>
      </c>
      <c r="P53" s="50" t="str">
        <f t="shared" si="50"/>
        <v>21.1560044893378</v>
      </c>
      <c r="Q53" s="18" t="str">
        <f t="shared" si="51"/>
        <v>1+0.0980378468450532i</v>
      </c>
      <c r="R53" s="18">
        <f t="shared" si="63"/>
        <v>1.0047942174465445</v>
      </c>
      <c r="S53" s="18">
        <f t="shared" si="64"/>
        <v>9.7725551548935849E-2</v>
      </c>
      <c r="T53" s="18" t="str">
        <f t="shared" si="52"/>
        <v>1+0.00014066299764725i</v>
      </c>
      <c r="U53" s="18">
        <f t="shared" si="65"/>
        <v>1.0000000098930395</v>
      </c>
      <c r="V53" s="18">
        <f t="shared" si="66"/>
        <v>1.4066299671952696E-4</v>
      </c>
      <c r="W53" s="32" t="str">
        <f t="shared" si="53"/>
        <v>1-0.0000631735001267827i</v>
      </c>
      <c r="X53" s="18">
        <f t="shared" si="67"/>
        <v>1.0000000019954456</v>
      </c>
      <c r="Y53" s="18">
        <f t="shared" si="68"/>
        <v>-6.3173500042743188E-5</v>
      </c>
      <c r="Z53" s="32" t="str">
        <f t="shared" si="54"/>
        <v>0.999999999498813+0.0000344787431769267i</v>
      </c>
      <c r="AA53" s="18">
        <f t="shared" si="69"/>
        <v>1.0000000000932048</v>
      </c>
      <c r="AB53" s="18">
        <f t="shared" si="70"/>
        <v>3.4478743180544412E-5</v>
      </c>
      <c r="AC53" s="68" t="str">
        <f t="shared" si="71"/>
        <v>20.9546896168495-2.05344271563781i</v>
      </c>
      <c r="AD53" s="66">
        <f t="shared" si="72"/>
        <v>26.467130571517696</v>
      </c>
      <c r="AE53" s="63">
        <f t="shared" si="73"/>
        <v>-5.5967973196931791</v>
      </c>
      <c r="AF53" s="51" t="e">
        <f t="shared" si="74"/>
        <v>#NUM!</v>
      </c>
      <c r="AG53" s="51" t="str">
        <f t="shared" si="55"/>
        <v>1-0.0602841418488215i</v>
      </c>
      <c r="AH53" s="51">
        <f t="shared" si="75"/>
        <v>1.0018154409662734</v>
      </c>
      <c r="AI53" s="51">
        <f t="shared" si="76"/>
        <v>-6.0211272911655164E-2</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-0.000133283554228113</v>
      </c>
      <c r="AT53" s="32" t="str">
        <f t="shared" si="59"/>
        <v>8.59450915624695E-06i</v>
      </c>
      <c r="AU53" s="32">
        <f t="shared" si="84"/>
        <v>8.5945091562469501E-6</v>
      </c>
      <c r="AV53" s="32">
        <f t="shared" si="85"/>
        <v>1.5707963267948966</v>
      </c>
      <c r="AW53" s="32" t="str">
        <f t="shared" si="60"/>
        <v>1+0.00150268622819318i</v>
      </c>
      <c r="AX53" s="32">
        <f t="shared" si="86"/>
        <v>1.000001129032313</v>
      </c>
      <c r="AY53" s="32">
        <f t="shared" si="87"/>
        <v>1.5026850971398688E-3</v>
      </c>
      <c r="AZ53" s="32" t="str">
        <f t="shared" si="61"/>
        <v>1+0.0223936898884398i</v>
      </c>
      <c r="BA53" s="32">
        <f t="shared" si="88"/>
        <v>1.0002507072463482</v>
      </c>
      <c r="BB53" s="32">
        <f t="shared" si="89"/>
        <v>2.2389947704950515E-2</v>
      </c>
      <c r="BC53" s="60" t="str">
        <f t="shared" si="90"/>
        <v>-0.323976725279344+15.5084759252621i</v>
      </c>
      <c r="BD53" s="51">
        <f t="shared" si="91"/>
        <v>23.813277271955243</v>
      </c>
      <c r="BE53" s="63">
        <f t="shared" si="92"/>
        <v>91.196751993008959</v>
      </c>
      <c r="BF53" s="60" t="str">
        <f t="shared" si="93"/>
        <v>25.0569351980618+325.640567090811i</v>
      </c>
      <c r="BG53" s="66">
        <f t="shared" si="94"/>
        <v>50.280407843472936</v>
      </c>
      <c r="BH53" s="63">
        <f t="shared" si="95"/>
        <v>85.599954673315793</v>
      </c>
      <c r="BI53" s="60" t="e">
        <f t="shared" si="101"/>
        <v>#NUM!</v>
      </c>
      <c r="BJ53" s="66" t="e">
        <f t="shared" si="97"/>
        <v>#NUM!</v>
      </c>
      <c r="BK53" s="63" t="e">
        <f t="shared" si="102"/>
        <v>#NUM!</v>
      </c>
      <c r="BL53" s="51">
        <f t="shared" si="99"/>
        <v>50.280407843472936</v>
      </c>
      <c r="BM53" s="63">
        <f t="shared" si="100"/>
        <v>85.599954673315793</v>
      </c>
    </row>
    <row r="54" spans="1:65" x14ac:dyDescent="0.3">
      <c r="A54" t="s">
        <v>176</v>
      </c>
      <c r="B54" s="3">
        <f>RCOMP</f>
        <v>2793</v>
      </c>
      <c r="C54" s="2" t="s">
        <v>36</v>
      </c>
      <c r="E54" s="32" t="s">
        <v>183</v>
      </c>
      <c r="N54" s="11">
        <v>36</v>
      </c>
      <c r="O54" s="52">
        <f t="shared" si="62"/>
        <v>22.908676527677727</v>
      </c>
      <c r="P54" s="50" t="str">
        <f t="shared" si="50"/>
        <v>21.1560044893378</v>
      </c>
      <c r="Q54" s="18" t="str">
        <f t="shared" si="51"/>
        <v>1+0.100321441654837i</v>
      </c>
      <c r="R54" s="18">
        <f t="shared" si="63"/>
        <v>1.0050195976475806</v>
      </c>
      <c r="S54" s="18">
        <f t="shared" si="64"/>
        <v>9.9986901416051904E-2</v>
      </c>
      <c r="T54" s="18" t="str">
        <f t="shared" si="52"/>
        <v>1+0.000143939459765635i</v>
      </c>
      <c r="U54" s="18">
        <f t="shared" si="65"/>
        <v>1.0000000103592839</v>
      </c>
      <c r="V54" s="18">
        <f t="shared" si="66"/>
        <v>1.4393945877156186E-4</v>
      </c>
      <c r="W54" s="32" t="str">
        <f t="shared" si="53"/>
        <v>1-0.000064644999977584i</v>
      </c>
      <c r="X54" s="18">
        <f t="shared" si="67"/>
        <v>1.0000000020894879</v>
      </c>
      <c r="Y54" s="18">
        <f t="shared" si="68"/>
        <v>-6.464499988753403E-5</v>
      </c>
      <c r="Z54" s="32" t="str">
        <f t="shared" si="54"/>
        <v>0.999999999475193+0.0000352818562755969i</v>
      </c>
      <c r="AA54" s="18">
        <f t="shared" si="69"/>
        <v>1.0000000000975975</v>
      </c>
      <c r="AB54" s="18">
        <f t="shared" si="70"/>
        <v>3.5281856279473335E-5</v>
      </c>
      <c r="AC54" s="68" t="str">
        <f t="shared" si="71"/>
        <v>20.9452964754618-2.10033120747681i</v>
      </c>
      <c r="AD54" s="66">
        <f t="shared" si="72"/>
        <v>26.46518250777747</v>
      </c>
      <c r="AE54" s="63">
        <f t="shared" si="73"/>
        <v>-5.7263057213557689</v>
      </c>
      <c r="AF54" s="51" t="e">
        <f t="shared" si="74"/>
        <v>#NUM!</v>
      </c>
      <c r="AG54" s="51" t="str">
        <f t="shared" si="55"/>
        <v>1-0.061688339899558i</v>
      </c>
      <c r="AH54" s="51">
        <f t="shared" si="75"/>
        <v>1.001900918893462</v>
      </c>
      <c r="AI54" s="51">
        <f t="shared" si="76"/>
        <v>-6.1610267425444273E-2</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-0.000133283554228113</v>
      </c>
      <c r="AT54" s="32" t="str">
        <f t="shared" si="59"/>
        <v>8.79470099168027E-06i</v>
      </c>
      <c r="AU54" s="32">
        <f t="shared" si="84"/>
        <v>8.7947009916802697E-6</v>
      </c>
      <c r="AV54" s="32">
        <f t="shared" si="85"/>
        <v>1.5707963267948966</v>
      </c>
      <c r="AW54" s="32" t="str">
        <f t="shared" si="60"/>
        <v>1+0.00153768828690688i</v>
      </c>
      <c r="AX54" s="32">
        <f t="shared" si="86"/>
        <v>1.000001182241935</v>
      </c>
      <c r="AY54" s="32">
        <f t="shared" si="87"/>
        <v>1.5376870749614991E-3</v>
      </c>
      <c r="AZ54" s="32" t="str">
        <f t="shared" si="61"/>
        <v>1+0.0229153059341488i</v>
      </c>
      <c r="BA54" s="32">
        <f t="shared" si="88"/>
        <v>1.000262521164347</v>
      </c>
      <c r="BB54" s="32">
        <f t="shared" si="89"/>
        <v>2.2911296169132352E-2</v>
      </c>
      <c r="BC54" s="60" t="str">
        <f t="shared" si="90"/>
        <v>-0.323976690802027+15.1554823359884i</v>
      </c>
      <c r="BD54" s="51">
        <f t="shared" si="91"/>
        <v>23.613379397845264</v>
      </c>
      <c r="BE54" s="63">
        <f t="shared" si="92"/>
        <v>91.224617594058415</v>
      </c>
      <c r="BF54" s="60" t="str">
        <f t="shared" si="93"/>
        <v>25.0457446746525+318.116529110088i</v>
      </c>
      <c r="BG54" s="66">
        <f t="shared" si="94"/>
        <v>50.078561905622728</v>
      </c>
      <c r="BH54" s="63">
        <f t="shared" si="95"/>
        <v>85.498311872702658</v>
      </c>
      <c r="BI54" s="60" t="e">
        <f t="shared" si="101"/>
        <v>#NUM!</v>
      </c>
      <c r="BJ54" s="66" t="e">
        <f t="shared" si="97"/>
        <v>#NUM!</v>
      </c>
      <c r="BK54" s="63" t="e">
        <f t="shared" si="102"/>
        <v>#NUM!</v>
      </c>
      <c r="BL54" s="51">
        <f t="shared" si="99"/>
        <v>50.078561905622728</v>
      </c>
      <c r="BM54" s="63">
        <f t="shared" si="100"/>
        <v>85.498311872702658</v>
      </c>
    </row>
    <row r="55" spans="1:65" x14ac:dyDescent="0.3">
      <c r="A55" t="s">
        <v>181</v>
      </c>
      <c r="B55" s="3">
        <f>CCOMP</f>
        <v>5.7000000000000001E-8</v>
      </c>
      <c r="C55" s="2" t="s">
        <v>158</v>
      </c>
      <c r="E55" s="32" t="s">
        <v>184</v>
      </c>
      <c r="N55" s="11">
        <v>37</v>
      </c>
      <c r="O55" s="52">
        <f t="shared" si="62"/>
        <v>23.442288153199236</v>
      </c>
      <c r="P55" s="50" t="str">
        <f t="shared" si="50"/>
        <v>21.1560044893378</v>
      </c>
      <c r="Q55" s="18" t="str">
        <f t="shared" si="51"/>
        <v>1+0.102658228220897i</v>
      </c>
      <c r="R55" s="18">
        <f t="shared" si="63"/>
        <v>1.005255545531311</v>
      </c>
      <c r="S55" s="18">
        <f t="shared" si="64"/>
        <v>0.10229986303624976</v>
      </c>
      <c r="T55" s="18" t="str">
        <f t="shared" si="52"/>
        <v>1+0.000147292240490852i</v>
      </c>
      <c r="U55" s="18">
        <f t="shared" si="65"/>
        <v>1.000000010847502</v>
      </c>
      <c r="V55" s="18">
        <f t="shared" si="66"/>
        <v>1.4729223942568342E-4</v>
      </c>
      <c r="W55" s="32" t="str">
        <f t="shared" si="53"/>
        <v>1-0.0000661507754630513i</v>
      </c>
      <c r="X55" s="18">
        <f t="shared" si="67"/>
        <v>1.0000000021879625</v>
      </c>
      <c r="Y55" s="18">
        <f t="shared" si="68"/>
        <v>-6.6150775366561018E-5</v>
      </c>
      <c r="Z55" s="32" t="str">
        <f t="shared" si="54"/>
        <v>0.999999999450459+0.0000361036762814751i</v>
      </c>
      <c r="AA55" s="18">
        <f t="shared" si="69"/>
        <v>1.0000000001021967</v>
      </c>
      <c r="AB55" s="18">
        <f t="shared" si="70"/>
        <v>3.6103676285628799E-5</v>
      </c>
      <c r="AC55" s="68" t="str">
        <f t="shared" si="71"/>
        <v>20.9354696745283-2.14824540410707i</v>
      </c>
      <c r="AD55" s="66">
        <f t="shared" si="72"/>
        <v>26.463143570756536</v>
      </c>
      <c r="AE55" s="63">
        <f t="shared" si="73"/>
        <v>-5.8587699215854663</v>
      </c>
      <c r="AF55" s="51" t="e">
        <f t="shared" si="74"/>
        <v>#NUM!</v>
      </c>
      <c r="AG55" s="51" t="str">
        <f t="shared" si="55"/>
        <v>1-0.0631252459246509i</v>
      </c>
      <c r="AH55" s="51">
        <f t="shared" si="75"/>
        <v>1.0019904174556999</v>
      </c>
      <c r="AI55" s="51">
        <f t="shared" si="76"/>
        <v>-6.3041598734005541E-2</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-0.000133283554228113</v>
      </c>
      <c r="AT55" s="32" t="str">
        <f t="shared" si="59"/>
        <v>8.99955589399103E-06i</v>
      </c>
      <c r="AU55" s="32">
        <f t="shared" si="84"/>
        <v>8.9995558939910304E-6</v>
      </c>
      <c r="AV55" s="32">
        <f t="shared" si="85"/>
        <v>1.5707963267948966</v>
      </c>
      <c r="AW55" s="32" t="str">
        <f t="shared" si="60"/>
        <v>1+0.00157350564830401i</v>
      </c>
      <c r="AX55" s="32">
        <f t="shared" si="86"/>
        <v>1.0000012379592464</v>
      </c>
      <c r="AY55" s="32">
        <f t="shared" si="87"/>
        <v>1.5735043496812244E-3</v>
      </c>
      <c r="AZ55" s="32" t="str">
        <f t="shared" si="61"/>
        <v>1+0.0234490719783841i</v>
      </c>
      <c r="BA55" s="32">
        <f t="shared" si="88"/>
        <v>1.0002748917055988</v>
      </c>
      <c r="BB55" s="32">
        <f t="shared" si="89"/>
        <v>2.3444775501528417E-2</v>
      </c>
      <c r="BC55" s="60" t="str">
        <f t="shared" si="90"/>
        <v>-0.323976654699854+14.8105243840508i</v>
      </c>
      <c r="BD55" s="51">
        <f t="shared" si="91"/>
        <v>23.41348633418302</v>
      </c>
      <c r="BE55" s="63">
        <f t="shared" si="92"/>
        <v>91.25313152958708</v>
      </c>
      <c r="BF55" s="60" t="str">
        <f t="shared" si="93"/>
        <v>25.0340375107289+310.761265465654i</v>
      </c>
      <c r="BG55" s="66">
        <f t="shared" si="94"/>
        <v>49.876629904939549</v>
      </c>
      <c r="BH55" s="63">
        <f t="shared" si="95"/>
        <v>85.394361608001603</v>
      </c>
      <c r="BI55" s="60" t="e">
        <f t="shared" si="101"/>
        <v>#NUM!</v>
      </c>
      <c r="BJ55" s="66" t="e">
        <f t="shared" si="97"/>
        <v>#NUM!</v>
      </c>
      <c r="BK55" s="63" t="e">
        <f t="shared" si="102"/>
        <v>#NUM!</v>
      </c>
      <c r="BL55" s="51">
        <f t="shared" si="99"/>
        <v>49.876629904939549</v>
      </c>
      <c r="BM55" s="63">
        <f t="shared" si="100"/>
        <v>85.394361608001603</v>
      </c>
    </row>
    <row r="56" spans="1:65" x14ac:dyDescent="0.3">
      <c r="A56" t="s">
        <v>182</v>
      </c>
      <c r="B56" s="3">
        <f>CHF</f>
        <v>4.1000000000000003E-9</v>
      </c>
      <c r="C56" s="2" t="s">
        <v>158</v>
      </c>
      <c r="E56" s="32" t="s">
        <v>185</v>
      </c>
      <c r="N56" s="11">
        <v>38</v>
      </c>
      <c r="O56" s="52">
        <f t="shared" si="62"/>
        <v>23.988329190194907</v>
      </c>
      <c r="P56" s="50" t="str">
        <f t="shared" si="50"/>
        <v>21.1560044893378</v>
      </c>
      <c r="Q56" s="18" t="str">
        <f t="shared" si="51"/>
        <v>1+0.105049445538402i</v>
      </c>
      <c r="R56" s="18">
        <f t="shared" si="63"/>
        <v>1.0055025539539548</v>
      </c>
      <c r="S56" s="18">
        <f t="shared" si="64"/>
        <v>0.10466556372727781</v>
      </c>
      <c r="T56" s="18" t="str">
        <f t="shared" si="52"/>
        <v>1+0.00015072311751162i</v>
      </c>
      <c r="U56" s="18">
        <f t="shared" si="65"/>
        <v>1.0000000113587291</v>
      </c>
      <c r="V56" s="18">
        <f t="shared" si="66"/>
        <v>1.5072311637027132E-4</v>
      </c>
      <c r="W56" s="32" t="str">
        <f t="shared" si="53"/>
        <v>1-0.0000676916249652779i</v>
      </c>
      <c r="X56" s="18">
        <f t="shared" si="67"/>
        <v>1.000000002291078</v>
      </c>
      <c r="Y56" s="18">
        <f t="shared" si="68"/>
        <v>-6.7691624861886707E-5</v>
      </c>
      <c r="Z56" s="32" t="str">
        <f t="shared" si="54"/>
        <v>0.99999999942456+0.0000369446389344062i</v>
      </c>
      <c r="AA56" s="18">
        <f t="shared" si="69"/>
        <v>1.0000000001070131</v>
      </c>
      <c r="AB56" s="18">
        <f t="shared" si="70"/>
        <v>3.6944638938856966E-5</v>
      </c>
      <c r="AC56" s="68" t="str">
        <f t="shared" si="71"/>
        <v>20.9251896331365-2.1972045550742i</v>
      </c>
      <c r="AD56" s="66">
        <f t="shared" si="72"/>
        <v>26.461009567081643</v>
      </c>
      <c r="AE56" s="63">
        <f t="shared" si="73"/>
        <v>-5.9942544797873358</v>
      </c>
      <c r="AF56" s="51" t="e">
        <f t="shared" si="74"/>
        <v>#NUM!</v>
      </c>
      <c r="AG56" s="51" t="str">
        <f t="shared" si="55"/>
        <v>1-0.0645956217906944i</v>
      </c>
      <c r="AH56" s="51">
        <f t="shared" si="75"/>
        <v>1.0020841253879469</v>
      </c>
      <c r="AI56" s="51">
        <f t="shared" si="76"/>
        <v>-6.4506002275853652E-2</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-0.000133283554228113</v>
      </c>
      <c r="AT56" s="32" t="str">
        <f t="shared" si="59"/>
        <v>9.20918247995997E-06i</v>
      </c>
      <c r="AU56" s="32">
        <f t="shared" si="84"/>
        <v>9.2091824799599699E-6</v>
      </c>
      <c r="AV56" s="32">
        <f t="shared" si="85"/>
        <v>1.5707963267948966</v>
      </c>
      <c r="AW56" s="32" t="str">
        <f t="shared" si="60"/>
        <v>1+0.00161015730322367i</v>
      </c>
      <c r="AX56" s="32">
        <f t="shared" si="86"/>
        <v>1.0000012963024305</v>
      </c>
      <c r="AY56" s="32">
        <f t="shared" si="87"/>
        <v>1.6101559117243825E-3</v>
      </c>
      <c r="AZ56" s="32" t="str">
        <f t="shared" si="61"/>
        <v>1+0.0239952710309674i</v>
      </c>
      <c r="BA56" s="32">
        <f t="shared" si="88"/>
        <v>1.0002878450885273</v>
      </c>
      <c r="BB56" s="32">
        <f t="shared" si="89"/>
        <v>2.399066734461933E-2</v>
      </c>
      <c r="BC56" s="60" t="str">
        <f t="shared" si="90"/>
        <v>-0.323976616896245+14.4734191681767i</v>
      </c>
      <c r="BD56" s="51">
        <f t="shared" si="91"/>
        <v>23.21359830742745</v>
      </c>
      <c r="BE56" s="63">
        <f t="shared" si="92"/>
        <v>91.282308848449162</v>
      </c>
      <c r="BF56" s="60" t="str">
        <f t="shared" si="93"/>
        <v>25.0217903785601+303.570883632352i</v>
      </c>
      <c r="BG56" s="66">
        <f t="shared" si="94"/>
        <v>49.6746078745091</v>
      </c>
      <c r="BH56" s="63">
        <f t="shared" si="95"/>
        <v>85.288054368661832</v>
      </c>
      <c r="BI56" s="60" t="e">
        <f t="shared" si="101"/>
        <v>#NUM!</v>
      </c>
      <c r="BJ56" s="66" t="e">
        <f t="shared" si="97"/>
        <v>#NUM!</v>
      </c>
      <c r="BK56" s="63" t="e">
        <f t="shared" si="102"/>
        <v>#NUM!</v>
      </c>
      <c r="BL56" s="51">
        <f t="shared" si="99"/>
        <v>49.6746078745091</v>
      </c>
      <c r="BM56" s="63">
        <f t="shared" si="100"/>
        <v>85.288054368661832</v>
      </c>
    </row>
    <row r="57" spans="1:65" x14ac:dyDescent="0.3">
      <c r="N57" s="11">
        <v>39</v>
      </c>
      <c r="O57" s="52">
        <f t="shared" si="62"/>
        <v>24.547089156850316</v>
      </c>
      <c r="P57" s="50" t="str">
        <f t="shared" si="50"/>
        <v>21.1560044893378</v>
      </c>
      <c r="Q57" s="18" t="str">
        <f t="shared" si="51"/>
        <v>1+0.107496361462425i</v>
      </c>
      <c r="R57" s="18">
        <f t="shared" si="63"/>
        <v>1.0057611385053911</v>
      </c>
      <c r="S57" s="18">
        <f t="shared" si="64"/>
        <v>0.1070851518391686</v>
      </c>
      <c r="T57" s="18" t="str">
        <f t="shared" si="52"/>
        <v>1+0.000154233909924349i</v>
      </c>
      <c r="U57" s="18">
        <f t="shared" si="65"/>
        <v>1.0000000118940495</v>
      </c>
      <c r="V57" s="18">
        <f t="shared" si="66"/>
        <v>1.5423390870137184E-4</v>
      </c>
      <c r="W57" s="32" t="str">
        <f t="shared" si="53"/>
        <v>1-0.0000692683654630656i</v>
      </c>
      <c r="X57" s="18">
        <f t="shared" si="67"/>
        <v>1.0000000023990532</v>
      </c>
      <c r="Y57" s="18">
        <f t="shared" si="68"/>
        <v>-6.9268365352279939E-5</v>
      </c>
      <c r="Z57" s="32" t="str">
        <f t="shared" si="54"/>
        <v>0.99999999939744+0.0000378051901239205i</v>
      </c>
      <c r="AA57" s="18">
        <f t="shared" si="69"/>
        <v>1.0000000001120561</v>
      </c>
      <c r="AB57" s="18">
        <f t="shared" si="70"/>
        <v>3.7805190128689595E-5</v>
      </c>
      <c r="AC57" s="68" t="str">
        <f t="shared" si="71"/>
        <v>20.9144359281857-2.24722803966075i</v>
      </c>
      <c r="AD57" s="66">
        <f t="shared" si="72"/>
        <v>26.458776114231437</v>
      </c>
      <c r="AE57" s="63">
        <f t="shared" si="73"/>
        <v>-6.1328251597020715</v>
      </c>
      <c r="AF57" s="51" t="e">
        <f t="shared" si="74"/>
        <v>#NUM!</v>
      </c>
      <c r="AG57" s="51" t="str">
        <f t="shared" si="55"/>
        <v>1-0.0661002471104354i</v>
      </c>
      <c r="AH57" s="51">
        <f t="shared" si="75"/>
        <v>1.0021822402477807</v>
      </c>
      <c r="AI57" s="51">
        <f t="shared" si="76"/>
        <v>-6.6004229359920188E-2</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-0.000133283554228113</v>
      </c>
      <c r="AT57" s="32" t="str">
        <f t="shared" si="59"/>
        <v>9.42369189637774E-06i</v>
      </c>
      <c r="AU57" s="32">
        <f t="shared" si="84"/>
        <v>9.4236918963777406E-6</v>
      </c>
      <c r="AV57" s="32">
        <f t="shared" si="85"/>
        <v>1.5707963267948966</v>
      </c>
      <c r="AW57" s="32" t="str">
        <f t="shared" si="60"/>
        <v>1+0.00164766268485846i</v>
      </c>
      <c r="AX57" s="32">
        <f t="shared" si="86"/>
        <v>1.0000013573952404</v>
      </c>
      <c r="AY57" s="32">
        <f t="shared" si="87"/>
        <v>1.6476611938402194E-3</v>
      </c>
      <c r="AZ57" s="32" t="str">
        <f t="shared" si="61"/>
        <v>1+0.0245541926938663i</v>
      </c>
      <c r="BA57" s="32">
        <f t="shared" si="88"/>
        <v>1.0003014087658018</v>
      </c>
      <c r="BB57" s="32">
        <f t="shared" si="89"/>
        <v>2.4549259835343434E-2</v>
      </c>
      <c r="BC57" s="60" t="str">
        <f t="shared" si="90"/>
        <v>-0.323976577311014+14.1439879507181i</v>
      </c>
      <c r="BD57" s="51">
        <f t="shared" si="91"/>
        <v>23.013715554686065</v>
      </c>
      <c r="BE57" s="63">
        <f t="shared" si="92"/>
        <v>91.312164946260665</v>
      </c>
      <c r="BF57" s="60" t="str">
        <f t="shared" si="93"/>
        <v>25.0089789470734+296.541579013051i</v>
      </c>
      <c r="BG57" s="66">
        <f t="shared" si="94"/>
        <v>49.472491668917513</v>
      </c>
      <c r="BH57" s="63">
        <f t="shared" si="95"/>
        <v>85.1793397865586</v>
      </c>
      <c r="BI57" s="60" t="e">
        <f t="shared" si="101"/>
        <v>#NUM!</v>
      </c>
      <c r="BJ57" s="66" t="e">
        <f t="shared" si="97"/>
        <v>#NUM!</v>
      </c>
      <c r="BK57" s="63" t="e">
        <f t="shared" si="102"/>
        <v>#NUM!</v>
      </c>
      <c r="BL57" s="51">
        <f t="shared" si="99"/>
        <v>49.472491668917513</v>
      </c>
      <c r="BM57" s="63">
        <f t="shared" si="100"/>
        <v>85.1793397865586</v>
      </c>
    </row>
    <row r="58" spans="1:65" x14ac:dyDescent="0.3">
      <c r="A58" t="s">
        <v>225</v>
      </c>
      <c r="B58" s="1">
        <f>-(RFBB*gm_ea)/(RFBB+RFBT)</f>
        <v>-1.3328355422811275E-4</v>
      </c>
      <c r="C58" t="s">
        <v>147</v>
      </c>
      <c r="N58" s="11">
        <v>40</v>
      </c>
      <c r="O58" s="52">
        <f t="shared" si="62"/>
        <v>25.118864315095799</v>
      </c>
      <c r="P58" s="50" t="str">
        <f t="shared" si="50"/>
        <v>21.1560044893378</v>
      </c>
      <c r="Q58" s="18" t="str">
        <f t="shared" si="51"/>
        <v>1+0.110000273380179i</v>
      </c>
      <c r="R58" s="18">
        <f t="shared" si="63"/>
        <v>1.0060318385338081</v>
      </c>
      <c r="S58" s="18">
        <f t="shared" si="64"/>
        <v>0.10955979688576221</v>
      </c>
      <c r="T58" s="18" t="str">
        <f t="shared" si="52"/>
        <v>1+0.000157826479197648i</v>
      </c>
      <c r="U58" s="18">
        <f t="shared" si="65"/>
        <v>1.0000000124545987</v>
      </c>
      <c r="V58" s="18">
        <f t="shared" si="66"/>
        <v>1.5782647788720435E-4</v>
      </c>
      <c r="W58" s="32" t="str">
        <f t="shared" si="53"/>
        <v>1-0.0000708818329650976i</v>
      </c>
      <c r="X58" s="18">
        <f t="shared" si="67"/>
        <v>1.000000002512117</v>
      </c>
      <c r="Y58" s="18">
        <f t="shared" si="68"/>
        <v>-7.088183284638863E-5</v>
      </c>
      <c r="Z58" s="32" t="str">
        <f t="shared" si="54"/>
        <v>0.999999999369043+0.0000386857861256496i</v>
      </c>
      <c r="AA58" s="18">
        <f t="shared" si="69"/>
        <v>1.0000000001173379</v>
      </c>
      <c r="AB58" s="18">
        <f t="shared" si="70"/>
        <v>3.8685786130759745E-5</v>
      </c>
      <c r="AC58" s="68" t="str">
        <f t="shared" si="71"/>
        <v>20.903187262179-2.29833534870625i</v>
      </c>
      <c r="AD58" s="66">
        <f t="shared" si="72"/>
        <v>26.456438632419349</v>
      </c>
      <c r="AE58" s="63">
        <f t="shared" si="73"/>
        <v>-6.2745489369250533</v>
      </c>
      <c r="AF58" s="51" t="e">
        <f t="shared" si="74"/>
        <v>#NUM!</v>
      </c>
      <c r="AG58" s="51" t="str">
        <f t="shared" si="55"/>
        <v>1-0.067639919656135i</v>
      </c>
      <c r="AH58" s="51">
        <f t="shared" si="75"/>
        <v>1.0022849688242803</v>
      </c>
      <c r="AI58" s="51">
        <f t="shared" si="76"/>
        <v>-6.7537047446506973E-2</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-0.000133283554228113</v>
      </c>
      <c r="AT58" s="32" t="str">
        <f t="shared" si="59"/>
        <v>9.64319787897626E-06i</v>
      </c>
      <c r="AU58" s="32">
        <f t="shared" si="84"/>
        <v>9.6431978789762601E-6</v>
      </c>
      <c r="AV58" s="32">
        <f t="shared" si="85"/>
        <v>1.5707963267948966</v>
      </c>
      <c r="AW58" s="32" t="str">
        <f t="shared" si="60"/>
        <v>1+0.00168604167905816i</v>
      </c>
      <c r="AX58" s="32">
        <f t="shared" si="86"/>
        <v>1.0000014213672617</v>
      </c>
      <c r="AY58" s="32">
        <f t="shared" si="87"/>
        <v>1.6860400814034534E-3</v>
      </c>
      <c r="AZ58" s="32" t="str">
        <f t="shared" si="61"/>
        <v>1+0.0251261333147447i</v>
      </c>
      <c r="BA58" s="32">
        <f t="shared" si="88"/>
        <v>1.0003156114823712</v>
      </c>
      <c r="BB58" s="32">
        <f t="shared" si="89"/>
        <v>2.512084775167318E-2</v>
      </c>
      <c r="BC58" s="60" t="str">
        <f t="shared" si="90"/>
        <v>-0.323976535860202+13.8220560628827i</v>
      </c>
      <c r="BD58" s="51">
        <f t="shared" si="91"/>
        <v>22.813838324214544</v>
      </c>
      <c r="BE58" s="63">
        <f t="shared" si="92"/>
        <v>91.342715573207258</v>
      </c>
      <c r="BF58" s="60" t="str">
        <f t="shared" si="93"/>
        <v>24.995577843485+289.669632955293i</v>
      </c>
      <c r="BG58" s="66">
        <f t="shared" si="94"/>
        <v>49.270276956633907</v>
      </c>
      <c r="BH58" s="63">
        <f t="shared" si="95"/>
        <v>85.068166636282214</v>
      </c>
      <c r="BI58" s="60" t="e">
        <f t="shared" si="101"/>
        <v>#NUM!</v>
      </c>
      <c r="BJ58" s="66" t="e">
        <f t="shared" si="97"/>
        <v>#NUM!</v>
      </c>
      <c r="BK58" s="63" t="e">
        <f t="shared" si="102"/>
        <v>#NUM!</v>
      </c>
      <c r="BL58" s="51">
        <f t="shared" si="99"/>
        <v>49.270276956633907</v>
      </c>
      <c r="BM58" s="63">
        <f t="shared" si="100"/>
        <v>85.068166636282214</v>
      </c>
    </row>
    <row r="59" spans="1:65" x14ac:dyDescent="0.3">
      <c r="A59" t="s">
        <v>224</v>
      </c>
      <c r="B59" s="1">
        <f>1/(RCOMP*CCOMP)</f>
        <v>6281.3675793493758</v>
      </c>
      <c r="E59" t="s">
        <v>238</v>
      </c>
      <c r="N59" s="11">
        <v>41</v>
      </c>
      <c r="O59" s="52">
        <f t="shared" si="62"/>
        <v>25.703957827688647</v>
      </c>
      <c r="P59" s="50" t="str">
        <f t="shared" si="50"/>
        <v>21.1560044893378</v>
      </c>
      <c r="Q59" s="18" t="str">
        <f t="shared" si="51"/>
        <v>1+0.112562508898904i</v>
      </c>
      <c r="R59" s="18">
        <f t="shared" si="63"/>
        <v>1.006315218214261</v>
      </c>
      <c r="S59" s="18">
        <f t="shared" si="64"/>
        <v>0.1120906896554828</v>
      </c>
      <c r="T59" s="18" t="str">
        <f t="shared" si="52"/>
        <v>1+0.000161502730159297i</v>
      </c>
      <c r="U59" s="18">
        <f t="shared" si="65"/>
        <v>1.0000000130415658</v>
      </c>
      <c r="V59" s="18">
        <f t="shared" si="66"/>
        <v>1.6150272875513135E-4</v>
      </c>
      <c r="W59" s="32" t="str">
        <f t="shared" si="53"/>
        <v>1-0.0000725328829531991i</v>
      </c>
      <c r="X59" s="18">
        <f t="shared" si="67"/>
        <v>1.0000000026305096</v>
      </c>
      <c r="Y59" s="18">
        <f t="shared" si="68"/>
        <v>-7.2532882826000132E-5</v>
      </c>
      <c r="Z59" s="32" t="str">
        <f t="shared" si="54"/>
        <v>0.999999999339307+0.0000395868938432492i</v>
      </c>
      <c r="AA59" s="18">
        <f t="shared" si="69"/>
        <v>1.0000000001228679</v>
      </c>
      <c r="AB59" s="18">
        <f t="shared" si="70"/>
        <v>3.9586893848724817E-5</v>
      </c>
      <c r="AC59" s="68" t="str">
        <f t="shared" si="71"/>
        <v>20.8914214301785-2.35054606467349i</v>
      </c>
      <c r="AD59" s="66">
        <f t="shared" si="72"/>
        <v>26.453992336168479</v>
      </c>
      <c r="AE59" s="63">
        <f t="shared" si="73"/>
        <v>-6.4194940052357747</v>
      </c>
      <c r="AF59" s="51" t="e">
        <f t="shared" si="74"/>
        <v>#NUM!</v>
      </c>
      <c r="AG59" s="51" t="str">
        <f t="shared" si="55"/>
        <v>1-0.069215455782556i</v>
      </c>
      <c r="AH59" s="51">
        <f t="shared" si="75"/>
        <v>1.0023925275655177</v>
      </c>
      <c r="AI59" s="51">
        <f t="shared" si="76"/>
        <v>-6.9105240428606093E-2</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-0.000133283554228113</v>
      </c>
      <c r="AT59" s="32" t="str">
        <f t="shared" si="59"/>
        <v>9.86781681273305E-06i</v>
      </c>
      <c r="AU59" s="32">
        <f t="shared" si="84"/>
        <v>9.8678168127330505E-6</v>
      </c>
      <c r="AV59" s="32">
        <f t="shared" si="85"/>
        <v>1.5707963267948966</v>
      </c>
      <c r="AW59" s="32" t="str">
        <f t="shared" si="60"/>
        <v>1+0.00172531463487349i</v>
      </c>
      <c r="AX59" s="32">
        <f t="shared" si="86"/>
        <v>1.000001488354187</v>
      </c>
      <c r="AY59" s="32">
        <f t="shared" si="87"/>
        <v>1.7253129229557664E-3</v>
      </c>
      <c r="AZ59" s="32" t="str">
        <f t="shared" si="61"/>
        <v>1+0.0257113961440902i</v>
      </c>
      <c r="BA59" s="32">
        <f t="shared" si="88"/>
        <v>1.0003304833362214</v>
      </c>
      <c r="BB59" s="32">
        <f t="shared" si="89"/>
        <v>2.5705732662271229E-2</v>
      </c>
      <c r="BC59" s="60" t="str">
        <f t="shared" si="90"/>
        <v>-0.323976492455884+13.5074528121218i</v>
      </c>
      <c r="BD59" s="51">
        <f t="shared" si="91"/>
        <v>22.613966875939354</v>
      </c>
      <c r="BE59" s="63">
        <f t="shared" si="92"/>
        <v>91.373976842014983</v>
      </c>
      <c r="BF59" s="60" t="str">
        <f t="shared" si="93"/>
        <v>24.9815606139288+282.951410815675i</v>
      </c>
      <c r="BG59" s="66">
        <f t="shared" si="94"/>
        <v>49.06795921210783</v>
      </c>
      <c r="BH59" s="63">
        <f t="shared" si="95"/>
        <v>84.954482836779221</v>
      </c>
      <c r="BI59" s="60" t="e">
        <f t="shared" si="101"/>
        <v>#NUM!</v>
      </c>
      <c r="BJ59" s="66" t="e">
        <f t="shared" si="97"/>
        <v>#NUM!</v>
      </c>
      <c r="BK59" s="63" t="e">
        <f t="shared" si="102"/>
        <v>#NUM!</v>
      </c>
      <c r="BL59" s="51">
        <f t="shared" si="99"/>
        <v>49.06795921210783</v>
      </c>
      <c r="BM59" s="63">
        <f t="shared" si="100"/>
        <v>84.954482836779221</v>
      </c>
    </row>
    <row r="60" spans="1:65" x14ac:dyDescent="0.3">
      <c r="A60" t="s">
        <v>229</v>
      </c>
      <c r="B60" s="1">
        <f>(CCOMP+CHF)</f>
        <v>6.1099999999999998E-8</v>
      </c>
      <c r="E60" t="s">
        <v>239</v>
      </c>
      <c r="N60" s="11">
        <v>42</v>
      </c>
      <c r="O60" s="52">
        <f t="shared" si="62"/>
        <v>26.302679918953825</v>
      </c>
      <c r="P60" s="50" t="str">
        <f t="shared" si="50"/>
        <v>21.1560044893378</v>
      </c>
      <c r="Q60" s="18" t="str">
        <f t="shared" si="51"/>
        <v>1+0.115184426549788i</v>
      </c>
      <c r="R60" s="18">
        <f t="shared" si="63"/>
        <v>1.0066118676628064</v>
      </c>
      <c r="S60" s="18">
        <f t="shared" si="64"/>
        <v>0.11467904229941416</v>
      </c>
      <c r="T60" s="18" t="str">
        <f t="shared" si="52"/>
        <v>1+0.000165264612006218i</v>
      </c>
      <c r="U60" s="18">
        <f t="shared" si="65"/>
        <v>1.000000013656196</v>
      </c>
      <c r="V60" s="18">
        <f t="shared" si="66"/>
        <v>1.6526461050162742E-4</v>
      </c>
      <c r="W60" s="32" t="str">
        <f t="shared" si="53"/>
        <v>1-0.0000742223908359287i</v>
      </c>
      <c r="X60" s="18">
        <f t="shared" si="67"/>
        <v>1.0000000027544815</v>
      </c>
      <c r="Y60" s="18">
        <f t="shared" si="68"/>
        <v>-7.4222390699632567E-5</v>
      </c>
      <c r="Z60" s="32" t="str">
        <f t="shared" si="54"/>
        <v>0.999999999308169+0.0000405089910559589i</v>
      </c>
      <c r="AA60" s="18">
        <f t="shared" si="69"/>
        <v>1.0000000001286582</v>
      </c>
      <c r="AB60" s="18">
        <f t="shared" si="70"/>
        <v>4.0508991061826158E-5</v>
      </c>
      <c r="AC60" s="68" t="str">
        <f t="shared" si="71"/>
        <v>20.8791152859408-2.40387983984697i</v>
      </c>
      <c r="AD60" s="66">
        <f t="shared" si="72"/>
        <v>26.451432225569597</v>
      </c>
      <c r="AE60" s="63">
        <f t="shared" si="73"/>
        <v>-6.56772978162671</v>
      </c>
      <c r="AF60" s="51" t="e">
        <f t="shared" si="74"/>
        <v>#NUM!</v>
      </c>
      <c r="AG60" s="51" t="str">
        <f t="shared" si="55"/>
        <v>1-0.0708276908598078i</v>
      </c>
      <c r="AH60" s="51">
        <f t="shared" si="75"/>
        <v>1.0025051430254772</v>
      </c>
      <c r="AI60" s="51">
        <f t="shared" si="76"/>
        <v>-7.0709608913181399E-2</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-0.000133283554228113</v>
      </c>
      <c r="AT60" s="32" t="str">
        <f t="shared" si="59"/>
        <v>0.0000100976677935799i</v>
      </c>
      <c r="AU60" s="32">
        <f t="shared" si="84"/>
        <v>1.0097667793579899E-5</v>
      </c>
      <c r="AV60" s="32">
        <f t="shared" si="85"/>
        <v>1.5707963267948966</v>
      </c>
      <c r="AW60" s="32" t="str">
        <f t="shared" si="60"/>
        <v>1+0.00176550237534546i</v>
      </c>
      <c r="AX60" s="32">
        <f t="shared" si="86"/>
        <v>1.0000015584981043</v>
      </c>
      <c r="AY60" s="32">
        <f t="shared" si="87"/>
        <v>1.7655005409927245E-3</v>
      </c>
      <c r="AZ60" s="32" t="str">
        <f t="shared" si="61"/>
        <v>1+0.0263102914960019i</v>
      </c>
      <c r="BA60" s="32">
        <f t="shared" si="88"/>
        <v>1.0003460558419794</v>
      </c>
      <c r="BB60" s="32">
        <f t="shared" si="89"/>
        <v>2.6304223079274415E-2</v>
      </c>
      <c r="BC60" s="60" t="str">
        <f t="shared" si="90"/>
        <v>-0.323976447005997+13.2000113916271i</v>
      </c>
      <c r="BD60" s="51">
        <f t="shared" si="91"/>
        <v>22.414101482005137</v>
      </c>
      <c r="BE60" s="63">
        <f t="shared" si="92"/>
        <v>91.405965236086089</v>
      </c>
      <c r="BF60" s="60" t="str">
        <f t="shared" si="93"/>
        <v>24.966899683115+276.383360071057i</v>
      </c>
      <c r="BG60" s="66">
        <f t="shared" si="94"/>
        <v>48.865533707574727</v>
      </c>
      <c r="BH60" s="63">
        <f t="shared" si="95"/>
        <v>84.838235454459394</v>
      </c>
      <c r="BI60" s="60" t="e">
        <f t="shared" si="101"/>
        <v>#NUM!</v>
      </c>
      <c r="BJ60" s="66" t="e">
        <f t="shared" si="97"/>
        <v>#NUM!</v>
      </c>
      <c r="BK60" s="63" t="e">
        <f t="shared" si="102"/>
        <v>#NUM!</v>
      </c>
      <c r="BL60" s="51">
        <f t="shared" si="99"/>
        <v>48.865533707574727</v>
      </c>
      <c r="BM60" s="63">
        <f t="shared" si="100"/>
        <v>84.838235454459394</v>
      </c>
    </row>
    <row r="61" spans="1:65" x14ac:dyDescent="0.3">
      <c r="A61" s="32" t="s">
        <v>230</v>
      </c>
      <c r="B61" s="1">
        <f>(CCOMP+CHF)/(RCOMP*CHF*CCOMP)</f>
        <v>93607.697341035804</v>
      </c>
      <c r="E61" s="32" t="s">
        <v>240</v>
      </c>
      <c r="N61" s="11">
        <v>43</v>
      </c>
      <c r="O61" s="52">
        <f t="shared" si="62"/>
        <v>26.915348039269158</v>
      </c>
      <c r="P61" s="50" t="str">
        <f t="shared" si="50"/>
        <v>21.1560044893378</v>
      </c>
      <c r="Q61" s="18" t="str">
        <f t="shared" si="51"/>
        <v>1+0.117867416508276i</v>
      </c>
      <c r="R61" s="18">
        <f t="shared" si="63"/>
        <v>1.0069224040979203</v>
      </c>
      <c r="S61" s="18">
        <f t="shared" si="64"/>
        <v>0.11732608839455706</v>
      </c>
      <c r="T61" s="18" t="str">
        <f t="shared" si="52"/>
        <v>1+0.000169114119337961i</v>
      </c>
      <c r="U61" s="18">
        <f t="shared" si="65"/>
        <v>1.0000000142997927</v>
      </c>
      <c r="V61" s="18">
        <f t="shared" si="66"/>
        <v>1.6911411772576313E-4</v>
      </c>
      <c r="W61" s="32" t="str">
        <f t="shared" si="53"/>
        <v>1-0.0000759512524127292i</v>
      </c>
      <c r="X61" s="18">
        <f t="shared" si="67"/>
        <v>1.0000000028842964</v>
      </c>
      <c r="Y61" s="18">
        <f t="shared" si="68"/>
        <v>-7.5951252266685262E-5</v>
      </c>
      <c r="Z61" s="32" t="str">
        <f t="shared" si="54"/>
        <v>0.999999999275564+0.0000414525666719266i</v>
      </c>
      <c r="AA61" s="18">
        <f t="shared" si="69"/>
        <v>1.0000000001347216</v>
      </c>
      <c r="AB61" s="18">
        <f t="shared" si="70"/>
        <v>4.1452566678213471E-5</v>
      </c>
      <c r="AC61" s="68" t="str">
        <f t="shared" si="71"/>
        <v>20.8662447072609-2.45835637254302i</v>
      </c>
      <c r="AD61" s="66">
        <f t="shared" si="72"/>
        <v>26.448753077215397</v>
      </c>
      <c r="AE61" s="63">
        <f t="shared" si="73"/>
        <v>-6.7193269099094639</v>
      </c>
      <c r="AF61" s="51" t="e">
        <f t="shared" si="74"/>
        <v>#NUM!</v>
      </c>
      <c r="AG61" s="51" t="str">
        <f t="shared" si="55"/>
        <v>1-0.0724774797162691i</v>
      </c>
      <c r="AH61" s="51">
        <f t="shared" si="75"/>
        <v>1.0026230523312449</v>
      </c>
      <c r="AI61" s="51">
        <f t="shared" si="76"/>
        <v>-7.2350970501952536E-2</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-0.000133283554228113</v>
      </c>
      <c r="AT61" s="32" t="str">
        <f t="shared" si="59"/>
        <v>0.0000103328726915494i</v>
      </c>
      <c r="AU61" s="32">
        <f t="shared" si="84"/>
        <v>1.03328726915494E-5</v>
      </c>
      <c r="AV61" s="32">
        <f t="shared" si="85"/>
        <v>1.5707963267948966</v>
      </c>
      <c r="AW61" s="32" t="str">
        <f t="shared" si="60"/>
        <v>1+0.00180662620854604i</v>
      </c>
      <c r="AX61" s="32">
        <f t="shared" si="86"/>
        <v>1.0000016319477971</v>
      </c>
      <c r="AY61" s="32">
        <f t="shared" si="87"/>
        <v>1.8066242430018445E-3</v>
      </c>
      <c r="AZ61" s="32" t="str">
        <f t="shared" si="61"/>
        <v>1+0.0269231369127227i</v>
      </c>
      <c r="BA61" s="32">
        <f t="shared" si="88"/>
        <v>1.0003623619975019</v>
      </c>
      <c r="BB61" s="32">
        <f t="shared" si="89"/>
        <v>2.6916634614251599E-2</v>
      </c>
      <c r="BC61" s="60" t="str">
        <f t="shared" si="90"/>
        <v>-0.323976399414134+12.8995687918875i</v>
      </c>
      <c r="BD61" s="51">
        <f t="shared" si="91"/>
        <v>22.214242427347472</v>
      </c>
      <c r="BE61" s="63">
        <f t="shared" si="92"/>
        <v>91.438697617802333</v>
      </c>
      <c r="BF61" s="60" t="str">
        <f t="shared" si="93"/>
        <v>24.9515663130411+269.962008475724i</v>
      </c>
      <c r="BG61" s="66">
        <f t="shared" si="94"/>
        <v>48.662995504562872</v>
      </c>
      <c r="BH61" s="63">
        <f t="shared" si="95"/>
        <v>84.719370707892878</v>
      </c>
      <c r="BI61" s="60" t="e">
        <f t="shared" si="101"/>
        <v>#NUM!</v>
      </c>
      <c r="BJ61" s="66" t="e">
        <f t="shared" si="97"/>
        <v>#NUM!</v>
      </c>
      <c r="BK61" s="63" t="e">
        <f t="shared" si="102"/>
        <v>#NUM!</v>
      </c>
      <c r="BL61" s="51">
        <f t="shared" si="99"/>
        <v>48.662995504562872</v>
      </c>
      <c r="BM61" s="63">
        <f t="shared" si="100"/>
        <v>84.719370707892878</v>
      </c>
    </row>
    <row r="62" spans="1:65" x14ac:dyDescent="0.3">
      <c r="N62" s="11">
        <v>44</v>
      </c>
      <c r="O62" s="52">
        <f t="shared" si="62"/>
        <v>27.542287033381665</v>
      </c>
      <c r="P62" s="50" t="str">
        <f t="shared" si="50"/>
        <v>21.1560044893378</v>
      </c>
      <c r="Q62" s="18" t="str">
        <f t="shared" si="51"/>
        <v>1+0.120612901331156i</v>
      </c>
      <c r="R62" s="18">
        <f t="shared" si="63"/>
        <v>1.0072474730509475</v>
      </c>
      <c r="S62" s="18">
        <f t="shared" si="64"/>
        <v>0.12003308298004238</v>
      </c>
      <c r="T62" s="18" t="str">
        <f t="shared" si="52"/>
        <v>1+0.000173053293214267i</v>
      </c>
      <c r="U62" s="18">
        <f t="shared" si="65"/>
        <v>1.0000000149737209</v>
      </c>
      <c r="V62" s="18">
        <f t="shared" si="66"/>
        <v>1.7305329148676585E-4</v>
      </c>
      <c r="W62" s="32" t="str">
        <f t="shared" si="53"/>
        <v>1-0.0000777203843488927i</v>
      </c>
      <c r="X62" s="18">
        <f t="shared" si="67"/>
        <v>1.000000003020229</v>
      </c>
      <c r="Y62" s="18">
        <f t="shared" si="68"/>
        <v>-7.7720384192403797E-5</v>
      </c>
      <c r="Z62" s="32" t="str">
        <f t="shared" si="54"/>
        <v>0.999999999241422+0.0000424181209874333i</v>
      </c>
      <c r="AA62" s="18">
        <f t="shared" si="69"/>
        <v>1.0000000001410703</v>
      </c>
      <c r="AB62" s="18">
        <f t="shared" si="70"/>
        <v>4.2418120994169822E-5</v>
      </c>
      <c r="AC62" s="68" t="str">
        <f t="shared" si="71"/>
        <v>20.8527845605549-2.51399538120608i</v>
      </c>
      <c r="AD62" s="66">
        <f t="shared" si="72"/>
        <v>26.445949434803072</v>
      </c>
      <c r="AE62" s="63">
        <f t="shared" si="73"/>
        <v>-6.8743572627711877</v>
      </c>
      <c r="AF62" s="51" t="e">
        <f t="shared" si="74"/>
        <v>#NUM!</v>
      </c>
      <c r="AG62" s="51" t="str">
        <f t="shared" si="55"/>
        <v>1-0.0741656970918288i</v>
      </c>
      <c r="AH62" s="51">
        <f t="shared" si="75"/>
        <v>1.0027465036713501</v>
      </c>
      <c r="AI62" s="51">
        <f t="shared" si="76"/>
        <v>-7.4030160071197046E-2</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-0.000133283554228113</v>
      </c>
      <c r="AT62" s="32" t="str">
        <f t="shared" si="59"/>
        <v>0.0000105735562153917i</v>
      </c>
      <c r="AU62" s="32">
        <f t="shared" si="84"/>
        <v>1.0573556215391699E-5</v>
      </c>
      <c r="AV62" s="32">
        <f t="shared" si="85"/>
        <v>1.5707963267948966</v>
      </c>
      <c r="AW62" s="32" t="str">
        <f t="shared" si="60"/>
        <v>1+0.00184870793887592i</v>
      </c>
      <c r="AX62" s="32">
        <f t="shared" si="86"/>
        <v>1.0000017088590616</v>
      </c>
      <c r="AY62" s="32">
        <f t="shared" si="87"/>
        <v>1.8487058327575636E-3</v>
      </c>
      <c r="AZ62" s="32" t="str">
        <f t="shared" si="61"/>
        <v>1+0.0275502573330045i</v>
      </c>
      <c r="BA62" s="32">
        <f t="shared" si="88"/>
        <v>1.0003794363535841</v>
      </c>
      <c r="BB62" s="32">
        <f t="shared" si="89"/>
        <v>2.7543290137383429E-2</v>
      </c>
      <c r="BC62" s="60" t="str">
        <f t="shared" si="90"/>
        <v>-0.323976349579352+12.6059657142591i</v>
      </c>
      <c r="BD62" s="51">
        <f t="shared" si="91"/>
        <v>22.014390010292168</v>
      </c>
      <c r="BE62" s="63">
        <f t="shared" si="92"/>
        <v>91.472191236998157</v>
      </c>
      <c r="BF62" s="60" t="str">
        <f t="shared" si="93"/>
        <v>24.9355305607963+263.683962263649i</v>
      </c>
      <c r="BG62" s="66">
        <f t="shared" si="94"/>
        <v>48.460339445095244</v>
      </c>
      <c r="BH62" s="63">
        <f t="shared" si="95"/>
        <v>84.597833974226972</v>
      </c>
      <c r="BI62" s="60" t="e">
        <f t="shared" si="101"/>
        <v>#NUM!</v>
      </c>
      <c r="BJ62" s="66" t="e">
        <f t="shared" si="97"/>
        <v>#NUM!</v>
      </c>
      <c r="BK62" s="63" t="e">
        <f t="shared" si="102"/>
        <v>#NUM!</v>
      </c>
      <c r="BL62" s="51">
        <f t="shared" si="99"/>
        <v>48.460339445095244</v>
      </c>
      <c r="BM62" s="63">
        <f t="shared" si="100"/>
        <v>84.597833974226972</v>
      </c>
    </row>
    <row r="63" spans="1:65" x14ac:dyDescent="0.3">
      <c r="N63" s="11">
        <v>45</v>
      </c>
      <c r="O63" s="52">
        <f t="shared" si="62"/>
        <v>28.183829312644548</v>
      </c>
      <c r="P63" s="50" t="str">
        <f t="shared" si="50"/>
        <v>21.1560044893378</v>
      </c>
      <c r="Q63" s="18" t="str">
        <f t="shared" si="51"/>
        <v>1+0.123422336710822i</v>
      </c>
      <c r="R63" s="18">
        <f t="shared" si="63"/>
        <v>1.007587749627376</v>
      </c>
      <c r="S63" s="18">
        <f t="shared" si="64"/>
        <v>0.12280130256393618</v>
      </c>
      <c r="T63" s="18" t="str">
        <f t="shared" si="52"/>
        <v>1+0.000177084222237266i</v>
      </c>
      <c r="U63" s="18">
        <f t="shared" si="65"/>
        <v>1.0000000156794107</v>
      </c>
      <c r="V63" s="18">
        <f t="shared" si="66"/>
        <v>1.7708422038621521E-4</v>
      </c>
      <c r="W63" s="32" t="str">
        <f t="shared" si="53"/>
        <v>1-0.0000795307246615887i</v>
      </c>
      <c r="X63" s="18">
        <f t="shared" si="67"/>
        <v>1.000000003162568</v>
      </c>
      <c r="Y63" s="18">
        <f t="shared" si="68"/>
        <v>-7.9530724493907811E-5</v>
      </c>
      <c r="Z63" s="32" t="str">
        <f t="shared" si="54"/>
        <v>0.999999999205672+0.0000434061659521577i</v>
      </c>
      <c r="AA63" s="18">
        <f t="shared" si="69"/>
        <v>1.0000000001477194</v>
      </c>
      <c r="AB63" s="18">
        <f t="shared" si="70"/>
        <v>4.3406165959375986E-5</v>
      </c>
      <c r="AC63" s="68" t="str">
        <f t="shared" si="71"/>
        <v>20.8387086647227-2.57081657626012i</v>
      </c>
      <c r="AD63" s="66">
        <f t="shared" si="72"/>
        <v>26.443015599398791</v>
      </c>
      <c r="AE63" s="63">
        <f t="shared" si="73"/>
        <v>-7.0328939421455186</v>
      </c>
      <c r="AF63" s="51" t="e">
        <f t="shared" si="74"/>
        <v>#NUM!</v>
      </c>
      <c r="AG63" s="51" t="str">
        <f t="shared" si="55"/>
        <v>1-0.0758932381016856i</v>
      </c>
      <c r="AH63" s="51">
        <f t="shared" si="75"/>
        <v>1.0028757568061755</v>
      </c>
      <c r="AI63" s="51">
        <f t="shared" si="76"/>
        <v>-7.5748030050038773E-2</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-0.000133283554228113</v>
      </c>
      <c r="AT63" s="32" t="str">
        <f t="shared" si="59"/>
        <v>0.0000108198459786969i</v>
      </c>
      <c r="AU63" s="32">
        <f t="shared" si="84"/>
        <v>1.08198459786969E-5</v>
      </c>
      <c r="AV63" s="32">
        <f t="shared" si="85"/>
        <v>1.5707963267948966</v>
      </c>
      <c r="AW63" s="32" t="str">
        <f t="shared" si="60"/>
        <v>1+0.00189176987862552i</v>
      </c>
      <c r="AX63" s="32">
        <f t="shared" si="86"/>
        <v>1.0000017893950359</v>
      </c>
      <c r="AY63" s="32">
        <f t="shared" si="87"/>
        <v>1.8917676218792603E-3</v>
      </c>
      <c r="AZ63" s="32" t="str">
        <f t="shared" si="61"/>
        <v>1+0.028191985264395i</v>
      </c>
      <c r="BA63" s="32">
        <f t="shared" si="88"/>
        <v>1.0003973150869347</v>
      </c>
      <c r="BB63" s="32">
        <f t="shared" si="89"/>
        <v>2.8184519939909166E-2</v>
      </c>
      <c r="BC63" s="60" t="str">
        <f t="shared" si="90"/>
        <v>-0.323976297395948+12.3190464865036i</v>
      </c>
      <c r="BD63" s="51">
        <f t="shared" si="91"/>
        <v>21.814544543183136</v>
      </c>
      <c r="BE63" s="63">
        <f t="shared" si="92"/>
        <v>91.50646373960592</v>
      </c>
      <c r="BF63" s="60" t="str">
        <f t="shared" si="93"/>
        <v>24.9187612355127+257.545904395085i</v>
      </c>
      <c r="BG63" s="66">
        <f t="shared" si="94"/>
        <v>48.257560142581923</v>
      </c>
      <c r="BH63" s="63">
        <f t="shared" si="95"/>
        <v>84.473569797460399</v>
      </c>
      <c r="BI63" s="60" t="e">
        <f t="shared" si="101"/>
        <v>#NUM!</v>
      </c>
      <c r="BJ63" s="66" t="e">
        <f t="shared" si="97"/>
        <v>#NUM!</v>
      </c>
      <c r="BK63" s="63" t="e">
        <f t="shared" si="102"/>
        <v>#NUM!</v>
      </c>
      <c r="BL63" s="51">
        <f t="shared" si="99"/>
        <v>48.257560142581923</v>
      </c>
      <c r="BM63" s="63">
        <f t="shared" si="100"/>
        <v>84.473569797460399</v>
      </c>
    </row>
    <row r="64" spans="1:65" x14ac:dyDescent="0.3">
      <c r="N64" s="11">
        <v>46</v>
      </c>
      <c r="O64" s="52">
        <f t="shared" si="62"/>
        <v>28.840315031266066</v>
      </c>
      <c r="P64" s="50" t="str">
        <f t="shared" si="50"/>
        <v>21.1560044893378</v>
      </c>
      <c r="Q64" s="18" t="str">
        <f t="shared" si="51"/>
        <v>1+0.1262972122471i</v>
      </c>
      <c r="R64" s="18">
        <f t="shared" si="63"/>
        <v>1.0079439398207566</v>
      </c>
      <c r="S64" s="18">
        <f t="shared" si="64"/>
        <v>0.12563204509810499</v>
      </c>
      <c r="T64" s="18" t="str">
        <f t="shared" si="52"/>
        <v>1+0.000181209043658882i</v>
      </c>
      <c r="U64" s="18">
        <f t="shared" si="65"/>
        <v>1.0000000164183587</v>
      </c>
      <c r="V64" s="18">
        <f t="shared" si="66"/>
        <v>1.8120904167544531E-4</v>
      </c>
      <c r="W64" s="32" t="str">
        <f t="shared" si="53"/>
        <v>1-0.0000813832332172139i</v>
      </c>
      <c r="X64" s="18">
        <f t="shared" si="67"/>
        <v>1.0000000033116152</v>
      </c>
      <c r="Y64" s="18">
        <f t="shared" si="68"/>
        <v>-8.1383233037540589E-5</v>
      </c>
      <c r="Z64" s="32" t="str">
        <f t="shared" si="54"/>
        <v>0.999999999168236+0.0000444172254406184i</v>
      </c>
      <c r="AA64" s="18">
        <f t="shared" si="69"/>
        <v>1.0000000001546809</v>
      </c>
      <c r="AB64" s="18">
        <f t="shared" si="70"/>
        <v>4.4417225448352951E-5</v>
      </c>
      <c r="AC64" s="68" t="str">
        <f t="shared" si="71"/>
        <v>20.8239897543368-2.62883962957785i</v>
      </c>
      <c r="AD64" s="66">
        <f t="shared" si="72"/>
        <v>26.439945619357029</v>
      </c>
      <c r="AE64" s="63">
        <f t="shared" si="73"/>
        <v>-7.1950112777530553</v>
      </c>
      <c r="AF64" s="51" t="e">
        <f t="shared" si="74"/>
        <v>#NUM!</v>
      </c>
      <c r="AG64" s="51" t="str">
        <f t="shared" si="55"/>
        <v>1-0.0776610187109495i</v>
      </c>
      <c r="AH64" s="51">
        <f t="shared" si="75"/>
        <v>1.0030110836013839</v>
      </c>
      <c r="AI64" s="51">
        <f t="shared" si="76"/>
        <v>-7.7505450696641887E-2</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-0.000133283554228113</v>
      </c>
      <c r="AT64" s="32" t="str">
        <f t="shared" si="59"/>
        <v>0.0000110718725675577i</v>
      </c>
      <c r="AU64" s="32">
        <f t="shared" si="84"/>
        <v>1.1071872567557701E-5</v>
      </c>
      <c r="AV64" s="32">
        <f t="shared" si="85"/>
        <v>1.5707963267948966</v>
      </c>
      <c r="AW64" s="32" t="str">
        <f t="shared" si="60"/>
        <v>1+0.00193583485980531i</v>
      </c>
      <c r="AX64" s="32">
        <f t="shared" si="86"/>
        <v>1.0000018737265468</v>
      </c>
      <c r="AY64" s="32">
        <f t="shared" si="87"/>
        <v>1.9358324416583704E-3</v>
      </c>
      <c r="AZ64" s="32" t="str">
        <f t="shared" si="61"/>
        <v>1+0.0288486609595377i</v>
      </c>
      <c r="BA64" s="32">
        <f t="shared" si="88"/>
        <v>1.0004160360765706</v>
      </c>
      <c r="BB64" s="32">
        <f t="shared" si="89"/>
        <v>2.8840661899885649E-2</v>
      </c>
      <c r="BC64" s="60" t="str">
        <f t="shared" si="90"/>
        <v>-0.32397624275323+12.0386589802476i</v>
      </c>
      <c r="BD64" s="51">
        <f t="shared" si="91"/>
        <v>21.614706353038109</v>
      </c>
      <c r="BE64" s="63">
        <f t="shared" si="92"/>
        <v>91.541533176475667</v>
      </c>
      <c r="BF64" s="60" t="str">
        <f t="shared" si="93"/>
        <v>24.9012258545064+251.544592846622i</v>
      </c>
      <c r="BG64" s="66">
        <f t="shared" si="94"/>
        <v>48.054651972395135</v>
      </c>
      <c r="BH64" s="63">
        <f t="shared" si="95"/>
        <v>84.346521898722614</v>
      </c>
      <c r="BI64" s="60" t="e">
        <f t="shared" si="101"/>
        <v>#NUM!</v>
      </c>
      <c r="BJ64" s="66" t="e">
        <f t="shared" si="97"/>
        <v>#NUM!</v>
      </c>
      <c r="BK64" s="63" t="e">
        <f t="shared" si="102"/>
        <v>#NUM!</v>
      </c>
      <c r="BL64" s="51">
        <f t="shared" si="99"/>
        <v>48.054651972395135</v>
      </c>
      <c r="BM64" s="63">
        <f t="shared" si="100"/>
        <v>84.346521898722614</v>
      </c>
    </row>
    <row r="65" spans="1:65" x14ac:dyDescent="0.3">
      <c r="A65" s="70" t="s">
        <v>474</v>
      </c>
      <c r="N65" s="11">
        <v>47</v>
      </c>
      <c r="O65" s="52">
        <f t="shared" si="62"/>
        <v>29.512092266663863</v>
      </c>
      <c r="P65" s="50" t="str">
        <f t="shared" si="50"/>
        <v>21.1560044893378</v>
      </c>
      <c r="Q65" s="18" t="str">
        <f t="shared" si="51"/>
        <v>1+0.129239052237052i</v>
      </c>
      <c r="R65" s="18">
        <f t="shared" si="63"/>
        <v>1.0083167818811365</v>
      </c>
      <c r="S65" s="18">
        <f t="shared" si="64"/>
        <v>0.12852662991847566</v>
      </c>
      <c r="T65" s="18" t="str">
        <f t="shared" si="52"/>
        <v>1+0.000185429944514031i</v>
      </c>
      <c r="U65" s="18">
        <f t="shared" si="65"/>
        <v>1.0000000171921319</v>
      </c>
      <c r="V65" s="18">
        <f t="shared" si="66"/>
        <v>1.8542994238874032E-4</v>
      </c>
      <c r="W65" s="32" t="str">
        <f t="shared" si="53"/>
        <v>1-0.0000832788922403252i</v>
      </c>
      <c r="X65" s="18">
        <f t="shared" si="67"/>
        <v>1.0000000034676868</v>
      </c>
      <c r="Y65" s="18">
        <f t="shared" si="68"/>
        <v>-8.3278892047801781E-5</v>
      </c>
      <c r="Z65" s="32" t="str">
        <f t="shared" si="54"/>
        <v>0.999999999129036+0.0000454518355299393i</v>
      </c>
      <c r="AA65" s="18">
        <f t="shared" si="69"/>
        <v>1.0000000001619707</v>
      </c>
      <c r="AB65" s="18">
        <f t="shared" si="70"/>
        <v>4.5451835538227028E-5</v>
      </c>
      <c r="AC65" s="68" t="str">
        <f t="shared" si="71"/>
        <v>20.808599442213-2.68808414142519i</v>
      </c>
      <c r="AD65" s="66">
        <f t="shared" si="72"/>
        <v>26.436733279888646</v>
      </c>
      <c r="AE65" s="63">
        <f t="shared" si="73"/>
        <v>-7.3607848236585713</v>
      </c>
      <c r="AF65" s="51" t="e">
        <f t="shared" si="74"/>
        <v>#NUM!</v>
      </c>
      <c r="AG65" s="51" t="str">
        <f t="shared" si="55"/>
        <v>1-0.0794699762202991i</v>
      </c>
      <c r="AH65" s="51">
        <f t="shared" si="75"/>
        <v>1.0031527685853512</v>
      </c>
      <c r="AI65" s="51">
        <f t="shared" si="76"/>
        <v>-7.930331037168678E-2</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-0.000133283554228113</v>
      </c>
      <c r="AT65" s="32" t="str">
        <f t="shared" si="59"/>
        <v>0.0000113297696098073i</v>
      </c>
      <c r="AU65" s="32">
        <f t="shared" si="84"/>
        <v>1.1329769609807299E-5</v>
      </c>
      <c r="AV65" s="32">
        <f t="shared" si="85"/>
        <v>1.5707963267948966</v>
      </c>
      <c r="AW65" s="32" t="str">
        <f t="shared" si="60"/>
        <v>1+0.00198092624625157i</v>
      </c>
      <c r="AX65" s="32">
        <f t="shared" si="86"/>
        <v>1.0000019620324718</v>
      </c>
      <c r="AY65" s="32">
        <f t="shared" si="87"/>
        <v>1.9809236551607159E-3</v>
      </c>
      <c r="AZ65" s="32" t="str">
        <f t="shared" si="61"/>
        <v>1+0.0295206325965782i</v>
      </c>
      <c r="BA65" s="32">
        <f t="shared" si="88"/>
        <v>1.000435638983789</v>
      </c>
      <c r="BB65" s="32">
        <f t="shared" si="89"/>
        <v>2.9512061651301779E-2</v>
      </c>
      <c r="BC65" s="60" t="str">
        <f t="shared" si="90"/>
        <v>-0.3239761855353+11.7646545303235i</v>
      </c>
      <c r="BD65" s="51">
        <f t="shared" si="91"/>
        <v>21.414875782236788</v>
      </c>
      <c r="BE65" s="63">
        <f t="shared" si="92"/>
        <v>91.57741801237114</v>
      </c>
      <c r="BF65" s="60" t="str">
        <f t="shared" si="93"/>
        <v>24.8828905986885+245.676858944055i</v>
      </c>
      <c r="BG65" s="66">
        <f t="shared" si="94"/>
        <v>47.851609062125434</v>
      </c>
      <c r="BH65" s="63">
        <f t="shared" si="95"/>
        <v>84.216633188712578</v>
      </c>
      <c r="BI65" s="60" t="e">
        <f t="shared" si="101"/>
        <v>#NUM!</v>
      </c>
      <c r="BJ65" s="66" t="e">
        <f t="shared" si="97"/>
        <v>#NUM!</v>
      </c>
      <c r="BK65" s="63" t="e">
        <f t="shared" si="102"/>
        <v>#NUM!</v>
      </c>
      <c r="BL65" s="51">
        <f t="shared" si="99"/>
        <v>47.851609062125434</v>
      </c>
      <c r="BM65" s="63">
        <f t="shared" si="100"/>
        <v>84.216633188712578</v>
      </c>
    </row>
    <row r="66" spans="1:65" x14ac:dyDescent="0.3">
      <c r="A66" t="s">
        <v>502</v>
      </c>
      <c r="B66" t="e">
        <f>SQRT((2*IOUT*Lm*Fsw*(VOUT-VIN_var)/(VIN_var^2)))</f>
        <v>#NUM!</v>
      </c>
      <c r="E66" t="s">
        <v>503</v>
      </c>
      <c r="N66" s="11">
        <v>48</v>
      </c>
      <c r="O66" s="52">
        <f t="shared" si="62"/>
        <v>30.199517204020164</v>
      </c>
      <c r="P66" s="50" t="str">
        <f t="shared" si="50"/>
        <v>21.1560044893378</v>
      </c>
      <c r="Q66" s="18" t="str">
        <f t="shared" si="51"/>
        <v>1+0.132249416483182i</v>
      </c>
      <c r="R66" s="18">
        <f t="shared" si="63"/>
        <v>1.0087070477398985</v>
      </c>
      <c r="S66" s="18">
        <f t="shared" si="64"/>
        <v>0.13148639764786568</v>
      </c>
      <c r="T66" s="18" t="str">
        <f t="shared" si="52"/>
        <v>1+0.000189749162780217i</v>
      </c>
      <c r="U66" s="18">
        <f t="shared" si="65"/>
        <v>1.0000000180023723</v>
      </c>
      <c r="V66" s="18">
        <f t="shared" si="66"/>
        <v>1.8974916050292699E-4</v>
      </c>
      <c r="W66" s="32" t="str">
        <f t="shared" si="53"/>
        <v>1-0.0000852187068344288i</v>
      </c>
      <c r="X66" s="18">
        <f t="shared" si="67"/>
        <v>1.0000000036311139</v>
      </c>
      <c r="Y66" s="18">
        <f t="shared" si="68"/>
        <v>-8.521870662813625E-5</v>
      </c>
      <c r="Z66" s="32" t="str">
        <f t="shared" si="54"/>
        <v>0.999999999087989+0.0000465105447840842i</v>
      </c>
      <c r="AA66" s="18">
        <f t="shared" si="69"/>
        <v>1.0000000001696041</v>
      </c>
      <c r="AB66" s="18">
        <f t="shared" si="70"/>
        <v>4.6510544792964647E-5</v>
      </c>
      <c r="AC66" s="68" t="str">
        <f t="shared" si="71"/>
        <v>20.7925081814296-2.74856960473319i</v>
      </c>
      <c r="AD66" s="66">
        <f t="shared" si="72"/>
        <v>26.433372092272563</v>
      </c>
      <c r="AE66" s="63">
        <f t="shared" si="73"/>
        <v>-7.5302913526834603</v>
      </c>
      <c r="AF66" s="51" t="e">
        <f t="shared" si="74"/>
        <v>#NUM!</v>
      </c>
      <c r="AG66" s="51" t="str">
        <f t="shared" si="55"/>
        <v>1-0.0813210697629503i</v>
      </c>
      <c r="AH66" s="51">
        <f t="shared" si="75"/>
        <v>1.0033011095316253</v>
      </c>
      <c r="AI66" s="51">
        <f t="shared" si="76"/>
        <v>-8.1142515808448112E-2</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-0.000133283554228113</v>
      </c>
      <c r="AT66" s="32" t="str">
        <f t="shared" si="59"/>
        <v>0.0000115936738458712i</v>
      </c>
      <c r="AU66" s="32">
        <f t="shared" si="84"/>
        <v>1.1593673845871199E-5</v>
      </c>
      <c r="AV66" s="32">
        <f t="shared" si="85"/>
        <v>1.5707963267948966</v>
      </c>
      <c r="AW66" s="32" t="str">
        <f t="shared" si="60"/>
        <v>1+0.00202706794601425i</v>
      </c>
      <c r="AX66" s="32">
        <f t="shared" si="86"/>
        <v>1.0000020545001185</v>
      </c>
      <c r="AY66" s="32">
        <f t="shared" si="87"/>
        <v>2.0270651696106864E-3</v>
      </c>
      <c r="AZ66" s="32" t="str">
        <f t="shared" si="61"/>
        <v>1+0.0302082564637733i</v>
      </c>
      <c r="BA66" s="32">
        <f t="shared" si="88"/>
        <v>1.0004561653358837</v>
      </c>
      <c r="BB66" s="32">
        <f t="shared" si="89"/>
        <v>3.0199072756591609E-2</v>
      </c>
      <c r="BC66" s="60" t="str">
        <f t="shared" si="90"/>
        <v>-0.323976125620797+11.4968878559444i</v>
      </c>
      <c r="BD66" s="51">
        <f t="shared" si="91"/>
        <v>21.215053189239352</v>
      </c>
      <c r="BE66" s="63">
        <f t="shared" si="92"/>
        <v>91.614137135144546</v>
      </c>
      <c r="BF66" s="60" t="str">
        <f t="shared" si="93"/>
        <v>24.8637202673166+239.939605737243i</v>
      </c>
      <c r="BG66" s="66">
        <f t="shared" si="94"/>
        <v>47.648425281511912</v>
      </c>
      <c r="BH66" s="63">
        <f t="shared" si="95"/>
        <v>84.083845782461097</v>
      </c>
      <c r="BI66" s="60" t="e">
        <f t="shared" si="101"/>
        <v>#NUM!</v>
      </c>
      <c r="BJ66" s="66" t="e">
        <f t="shared" si="97"/>
        <v>#NUM!</v>
      </c>
      <c r="BK66" s="63" t="e">
        <f t="shared" si="102"/>
        <v>#NUM!</v>
      </c>
      <c r="BL66" s="51">
        <f t="shared" si="99"/>
        <v>47.648425281511912</v>
      </c>
      <c r="BM66" s="63">
        <f t="shared" si="100"/>
        <v>84.083845782461097</v>
      </c>
    </row>
    <row r="67" spans="1:65" x14ac:dyDescent="0.3">
      <c r="A67" s="32" t="s">
        <v>476</v>
      </c>
      <c r="B67" s="32">
        <f>(Fsw*Gcomp)/((R_cs*Acs*(VIN_var/Lm))+((R_sl+Rsl_int)*Isl))</f>
        <v>2.7264947014036283</v>
      </c>
      <c r="C67" s="32" t="s">
        <v>147</v>
      </c>
      <c r="E67" t="s">
        <v>501</v>
      </c>
      <c r="N67" s="11">
        <v>49</v>
      </c>
      <c r="O67" s="52">
        <f t="shared" si="62"/>
        <v>30.902954325135919</v>
      </c>
      <c r="P67" s="50" t="str">
        <f t="shared" si="50"/>
        <v>21.1560044893378</v>
      </c>
      <c r="Q67" s="18" t="str">
        <f t="shared" si="51"/>
        <v>1+0.135329901120459i</v>
      </c>
      <c r="R67" s="18">
        <f t="shared" si="63"/>
        <v>1.0091155444929352</v>
      </c>
      <c r="S67" s="18">
        <f t="shared" si="64"/>
        <v>0.13451271005837778</v>
      </c>
      <c r="T67" s="18" t="str">
        <f t="shared" si="52"/>
        <v>1+0.000194168988564136i</v>
      </c>
      <c r="U67" s="18">
        <f t="shared" si="65"/>
        <v>1.0000000188507978</v>
      </c>
      <c r="V67" s="18">
        <f t="shared" si="66"/>
        <v>1.9416898612397579E-4</v>
      </c>
      <c r="W67" s="32" t="str">
        <f t="shared" si="53"/>
        <v>1-0.000087203705514899i</v>
      </c>
      <c r="X67" s="18">
        <f t="shared" si="67"/>
        <v>1.000000003802243</v>
      </c>
      <c r="Y67" s="18">
        <f t="shared" si="68"/>
        <v>-8.7203705293852535E-5</v>
      </c>
      <c r="Z67" s="32" t="str">
        <f t="shared" si="54"/>
        <v>0.999999999045007+0.0000475939145447135i</v>
      </c>
      <c r="AA67" s="18">
        <f t="shared" si="69"/>
        <v>1.0000000001775973</v>
      </c>
      <c r="AB67" s="18">
        <f t="shared" si="70"/>
        <v>4.7593914554229084E-5</v>
      </c>
      <c r="AC67" s="68" t="str">
        <f t="shared" si="71"/>
        <v>20.7756852268698-2.81031536654311i</v>
      </c>
      <c r="AD67" s="66">
        <f t="shared" si="72"/>
        <v>26.429855282705748</v>
      </c>
      <c r="AE67" s="63">
        <f t="shared" si="73"/>
        <v>-7.7036088485004566</v>
      </c>
      <c r="AF67" s="51" t="e">
        <f t="shared" si="74"/>
        <v>#NUM!</v>
      </c>
      <c r="AG67" s="51" t="str">
        <f t="shared" si="55"/>
        <v>1-0.0832152808132013i</v>
      </c>
      <c r="AH67" s="51">
        <f t="shared" si="75"/>
        <v>1.0034564180674814</v>
      </c>
      <c r="AI67" s="51">
        <f t="shared" si="76"/>
        <v>-8.3023992378743569E-2</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-0.000133283554228113</v>
      </c>
      <c r="AT67" s="32" t="str">
        <f t="shared" si="59"/>
        <v>0.0000118637252012687i</v>
      </c>
      <c r="AU67" s="32">
        <f t="shared" si="84"/>
        <v>1.1863725201268701E-5</v>
      </c>
      <c r="AV67" s="32">
        <f t="shared" si="85"/>
        <v>1.5707963267948966</v>
      </c>
      <c r="AW67" s="32" t="str">
        <f t="shared" si="60"/>
        <v>1+0.00207428442403332i</v>
      </c>
      <c r="AX67" s="32">
        <f t="shared" si="86"/>
        <v>1.0000021513256219</v>
      </c>
      <c r="AY67" s="32">
        <f t="shared" si="87"/>
        <v>2.0742814490636481E-3</v>
      </c>
      <c r="AZ67" s="32" t="str">
        <f t="shared" si="61"/>
        <v>1+0.030911897148399i</v>
      </c>
      <c r="BA67" s="32">
        <f t="shared" si="88"/>
        <v>1.0004776586137809</v>
      </c>
      <c r="BB67" s="32">
        <f t="shared" si="89"/>
        <v>3.0902056882585075E-2</v>
      </c>
      <c r="BC67" s="60" t="str">
        <f t="shared" si="90"/>
        <v>-0.323976062882631+11.2352169836743i</v>
      </c>
      <c r="BD67" s="51">
        <f t="shared" si="91"/>
        <v>21.015238949338965</v>
      </c>
      <c r="BE67" s="63">
        <f t="shared" si="92"/>
        <v>91.651709865091689</v>
      </c>
      <c r="BF67" s="60" t="str">
        <f t="shared" si="93"/>
        <v>24.8436782321759+234.32980641631i</v>
      </c>
      <c r="BG67" s="66">
        <f t="shared" si="94"/>
        <v>47.44509423204471</v>
      </c>
      <c r="BH67" s="63">
        <f t="shared" si="95"/>
        <v>83.948101016591238</v>
      </c>
      <c r="BI67" s="60" t="e">
        <f t="shared" si="101"/>
        <v>#NUM!</v>
      </c>
      <c r="BJ67" s="66" t="e">
        <f t="shared" si="97"/>
        <v>#NUM!</v>
      </c>
      <c r="BK67" s="63" t="e">
        <f t="shared" si="102"/>
        <v>#NUM!</v>
      </c>
      <c r="BL67" s="51">
        <f t="shared" si="99"/>
        <v>47.44509423204471</v>
      </c>
      <c r="BM67" s="63">
        <f t="shared" si="100"/>
        <v>83.948101016591238</v>
      </c>
    </row>
    <row r="68" spans="1:65" x14ac:dyDescent="0.3">
      <c r="A68" s="32" t="s">
        <v>475</v>
      </c>
      <c r="B68" s="32" t="e">
        <f>(B67*2*VOUT/DC_VIN_var_DCM)*(((VOUT/VIN_var)-1)/((2*VOUT/VIN_var)-1))</f>
        <v>#NUM!</v>
      </c>
      <c r="C68" s="32" t="s">
        <v>147</v>
      </c>
      <c r="N68" s="11">
        <v>50</v>
      </c>
      <c r="O68" s="52">
        <f t="shared" si="62"/>
        <v>31.622776601683803</v>
      </c>
      <c r="P68" s="50" t="str">
        <f t="shared" si="50"/>
        <v>21.1560044893378</v>
      </c>
      <c r="Q68" s="18" t="str">
        <f t="shared" si="51"/>
        <v>1+0.138482139462613i</v>
      </c>
      <c r="R68" s="18">
        <f t="shared" si="63"/>
        <v>1.0095431159441099</v>
      </c>
      <c r="S68" s="18">
        <f t="shared" si="64"/>
        <v>0.13760694989021155</v>
      </c>
      <c r="T68" s="18" t="str">
        <f t="shared" si="52"/>
        <v>1+0.000198691765315922i</v>
      </c>
      <c r="U68" s="18">
        <f t="shared" si="65"/>
        <v>1.0000000197392087</v>
      </c>
      <c r="V68" s="18">
        <f t="shared" si="66"/>
        <v>1.9869176270124323E-4</v>
      </c>
      <c r="W68" s="32" t="str">
        <f t="shared" si="53"/>
        <v>1-0.0000892349407543106i</v>
      </c>
      <c r="X68" s="18">
        <f t="shared" si="67"/>
        <v>1.0000000039814372</v>
      </c>
      <c r="Y68" s="18">
        <f t="shared" si="68"/>
        <v>-8.9234940517455048E-5</v>
      </c>
      <c r="Z68" s="32" t="str">
        <f t="shared" si="54"/>
        <v>0.999999999+0.0000487025192288144i</v>
      </c>
      <c r="AA68" s="18">
        <f t="shared" si="69"/>
        <v>1.0000000001859675</v>
      </c>
      <c r="AB68" s="18">
        <f t="shared" si="70"/>
        <v>4.8702519239010507E-5</v>
      </c>
      <c r="AC68" s="68" t="str">
        <f t="shared" si="71"/>
        <v>20.7580985963746-2.87334058646652i</v>
      </c>
      <c r="AD68" s="66">
        <f t="shared" si="72"/>
        <v>26.426175780787567</v>
      </c>
      <c r="AE68" s="63">
        <f t="shared" si="73"/>
        <v>-7.8808164952313513</v>
      </c>
      <c r="AF68" s="51" t="e">
        <f t="shared" si="74"/>
        <v>#NUM!</v>
      </c>
      <c r="AG68" s="51" t="str">
        <f t="shared" si="55"/>
        <v>1-0.0851536137068238i</v>
      </c>
      <c r="AH68" s="51">
        <f t="shared" si="75"/>
        <v>1.0036190203096647</v>
      </c>
      <c r="AI68" s="51">
        <f t="shared" si="76"/>
        <v>-8.4948684353962536E-2</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-0.000133283554228113</v>
      </c>
      <c r="AT68" s="32" t="str">
        <f t="shared" si="59"/>
        <v>0.0000121400668608028i</v>
      </c>
      <c r="AU68" s="32">
        <f t="shared" si="84"/>
        <v>1.2140066860802801E-5</v>
      </c>
      <c r="AV68" s="32">
        <f t="shared" si="85"/>
        <v>1.5707963267948966</v>
      </c>
      <c r="AW68" s="32" t="str">
        <f t="shared" si="60"/>
        <v>1+0.00212260071511042i</v>
      </c>
      <c r="AX68" s="32">
        <f t="shared" si="86"/>
        <v>1.0000022527143606</v>
      </c>
      <c r="AY68" s="32">
        <f t="shared" si="87"/>
        <v>2.1225975273733719E-3</v>
      </c>
      <c r="AZ68" s="32" t="str">
        <f t="shared" si="61"/>
        <v>1+0.0316319277300601i</v>
      </c>
      <c r="BA68" s="32">
        <f t="shared" si="88"/>
        <v>1.0005001643437745</v>
      </c>
      <c r="BB68" s="32">
        <f t="shared" si="89"/>
        <v>3.1621383979937953E-2</v>
      </c>
      <c r="BC68" s="60" t="str">
        <f t="shared" si="90"/>
        <v>-0.323975997187734+10.9795031721524i</v>
      </c>
      <c r="BD68" s="51">
        <f t="shared" si="91"/>
        <v>20.815433455449664</v>
      </c>
      <c r="BE68" s="63">
        <f t="shared" si="92"/>
        <v>91.690155964489634</v>
      </c>
      <c r="BF68" s="60" t="str">
        <f t="shared" si="93"/>
        <v>24.8227263913016+228.844502768508i</v>
      </c>
      <c r="BG68" s="66">
        <f t="shared" si="94"/>
        <v>47.241609236237245</v>
      </c>
      <c r="BH68" s="63">
        <f t="shared" si="95"/>
        <v>83.809339469258305</v>
      </c>
      <c r="BI68" s="60" t="e">
        <f t="shared" si="101"/>
        <v>#NUM!</v>
      </c>
      <c r="BJ68" s="66" t="e">
        <f t="shared" si="97"/>
        <v>#NUM!</v>
      </c>
      <c r="BK68" s="63" t="e">
        <f t="shared" si="102"/>
        <v>#NUM!</v>
      </c>
      <c r="BL68" s="51">
        <f t="shared" si="99"/>
        <v>47.241609236237245</v>
      </c>
      <c r="BM68" s="63">
        <f t="shared" si="100"/>
        <v>83.809339469258305</v>
      </c>
    </row>
    <row r="69" spans="1:65" x14ac:dyDescent="0.3">
      <c r="A69" s="32" t="s">
        <v>505</v>
      </c>
      <c r="B69" s="32">
        <f>(IOUT_VAR*((2*VOUT)-VIN_var))/(Cout*VOUT*(VOUT-VIN_var))</f>
        <v>-2333.3333333333335</v>
      </c>
      <c r="C69" s="32" t="s">
        <v>392</v>
      </c>
      <c r="N69" s="11">
        <v>51</v>
      </c>
      <c r="O69" s="52">
        <f t="shared" si="62"/>
        <v>32.359365692962832</v>
      </c>
      <c r="P69" s="50" t="str">
        <f t="shared" si="50"/>
        <v>21.1560044893378</v>
      </c>
      <c r="Q69" s="18" t="str">
        <f t="shared" si="51"/>
        <v>1+0.141707802868137i</v>
      </c>
      <c r="R69" s="18">
        <f t="shared" si="63"/>
        <v>1.0099906442109823</v>
      </c>
      <c r="S69" s="18">
        <f t="shared" si="64"/>
        <v>0.14077052062353781</v>
      </c>
      <c r="T69" s="18" t="str">
        <f t="shared" si="52"/>
        <v>1+0.000203319891071675i</v>
      </c>
      <c r="U69" s="18">
        <f t="shared" si="65"/>
        <v>1.0000000206694888</v>
      </c>
      <c r="V69" s="18">
        <f t="shared" si="66"/>
        <v>2.0331988826999622E-4</v>
      </c>
      <c r="W69" s="32" t="str">
        <f t="shared" si="53"/>
        <v>1-0.0000913134895404742i</v>
      </c>
      <c r="X69" s="18">
        <f t="shared" si="67"/>
        <v>1.0000000041690766</v>
      </c>
      <c r="Y69" s="18">
        <f t="shared" si="68"/>
        <v>-9.1313489286678906E-5</v>
      </c>
      <c r="Z69" s="32" t="str">
        <f t="shared" si="54"/>
        <v>0.999999998952872+0.0000498369466332644i</v>
      </c>
      <c r="AA69" s="18">
        <f t="shared" si="69"/>
        <v>1.0000000001947325</v>
      </c>
      <c r="AB69" s="18">
        <f t="shared" si="70"/>
        <v>4.9836946644189701E-5</v>
      </c>
      <c r="AC69" s="68" t="str">
        <f t="shared" si="71"/>
        <v>20.7397150316063-2.93766419199585i</v>
      </c>
      <c r="AD69" s="66">
        <f t="shared" si="72"/>
        <v>26.422326207635397</v>
      </c>
      <c r="AE69" s="63">
        <f t="shared" si="73"/>
        <v>-8.0619946643543567</v>
      </c>
      <c r="AF69" s="51" t="e">
        <f t="shared" si="74"/>
        <v>#NUM!</v>
      </c>
      <c r="AG69" s="51" t="str">
        <f t="shared" si="55"/>
        <v>1-0.0871370961735751i</v>
      </c>
      <c r="AH69" s="51">
        <f t="shared" si="75"/>
        <v>1.003789257528473</v>
      </c>
      <c r="AI69" s="51">
        <f t="shared" si="76"/>
        <v>-8.6917555160319876E-2</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-0.000133283554228113</v>
      </c>
      <c r="AT69" s="32" t="str">
        <f t="shared" si="59"/>
        <v>0.0000124228453444794i</v>
      </c>
      <c r="AU69" s="32">
        <f t="shared" si="84"/>
        <v>1.24228453444794E-5</v>
      </c>
      <c r="AV69" s="32">
        <f t="shared" si="85"/>
        <v>1.5707963267948966</v>
      </c>
      <c r="AW69" s="32" t="str">
        <f t="shared" si="60"/>
        <v>1+0.0021720424371826i</v>
      </c>
      <c r="AX69" s="32">
        <f t="shared" si="86"/>
        <v>1.0000023588813922</v>
      </c>
      <c r="AY69" s="32">
        <f t="shared" si="87"/>
        <v>2.1720390214612479E-3</v>
      </c>
      <c r="AZ69" s="32" t="str">
        <f t="shared" si="61"/>
        <v>1+0.0323687299785017i</v>
      </c>
      <c r="BA69" s="32">
        <f t="shared" si="88"/>
        <v>1.0005237301935528</v>
      </c>
      <c r="BB69" s="32">
        <f t="shared" si="89"/>
        <v>3.2357432466075871E-2</v>
      </c>
      <c r="BC69" s="60" t="str">
        <f t="shared" si="90"/>
        <v>-0.323975928396758+10.72961083853i</v>
      </c>
      <c r="BD69" s="51">
        <f t="shared" si="91"/>
        <v>20.615637118929946</v>
      </c>
      <c r="BE69" s="63">
        <f t="shared" si="92"/>
        <v>91.729495647318288</v>
      </c>
      <c r="BF69" s="60" t="str">
        <f t="shared" si="93"/>
        <v>24.8008251223513+223.480803675066i</v>
      </c>
      <c r="BG69" s="66">
        <f t="shared" si="94"/>
        <v>47.037963326565333</v>
      </c>
      <c r="BH69" s="63">
        <f t="shared" si="95"/>
        <v>83.667500982963915</v>
      </c>
      <c r="BI69" s="60" t="e">
        <f t="shared" si="101"/>
        <v>#NUM!</v>
      </c>
      <c r="BJ69" s="66" t="e">
        <f t="shared" si="97"/>
        <v>#NUM!</v>
      </c>
      <c r="BK69" s="63" t="e">
        <f t="shared" si="102"/>
        <v>#NUM!</v>
      </c>
      <c r="BL69" s="51">
        <f t="shared" si="99"/>
        <v>47.037963326565333</v>
      </c>
      <c r="BM69" s="63">
        <f t="shared" si="100"/>
        <v>83.667500982963915</v>
      </c>
    </row>
    <row r="70" spans="1:65" x14ac:dyDescent="0.3">
      <c r="A70" s="32"/>
      <c r="B70" s="32">
        <f>B69/(2*PI())</f>
        <v>-371.36153388108914</v>
      </c>
      <c r="C70" s="32" t="s">
        <v>67</v>
      </c>
      <c r="N70" s="11">
        <v>52</v>
      </c>
      <c r="O70" s="52">
        <f t="shared" si="62"/>
        <v>33.113112148259127</v>
      </c>
      <c r="P70" s="50" t="str">
        <f t="shared" si="50"/>
        <v>21.1560044893378</v>
      </c>
      <c r="Q70" s="18" t="str">
        <f t="shared" si="51"/>
        <v>1+0.145008601626468i</v>
      </c>
      <c r="R70" s="18">
        <f t="shared" si="63"/>
        <v>1.0104590513947924</v>
      </c>
      <c r="S70" s="18">
        <f t="shared" si="64"/>
        <v>0.14400484619992845</v>
      </c>
      <c r="T70" s="18" t="str">
        <f t="shared" si="52"/>
        <v>1+0.000208055819724932i</v>
      </c>
      <c r="U70" s="18">
        <f t="shared" si="65"/>
        <v>1.0000000216436118</v>
      </c>
      <c r="V70" s="18">
        <f t="shared" si="66"/>
        <v>2.0805581672287909E-4</v>
      </c>
      <c r="W70" s="32" t="str">
        <f t="shared" si="53"/>
        <v>1-0.0000934404539474695i</v>
      </c>
      <c r="X70" s="18">
        <f t="shared" si="67"/>
        <v>1.0000000043655592</v>
      </c>
      <c r="Y70" s="18">
        <f t="shared" si="68"/>
        <v>-9.3440453675522944E-5</v>
      </c>
      <c r="Z70" s="32" t="str">
        <f t="shared" si="54"/>
        <v>0.999999998903522+0.0000509977982464895i</v>
      </c>
      <c r="AA70" s="18">
        <f t="shared" si="69"/>
        <v>1.0000000002039096</v>
      </c>
      <c r="AB70" s="18">
        <f t="shared" si="70"/>
        <v>5.0997798258196191E-5</v>
      </c>
      <c r="AC70" s="68" t="str">
        <f t="shared" si="71"/>
        <v>20.7204999587344-3.00330483049726i</v>
      </c>
      <c r="AD70" s="66">
        <f t="shared" si="72"/>
        <v>26.418298863628969</v>
      </c>
      <c r="AE70" s="63">
        <f t="shared" si="73"/>
        <v>-8.2472248987211128</v>
      </c>
      <c r="AF70" s="51" t="e">
        <f t="shared" si="74"/>
        <v>#NUM!</v>
      </c>
      <c r="AG70" s="51" t="str">
        <f t="shared" si="55"/>
        <v>1-0.0891667798821139i</v>
      </c>
      <c r="AH70" s="51">
        <f t="shared" si="75"/>
        <v>1.0039674868413546</v>
      </c>
      <c r="AI70" s="51">
        <f t="shared" si="76"/>
        <v>-8.8931587627415778E-2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-0.000133283554228113</v>
      </c>
      <c r="AT70" s="32" t="str">
        <f t="shared" si="59"/>
        <v>0.0000127122105851933i</v>
      </c>
      <c r="AU70" s="32">
        <f t="shared" si="84"/>
        <v>1.27122105851933E-5</v>
      </c>
      <c r="AV70" s="32">
        <f t="shared" si="85"/>
        <v>1.5707963267948966</v>
      </c>
      <c r="AW70" s="32" t="str">
        <f t="shared" si="60"/>
        <v>1+0.00222263580490538i</v>
      </c>
      <c r="AX70" s="32">
        <f t="shared" si="86"/>
        <v>1.0000024700519099</v>
      </c>
      <c r="AY70" s="32">
        <f t="shared" si="87"/>
        <v>2.2226321448944979E-3</v>
      </c>
      <c r="AZ70" s="32" t="str">
        <f t="shared" si="61"/>
        <v>1+0.0331226945560289i</v>
      </c>
      <c r="BA70" s="32">
        <f t="shared" si="88"/>
        <v>1.0005484060727157</v>
      </c>
      <c r="BB70" s="32">
        <f t="shared" si="89"/>
        <v>3.311058941168863E-2</v>
      </c>
      <c r="BC70" s="60" t="str">
        <f t="shared" si="90"/>
        <v>-0.323975856363798+10.4854074865835i</v>
      </c>
      <c r="BD70" s="51">
        <f t="shared" si="91"/>
        <v>20.415850370445689</v>
      </c>
      <c r="BE70" s="63">
        <f t="shared" si="92"/>
        <v>91.769749589167731</v>
      </c>
      <c r="BF70" s="60" t="str">
        <f t="shared" si="93"/>
        <v>24.7779332357713+218.235883647449i</v>
      </c>
      <c r="BG70" s="66">
        <f t="shared" si="94"/>
        <v>46.834149234074673</v>
      </c>
      <c r="BH70" s="63">
        <f t="shared" si="95"/>
        <v>83.522524690446645</v>
      </c>
      <c r="BI70" s="60" t="e">
        <f t="shared" si="101"/>
        <v>#NUM!</v>
      </c>
      <c r="BJ70" s="66" t="e">
        <f t="shared" si="97"/>
        <v>#NUM!</v>
      </c>
      <c r="BK70" s="63" t="e">
        <f t="shared" si="102"/>
        <v>#NUM!</v>
      </c>
      <c r="BL70" s="51">
        <f t="shared" si="99"/>
        <v>46.834149234074673</v>
      </c>
      <c r="BM70" s="63">
        <f t="shared" si="100"/>
        <v>83.522524690446645</v>
      </c>
    </row>
    <row r="71" spans="1:65" x14ac:dyDescent="0.3">
      <c r="A71" s="32" t="s">
        <v>478</v>
      </c>
      <c r="B71" s="32">
        <f>1/(Cout*Resr)</f>
        <v>1000000</v>
      </c>
      <c r="C71" s="32" t="s">
        <v>392</v>
      </c>
      <c r="N71" s="11">
        <v>53</v>
      </c>
      <c r="O71" s="52">
        <f t="shared" si="62"/>
        <v>33.884415613920268</v>
      </c>
      <c r="P71" s="50" t="str">
        <f t="shared" si="50"/>
        <v>21.1560044893378</v>
      </c>
      <c r="Q71" s="18" t="str">
        <f t="shared" si="51"/>
        <v>1+0.148386285864796i</v>
      </c>
      <c r="R71" s="18">
        <f t="shared" si="63"/>
        <v>1.0109493013167123</v>
      </c>
      <c r="S71" s="18">
        <f t="shared" si="64"/>
        <v>0.14731137068961495</v>
      </c>
      <c r="T71" s="18" t="str">
        <f t="shared" si="52"/>
        <v>1+0.00021290206232775i</v>
      </c>
      <c r="U71" s="18">
        <f t="shared" si="65"/>
        <v>1.0000000226636439</v>
      </c>
      <c r="V71" s="18">
        <f t="shared" si="66"/>
        <v>2.1290205911099239E-4</v>
      </c>
      <c r="W71" s="32" t="str">
        <f t="shared" si="53"/>
        <v>1-0.0000956169617199777i</v>
      </c>
      <c r="X71" s="18">
        <f t="shared" si="67"/>
        <v>1.0000000045713016</v>
      </c>
      <c r="Y71" s="18">
        <f t="shared" si="68"/>
        <v>-9.5616961428581713E-5</v>
      </c>
      <c r="Z71" s="32" t="str">
        <f t="shared" si="54"/>
        <v>0.999999998851846+0.0000521856895673803i</v>
      </c>
      <c r="AA71" s="18">
        <f t="shared" si="69"/>
        <v>1.000000000213519</v>
      </c>
      <c r="AB71" s="18">
        <f t="shared" si="70"/>
        <v>5.2185689579924273E-5</v>
      </c>
      <c r="AC71" s="68" t="str">
        <f t="shared" si="71"/>
        <v>20.7004174490721-3.07028081771231i</v>
      </c>
      <c r="AD71" s="66">
        <f t="shared" si="72"/>
        <v>26.414085715782708</v>
      </c>
      <c r="AE71" s="63">
        <f t="shared" si="73"/>
        <v>-8.4365898934690389</v>
      </c>
      <c r="AF71" s="51" t="e">
        <f t="shared" si="74"/>
        <v>#NUM!</v>
      </c>
      <c r="AG71" s="51" t="str">
        <f t="shared" si="55"/>
        <v>1-0.0912437409976073i</v>
      </c>
      <c r="AH71" s="51">
        <f t="shared" si="75"/>
        <v>1.0041540819372485</v>
      </c>
      <c r="AI71" s="51">
        <f t="shared" si="76"/>
        <v>-9.0991784229110556E-2</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-0.000133283554228113</v>
      </c>
      <c r="AT71" s="32" t="str">
        <f t="shared" si="59"/>
        <v>0.0000130083160082255i</v>
      </c>
      <c r="AU71" s="32">
        <f t="shared" si="84"/>
        <v>1.3008316008225501E-5</v>
      </c>
      <c r="AV71" s="32">
        <f t="shared" si="85"/>
        <v>1.5707963267948966</v>
      </c>
      <c r="AW71" s="32" t="str">
        <f t="shared" si="60"/>
        <v>1+0.00227440764355196i</v>
      </c>
      <c r="AX71" s="32">
        <f t="shared" si="86"/>
        <v>1.0000025864617197</v>
      </c>
      <c r="AY71" s="32">
        <f t="shared" si="87"/>
        <v>2.2744037217801907E-3</v>
      </c>
      <c r="AZ71" s="32" t="str">
        <f t="shared" si="61"/>
        <v>1+0.0338942212246401i</v>
      </c>
      <c r="BA71" s="32">
        <f t="shared" si="88"/>
        <v>1.0005742442379899</v>
      </c>
      <c r="BB71" s="32">
        <f t="shared" si="89"/>
        <v>3.3881250730805279E-2</v>
      </c>
      <c r="BC71" s="60" t="str">
        <f t="shared" si="90"/>
        <v>-0.323975780936063+10.2467636364619i</v>
      </c>
      <c r="BD71" s="51">
        <f t="shared" si="91"/>
        <v>20.216073660871373</v>
      </c>
      <c r="BE71" s="63">
        <f t="shared" si="92"/>
        <v>91.810938937332836</v>
      </c>
      <c r="BF71" s="60" t="str">
        <f t="shared" si="93"/>
        <v>24.7540079278954+213.106981402345i</v>
      </c>
      <c r="BG71" s="66">
        <f t="shared" si="94"/>
        <v>46.630159376654092</v>
      </c>
      <c r="BH71" s="63">
        <f t="shared" si="95"/>
        <v>83.374349043863802</v>
      </c>
      <c r="BI71" s="60" t="e">
        <f t="shared" si="101"/>
        <v>#NUM!</v>
      </c>
      <c r="BJ71" s="66" t="e">
        <f t="shared" si="97"/>
        <v>#NUM!</v>
      </c>
      <c r="BK71" s="63" t="e">
        <f t="shared" si="102"/>
        <v>#NUM!</v>
      </c>
      <c r="BL71" s="51">
        <f t="shared" si="99"/>
        <v>46.630159376654092</v>
      </c>
      <c r="BM71" s="63">
        <f t="shared" si="100"/>
        <v>83.374349043863802</v>
      </c>
    </row>
    <row r="72" spans="1:65" x14ac:dyDescent="0.3">
      <c r="A72" s="32"/>
      <c r="B72" s="32">
        <f>B71/(2*PI())</f>
        <v>159154.94309189534</v>
      </c>
      <c r="C72" s="32" t="s">
        <v>67</v>
      </c>
      <c r="N72" s="11">
        <v>54</v>
      </c>
      <c r="O72" s="52">
        <f t="shared" si="62"/>
        <v>34.67368504525318</v>
      </c>
      <c r="P72" s="50" t="str">
        <f t="shared" si="50"/>
        <v>21.1560044893378</v>
      </c>
      <c r="Q72" s="18" t="str">
        <f t="shared" si="51"/>
        <v>1+0.151842646476014i</v>
      </c>
      <c r="R72" s="18">
        <f t="shared" si="63"/>
        <v>1.0114624013223821</v>
      </c>
      <c r="S72" s="18">
        <f t="shared" si="64"/>
        <v>0.15069155790070998</v>
      </c>
      <c r="T72" s="18" t="str">
        <f t="shared" si="52"/>
        <v>1+0.000217861188422107i</v>
      </c>
      <c r="U72" s="18">
        <f t="shared" si="65"/>
        <v>1.0000000237317483</v>
      </c>
      <c r="V72" s="18">
        <f t="shared" si="66"/>
        <v>2.1786118497528912E-4</v>
      </c>
      <c r="W72" s="32" t="str">
        <f t="shared" si="53"/>
        <v>1-0.0000978441668712303i</v>
      </c>
      <c r="X72" s="18">
        <f t="shared" si="67"/>
        <v>1.0000000047867403</v>
      </c>
      <c r="Y72" s="18">
        <f t="shared" si="68"/>
        <v>-9.7844166558993886E-5</v>
      </c>
      <c r="Z72" s="32" t="str">
        <f t="shared" si="54"/>
        <v>0.999999998797736+0.0000534012504316391i</v>
      </c>
      <c r="AA72" s="18">
        <f t="shared" si="69"/>
        <v>1.0000000002235827</v>
      </c>
      <c r="AB72" s="18">
        <f t="shared" si="70"/>
        <v>5.3401250445080167E-5</v>
      </c>
      <c r="AC72" s="68" t="str">
        <f t="shared" si="71"/>
        <v>20.6794301798062-3.13861008259264i</v>
      </c>
      <c r="AD72" s="66">
        <f t="shared" si="72"/>
        <v>26.409678384746108</v>
      </c>
      <c r="AE72" s="63">
        <f t="shared" si="73"/>
        <v>-8.6301734736082025</v>
      </c>
      <c r="AF72" s="51" t="e">
        <f t="shared" si="74"/>
        <v>#NUM!</v>
      </c>
      <c r="AG72" s="51" t="str">
        <f t="shared" si="55"/>
        <v>1-0.0933690807523317i</v>
      </c>
      <c r="AH72" s="51">
        <f t="shared" si="75"/>
        <v>1.0043494338329342</v>
      </c>
      <c r="AI72" s="51">
        <f t="shared" si="76"/>
        <v>-9.3099167315657219E-2</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-0.000133283554228113</v>
      </c>
      <c r="AT72" s="32" t="str">
        <f t="shared" si="59"/>
        <v>0.0000133113186125908i</v>
      </c>
      <c r="AU72" s="32">
        <f t="shared" si="84"/>
        <v>1.3311318612590801E-5</v>
      </c>
      <c r="AV72" s="32">
        <f t="shared" si="85"/>
        <v>1.5707963267948966</v>
      </c>
      <c r="AW72" s="32" t="str">
        <f t="shared" si="60"/>
        <v>1+0.0023273854032365i</v>
      </c>
      <c r="AX72" s="32">
        <f t="shared" si="86"/>
        <v>1.0000027083577401</v>
      </c>
      <c r="AY72" s="32">
        <f t="shared" si="87"/>
        <v>2.3273812009829533E-3</v>
      </c>
      <c r="AZ72" s="32" t="str">
        <f t="shared" si="61"/>
        <v>1+0.0346837190579878i</v>
      </c>
      <c r="BA72" s="32">
        <f t="shared" si="88"/>
        <v>1.0006012994033606</v>
      </c>
      <c r="BB72" s="32">
        <f t="shared" si="89"/>
        <v>3.4669821374483385E-2</v>
      </c>
      <c r="BC72" s="60" t="str">
        <f t="shared" si="90"/>
        <v>-0.323975701953561+10.0135527560362i</v>
      </c>
      <c r="BD72" s="51">
        <f t="shared" si="91"/>
        <v>20.016307462235204</v>
      </c>
      <c r="BE72" s="63">
        <f t="shared" si="92"/>
        <v>91.853085321095918</v>
      </c>
      <c r="BF72" s="60" t="str">
        <f t="shared" si="93"/>
        <v>24.7290047341662+208.091398474923i</v>
      </c>
      <c r="BG72" s="66">
        <f t="shared" si="94"/>
        <v>46.425985846981312</v>
      </c>
      <c r="BH72" s="63">
        <f t="shared" si="95"/>
        <v>83.222911847487723</v>
      </c>
      <c r="BI72" s="60" t="e">
        <f t="shared" si="101"/>
        <v>#NUM!</v>
      </c>
      <c r="BJ72" s="66" t="e">
        <f t="shared" si="97"/>
        <v>#NUM!</v>
      </c>
      <c r="BK72" s="63" t="e">
        <f t="shared" si="102"/>
        <v>#NUM!</v>
      </c>
      <c r="BL72" s="51">
        <f t="shared" si="99"/>
        <v>46.425985846981312</v>
      </c>
      <c r="BM72" s="63">
        <f t="shared" si="100"/>
        <v>83.222911847487723</v>
      </c>
    </row>
    <row r="73" spans="1:65" x14ac:dyDescent="0.3">
      <c r="A73" s="32" t="s">
        <v>479</v>
      </c>
      <c r="B73" s="32" t="e">
        <f>2*Fsw/(DC_VIN_var_DCM)</f>
        <v>#NUM!</v>
      </c>
      <c r="C73" s="32" t="s">
        <v>392</v>
      </c>
      <c r="N73" s="11">
        <v>55</v>
      </c>
      <c r="O73" s="52">
        <f t="shared" si="62"/>
        <v>35.481338923357555</v>
      </c>
      <c r="P73" s="50" t="str">
        <f t="shared" si="50"/>
        <v>21.1560044893378</v>
      </c>
      <c r="Q73" s="18" t="str">
        <f t="shared" si="51"/>
        <v>1+0.155379516068269i</v>
      </c>
      <c r="R73" s="18">
        <f t="shared" si="63"/>
        <v>1.0119994041567462</v>
      </c>
      <c r="S73" s="18">
        <f t="shared" si="64"/>
        <v>0.15414689092626996</v>
      </c>
      <c r="T73" s="18" t="str">
        <f t="shared" si="52"/>
        <v>1+0.000222935827402299i</v>
      </c>
      <c r="U73" s="18">
        <f t="shared" si="65"/>
        <v>1.0000000248501912</v>
      </c>
      <c r="V73" s="18">
        <f t="shared" si="66"/>
        <v>2.2293582370896709E-4</v>
      </c>
      <c r="W73" s="32" t="str">
        <f t="shared" si="53"/>
        <v>1-0.000100123250294879i</v>
      </c>
      <c r="X73" s="18">
        <f t="shared" si="67"/>
        <v>1.0000000050123325</v>
      </c>
      <c r="Y73" s="18">
        <f t="shared" si="68"/>
        <v>-1.0012324996031165E-4</v>
      </c>
      <c r="Z73" s="32" t="str">
        <f t="shared" si="54"/>
        <v>0.999999998741075+0.0000546451253457259i</v>
      </c>
      <c r="AA73" s="18">
        <f t="shared" si="69"/>
        <v>1.0000000002341198</v>
      </c>
      <c r="AB73" s="18">
        <f t="shared" si="70"/>
        <v>5.4645125360128266E-5</v>
      </c>
      <c r="AC73" s="68" t="str">
        <f t="shared" si="71"/>
        <v>20.65749939498-3.20831010828682i</v>
      </c>
      <c r="AD73" s="66">
        <f t="shared" si="72"/>
        <v>26.40506813143368</v>
      </c>
      <c r="AE73" s="63">
        <f t="shared" si="73"/>
        <v>-8.8280605680459132</v>
      </c>
      <c r="AF73" s="51" t="e">
        <f t="shared" si="74"/>
        <v>#NUM!</v>
      </c>
      <c r="AG73" s="51" t="str">
        <f t="shared" si="55"/>
        <v>1-0.0955439260295569i</v>
      </c>
      <c r="AH73" s="51">
        <f t="shared" si="75"/>
        <v>1.0045539516626976</v>
      </c>
      <c r="AI73" s="51">
        <f t="shared" si="76"/>
        <v>-9.525477933593586E-2</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-0.000133283554228113</v>
      </c>
      <c r="AT73" s="32" t="str">
        <f t="shared" si="59"/>
        <v>0.0000136213790542805i</v>
      </c>
      <c r="AU73" s="32">
        <f t="shared" si="84"/>
        <v>1.3621379054280499E-5</v>
      </c>
      <c r="AV73" s="32">
        <f t="shared" si="85"/>
        <v>1.5707963267948966</v>
      </c>
      <c r="AW73" s="32" t="str">
        <f t="shared" si="60"/>
        <v>1+0.00238159717346843i</v>
      </c>
      <c r="AX73" s="32">
        <f t="shared" si="86"/>
        <v>1.0000028359985269</v>
      </c>
      <c r="AY73" s="32">
        <f t="shared" si="87"/>
        <v>2.3815926706733186E-3</v>
      </c>
      <c r="AZ73" s="32" t="str">
        <f t="shared" si="61"/>
        <v>1+0.0354916066582734i</v>
      </c>
      <c r="BA73" s="32">
        <f t="shared" si="88"/>
        <v>1.0006296288553451</v>
      </c>
      <c r="BB73" s="32">
        <f t="shared" si="89"/>
        <v>3.5476715528133355E-2</v>
      </c>
      <c r="BC73" s="60" t="str">
        <f t="shared" si="90"/>
        <v>-0.323975619248775+9.78565119380943i</v>
      </c>
      <c r="BD73" s="51">
        <f t="shared" si="91"/>
        <v>19.816552268705994</v>
      </c>
      <c r="BE73" s="63">
        <f t="shared" si="92"/>
        <v>91.896210862199396</v>
      </c>
      <c r="BF73" s="60" t="str">
        <f t="shared" si="93"/>
        <v>24.7028774826479+203.186497869678i</v>
      </c>
      <c r="BG73" s="66">
        <f t="shared" si="94"/>
        <v>46.221620400139678</v>
      </c>
      <c r="BH73" s="63">
        <f t="shared" si="95"/>
        <v>83.068150294153497</v>
      </c>
      <c r="BI73" s="60" t="e">
        <f t="shared" si="101"/>
        <v>#NUM!</v>
      </c>
      <c r="BJ73" s="66" t="e">
        <f t="shared" si="97"/>
        <v>#NUM!</v>
      </c>
      <c r="BK73" s="63" t="e">
        <f t="shared" si="102"/>
        <v>#NUM!</v>
      </c>
      <c r="BL73" s="51">
        <f t="shared" si="99"/>
        <v>46.221620400139678</v>
      </c>
      <c r="BM73" s="63">
        <f t="shared" si="100"/>
        <v>83.068150294153497</v>
      </c>
    </row>
    <row r="74" spans="1:65" x14ac:dyDescent="0.3">
      <c r="A74" s="32"/>
      <c r="B74" s="32" t="e">
        <f>B73/(2*PI())</f>
        <v>#NUM!</v>
      </c>
      <c r="C74" s="32" t="s">
        <v>67</v>
      </c>
      <c r="N74" s="11">
        <v>56</v>
      </c>
      <c r="O74" s="52">
        <f t="shared" si="62"/>
        <v>36.307805477010156</v>
      </c>
      <c r="P74" s="50" t="str">
        <f t="shared" si="50"/>
        <v>21.1560044893378</v>
      </c>
      <c r="Q74" s="18" t="str">
        <f t="shared" si="51"/>
        <v>1+0.158998769936635i</v>
      </c>
      <c r="R74" s="18">
        <f t="shared" si="63"/>
        <v>1.0125614099112028</v>
      </c>
      <c r="S74" s="18">
        <f t="shared" si="64"/>
        <v>0.15767887162492716</v>
      </c>
      <c r="T74" s="18" t="str">
        <f t="shared" si="52"/>
        <v>1+0.000228128669909085i</v>
      </c>
      <c r="U74" s="18">
        <f t="shared" si="65"/>
        <v>1.0000000260213446</v>
      </c>
      <c r="V74" s="18">
        <f t="shared" si="66"/>
        <v>2.2812866595160855E-4</v>
      </c>
      <c r="W74" s="32" t="str">
        <f t="shared" si="53"/>
        <v>1-0.000102455420391122i</v>
      </c>
      <c r="X74" s="18">
        <f t="shared" si="67"/>
        <v>1.0000000052485565</v>
      </c>
      <c r="Y74" s="18">
        <f t="shared" si="68"/>
        <v>-1.0245542003262662E-4</v>
      </c>
      <c r="Z74" s="32" t="str">
        <f t="shared" si="54"/>
        <v>0.999999998681743+0.0000559179738285849i</v>
      </c>
      <c r="AA74" s="18">
        <f t="shared" si="69"/>
        <v>1.0000000002451528</v>
      </c>
      <c r="AB74" s="18">
        <f t="shared" si="70"/>
        <v>5.5917973844017342E-5</v>
      </c>
      <c r="AC74" s="68" t="str">
        <f t="shared" si="71"/>
        <v>20.6345848669078-3.27939786909767i</v>
      </c>
      <c r="AD74" s="66">
        <f t="shared" si="72"/>
        <v>26.400245843287866</v>
      </c>
      <c r="AE74" s="63">
        <f t="shared" si="73"/>
        <v>-9.0303371798047234</v>
      </c>
      <c r="AF74" s="51" t="e">
        <f t="shared" si="74"/>
        <v>#NUM!</v>
      </c>
      <c r="AG74" s="51" t="str">
        <f t="shared" si="55"/>
        <v>1-0.0977694299610366i</v>
      </c>
      <c r="AH74" s="51">
        <f t="shared" si="75"/>
        <v>1.0047680635026703</v>
      </c>
      <c r="AI74" s="51">
        <f t="shared" si="76"/>
        <v>-9.7459683048576468E-2</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-0.000133283554228113</v>
      </c>
      <c r="AT74" s="32" t="str">
        <f t="shared" si="59"/>
        <v>0.0000139386617314451i</v>
      </c>
      <c r="AU74" s="32">
        <f t="shared" si="84"/>
        <v>1.3938661731445101E-5</v>
      </c>
      <c r="AV74" s="32">
        <f t="shared" si="85"/>
        <v>1.5707963267948966</v>
      </c>
      <c r="AW74" s="32" t="str">
        <f t="shared" si="60"/>
        <v>1+0.0024370716980459i</v>
      </c>
      <c r="AX74" s="32">
        <f t="shared" si="86"/>
        <v>1.0000029696548214</v>
      </c>
      <c r="AY74" s="32">
        <f t="shared" si="87"/>
        <v>2.4370668732147842E-3</v>
      </c>
      <c r="AZ74" s="32" t="str">
        <f t="shared" si="61"/>
        <v>1+0.0363183123781962i</v>
      </c>
      <c r="BA74" s="32">
        <f t="shared" si="88"/>
        <v>1.0006592925736513</v>
      </c>
      <c r="BB74" s="32">
        <f t="shared" si="89"/>
        <v>3.6302356812505703E-2</v>
      </c>
      <c r="BC74" s="60" t="str">
        <f t="shared" si="90"/>
        <v>-0.323975532646277+9.56293811335544i</v>
      </c>
      <c r="BD74" s="51">
        <f t="shared" si="91"/>
        <v>19.61680859762691</v>
      </c>
      <c r="BE74" s="63">
        <f t="shared" si="92"/>
        <v>91.94033818550821</v>
      </c>
      <c r="BF74" s="60" t="str">
        <f t="shared" si="93"/>
        <v>24.6755782480595+198.38970274842i</v>
      </c>
      <c r="BG74" s="66">
        <f t="shared" si="94"/>
        <v>46.017054440914784</v>
      </c>
      <c r="BH74" s="63">
        <f t="shared" si="95"/>
        <v>82.910001005703478</v>
      </c>
      <c r="BI74" s="60" t="e">
        <f t="shared" si="101"/>
        <v>#NUM!</v>
      </c>
      <c r="BJ74" s="66" t="e">
        <f t="shared" si="97"/>
        <v>#NUM!</v>
      </c>
      <c r="BK74" s="63" t="e">
        <f t="shared" si="102"/>
        <v>#NUM!</v>
      </c>
      <c r="BL74" s="51">
        <f t="shared" si="99"/>
        <v>46.017054440914784</v>
      </c>
      <c r="BM74" s="63">
        <f t="shared" si="100"/>
        <v>82.910001005703478</v>
      </c>
    </row>
    <row r="75" spans="1:65" x14ac:dyDescent="0.3">
      <c r="N75" s="11">
        <v>57</v>
      </c>
      <c r="O75" s="52">
        <f t="shared" si="62"/>
        <v>37.15352290971726</v>
      </c>
      <c r="P75" s="50" t="str">
        <f t="shared" si="50"/>
        <v>21.1560044893378</v>
      </c>
      <c r="Q75" s="18" t="str">
        <f t="shared" si="51"/>
        <v>1+0.162702327057419i</v>
      </c>
      <c r="R75" s="18">
        <f t="shared" si="63"/>
        <v>1.0131495680450637</v>
      </c>
      <c r="S75" s="18">
        <f t="shared" si="64"/>
        <v>0.16128902003059939</v>
      </c>
      <c r="T75" s="18" t="str">
        <f t="shared" si="52"/>
        <v>1+0.000233442469256296i</v>
      </c>
      <c r="U75" s="18">
        <f t="shared" si="65"/>
        <v>1.0000000272476928</v>
      </c>
      <c r="V75" s="18">
        <f t="shared" si="66"/>
        <v>2.3344246501578363E-4</v>
      </c>
      <c r="W75" s="32" t="str">
        <f t="shared" si="53"/>
        <v>1-0.000104841913707413i</v>
      </c>
      <c r="X75" s="18">
        <f t="shared" si="67"/>
        <v>1.0000000054959133</v>
      </c>
      <c r="Y75" s="18">
        <f t="shared" si="68"/>
        <v>-1.0484191332327829E-4</v>
      </c>
      <c r="Z75" s="32" t="str">
        <f t="shared" si="54"/>
        <v>0.999999998619616+0.0000572204707613295i</v>
      </c>
      <c r="AA75" s="18">
        <f t="shared" si="69"/>
        <v>1.0000000002567071</v>
      </c>
      <c r="AB75" s="18">
        <f t="shared" si="70"/>
        <v>5.7220470777865636E-5</v>
      </c>
      <c r="AC75" s="68" t="str">
        <f t="shared" si="71"/>
        <v>20.6106448582178-3.35188976322602i</v>
      </c>
      <c r="AD75" s="66">
        <f t="shared" si="72"/>
        <v>26.395202020179553</v>
      </c>
      <c r="AE75" s="63">
        <f t="shared" si="73"/>
        <v>-9.237090352176665</v>
      </c>
      <c r="AF75" s="51" t="e">
        <f t="shared" si="74"/>
        <v>#NUM!</v>
      </c>
      <c r="AG75" s="51" t="str">
        <f t="shared" si="55"/>
        <v>1-0.100046772538413i</v>
      </c>
      <c r="AH75" s="51">
        <f t="shared" si="75"/>
        <v>1.0049922172312347</v>
      </c>
      <c r="AI75" s="51">
        <f t="shared" si="76"/>
        <v>-9.9714961720646728E-2</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-0.000133283554228113</v>
      </c>
      <c r="AT75" s="32" t="str">
        <f t="shared" si="59"/>
        <v>0.0000142633348715597i</v>
      </c>
      <c r="AU75" s="32">
        <f t="shared" si="84"/>
        <v>1.42633348715597E-5</v>
      </c>
      <c r="AV75" s="32">
        <f t="shared" si="85"/>
        <v>1.5707963267948966</v>
      </c>
      <c r="AW75" s="32" t="str">
        <f t="shared" si="60"/>
        <v>1+0.00249383839029613i</v>
      </c>
      <c r="AX75" s="32">
        <f t="shared" si="86"/>
        <v>1.0000031096101236</v>
      </c>
      <c r="AY75" s="32">
        <f t="shared" si="87"/>
        <v>2.4938332203973132E-3</v>
      </c>
      <c r="AZ75" s="32" t="str">
        <f t="shared" si="61"/>
        <v>1+0.0371642745480716i</v>
      </c>
      <c r="BA75" s="32">
        <f t="shared" si="88"/>
        <v>1.0006903533574631</v>
      </c>
      <c r="BB75" s="32">
        <f t="shared" si="89"/>
        <v>3.7147178488358086E-2</v>
      </c>
      <c r="BC75" s="60" t="str">
        <f t="shared" si="90"/>
        <v>-0.323975441962379+9.34529542924973i</v>
      </c>
      <c r="BD75" s="51">
        <f t="shared" si="91"/>
        <v>19.417076990596502</v>
      </c>
      <c r="BE75" s="63">
        <f t="shared" si="92"/>
        <v>91.985490429863788</v>
      </c>
      <c r="BF75" s="60" t="str">
        <f t="shared" si="93"/>
        <v>24.6470573065543+193.698495154843i</v>
      </c>
      <c r="BG75" s="66">
        <f t="shared" si="94"/>
        <v>45.812279010776074</v>
      </c>
      <c r="BH75" s="63">
        <f t="shared" si="95"/>
        <v>82.748400077687165</v>
      </c>
      <c r="BI75" s="60" t="e">
        <f t="shared" si="101"/>
        <v>#NUM!</v>
      </c>
      <c r="BJ75" s="66" t="e">
        <f t="shared" si="97"/>
        <v>#NUM!</v>
      </c>
      <c r="BK75" s="63" t="e">
        <f t="shared" si="102"/>
        <v>#NUM!</v>
      </c>
      <c r="BL75" s="51">
        <f t="shared" si="99"/>
        <v>45.812279010776074</v>
      </c>
      <c r="BM75" s="63">
        <f t="shared" si="100"/>
        <v>82.748400077687165</v>
      </c>
    </row>
    <row r="76" spans="1:65" x14ac:dyDescent="0.3">
      <c r="N76" s="11">
        <v>58</v>
      </c>
      <c r="O76" s="52">
        <f t="shared" si="62"/>
        <v>38.018939632056139</v>
      </c>
      <c r="P76" s="50" t="str">
        <f t="shared" si="50"/>
        <v>21.1560044893378</v>
      </c>
      <c r="Q76" s="18" t="str">
        <f t="shared" si="51"/>
        <v>1+0.166492151105628i</v>
      </c>
      <c r="R76" s="18">
        <f t="shared" si="63"/>
        <v>1.0137650794832989</v>
      </c>
      <c r="S76" s="18">
        <f t="shared" si="64"/>
        <v>0.16497887368658989</v>
      </c>
      <c r="T76" s="18" t="str">
        <f t="shared" si="52"/>
        <v>1+0.000238880042890683i</v>
      </c>
      <c r="U76" s="18">
        <f t="shared" si="65"/>
        <v>1.0000000285318371</v>
      </c>
      <c r="V76" s="18">
        <f t="shared" si="66"/>
        <v>2.3888003834689211E-4</v>
      </c>
      <c r="W76" s="32" t="str">
        <f t="shared" si="53"/>
        <v>1-0.0001072839955941i</v>
      </c>
      <c r="X76" s="18">
        <f t="shared" si="67"/>
        <v>1.0000000057549279</v>
      </c>
      <c r="Y76" s="18">
        <f t="shared" si="68"/>
        <v>-1.0728399518249222E-4</v>
      </c>
      <c r="Z76" s="32" t="str">
        <f t="shared" si="54"/>
        <v>0.99999999855456+0.0000585533067450743i</v>
      </c>
      <c r="AA76" s="18">
        <f t="shared" si="69"/>
        <v>1.0000000002688048</v>
      </c>
      <c r="AB76" s="18">
        <f t="shared" si="70"/>
        <v>5.8553306762793119E-5</v>
      </c>
      <c r="AC76" s="68" t="str">
        <f t="shared" si="71"/>
        <v>20.5856360847443-3.4258015411163i</v>
      </c>
      <c r="AD76" s="66">
        <f t="shared" si="72"/>
        <v>26.38992675995414</v>
      </c>
      <c r="AE76" s="63">
        <f t="shared" si="73"/>
        <v>-9.4484081305436227</v>
      </c>
      <c r="AF76" s="51" t="e">
        <f t="shared" si="74"/>
        <v>#NUM!</v>
      </c>
      <c r="AG76" s="51" t="str">
        <f t="shared" si="55"/>
        <v>1-0.102377161238864i</v>
      </c>
      <c r="AH76" s="51">
        <f t="shared" si="75"/>
        <v>1.0052268814269385</v>
      </c>
      <c r="AI76" s="51">
        <f t="shared" si="76"/>
        <v>-0.1020217193125004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-0.000133283554228113</v>
      </c>
      <c r="AT76" s="32" t="str">
        <f t="shared" si="59"/>
        <v>0.0000145955706206207i</v>
      </c>
      <c r="AU76" s="32">
        <f t="shared" si="84"/>
        <v>1.4595570620620699E-5</v>
      </c>
      <c r="AV76" s="32">
        <f t="shared" si="85"/>
        <v>1.5707963267948966</v>
      </c>
      <c r="AW76" s="32" t="str">
        <f t="shared" si="60"/>
        <v>1+0.00255192734867074i</v>
      </c>
      <c r="AX76" s="32">
        <f t="shared" si="86"/>
        <v>1.0000032561612953</v>
      </c>
      <c r="AY76" s="32">
        <f t="shared" si="87"/>
        <v>2.5519218090253263E-3</v>
      </c>
      <c r="AZ76" s="32" t="str">
        <f t="shared" si="61"/>
        <v>1+0.0380299417082396i</v>
      </c>
      <c r="BA76" s="32">
        <f t="shared" si="88"/>
        <v>1.0007228769576182</v>
      </c>
      <c r="BB76" s="32">
        <f t="shared" si="89"/>
        <v>3.8011623664817674E-2</v>
      </c>
      <c r="BC76" s="60" t="str">
        <f t="shared" si="90"/>
        <v>-0.323975347004735+9.13260774445894i</v>
      </c>
      <c r="BD76" s="51">
        <f t="shared" si="91"/>
        <v>19.217358014599611</v>
      </c>
      <c r="BE76" s="63">
        <f t="shared" si="92"/>
        <v>92.031691259129104</v>
      </c>
      <c r="BF76" s="60" t="str">
        <f t="shared" si="93"/>
        <v>24.6172630915099+189.110414775202i</v>
      </c>
      <c r="BG76" s="66">
        <f t="shared" si="94"/>
        <v>45.607284774553762</v>
      </c>
      <c r="BH76" s="63">
        <f t="shared" si="95"/>
        <v>82.583283128585492</v>
      </c>
      <c r="BI76" s="60" t="e">
        <f t="shared" si="101"/>
        <v>#NUM!</v>
      </c>
      <c r="BJ76" s="66" t="e">
        <f t="shared" si="97"/>
        <v>#NUM!</v>
      </c>
      <c r="BK76" s="63" t="e">
        <f t="shared" si="102"/>
        <v>#NUM!</v>
      </c>
      <c r="BL76" s="51">
        <f t="shared" si="99"/>
        <v>45.607284774553762</v>
      </c>
      <c r="BM76" s="63">
        <f t="shared" si="100"/>
        <v>82.583283128585492</v>
      </c>
    </row>
    <row r="77" spans="1:65" x14ac:dyDescent="0.3">
      <c r="N77" s="11">
        <v>59</v>
      </c>
      <c r="O77" s="52">
        <f t="shared" si="62"/>
        <v>38.904514499428053</v>
      </c>
      <c r="P77" s="50" t="str">
        <f t="shared" si="50"/>
        <v>21.1560044893378</v>
      </c>
      <c r="Q77" s="18" t="str">
        <f t="shared" si="51"/>
        <v>1+0.170370251496137i</v>
      </c>
      <c r="R77" s="18">
        <f t="shared" si="63"/>
        <v>1.0144091987925075</v>
      </c>
      <c r="S77" s="18">
        <f t="shared" si="64"/>
        <v>0.16874998689918855</v>
      </c>
      <c r="T77" s="18" t="str">
        <f t="shared" si="52"/>
        <v>1+0.000244444273885762i</v>
      </c>
      <c r="U77" s="18">
        <f t="shared" si="65"/>
        <v>1.0000000298765011</v>
      </c>
      <c r="V77" s="18">
        <f t="shared" si="66"/>
        <v>2.4444426901700238E-4</v>
      </c>
      <c r="W77" s="32" t="str">
        <f t="shared" si="53"/>
        <v>1-0.000109782960875322i</v>
      </c>
      <c r="X77" s="18">
        <f t="shared" si="67"/>
        <v>1.0000000060261491</v>
      </c>
      <c r="Y77" s="18">
        <f t="shared" si="68"/>
        <v>-1.0978296043427634E-4</v>
      </c>
      <c r="Z77" s="32" t="str">
        <f t="shared" si="54"/>
        <v>0.999999998486439+0.0000599171884670999i</v>
      </c>
      <c r="AA77" s="18">
        <f t="shared" si="69"/>
        <v>1.0000000002814737</v>
      </c>
      <c r="AB77" s="18">
        <f t="shared" si="70"/>
        <v>5.9917188486085934E-5</v>
      </c>
      <c r="AC77" s="68" t="str">
        <f t="shared" si="71"/>
        <v>20.559513679506-3.50114822922053i</v>
      </c>
      <c r="AD77" s="66">
        <f t="shared" si="72"/>
        <v>26.384409743630584</v>
      </c>
      <c r="AE77" s="63">
        <f t="shared" si="73"/>
        <v>-9.6643795195864666</v>
      </c>
      <c r="AF77" s="51" t="e">
        <f t="shared" si="74"/>
        <v>#NUM!</v>
      </c>
      <c r="AG77" s="51" t="str">
        <f t="shared" si="55"/>
        <v>1-0.104761831665327i</v>
      </c>
      <c r="AH77" s="51">
        <f t="shared" si="75"/>
        <v>1.0054725463054048</v>
      </c>
      <c r="AI77" s="51">
        <f t="shared" si="76"/>
        <v>-0.10438108064728208</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-0.000133283554228113</v>
      </c>
      <c r="AT77" s="32" t="str">
        <f t="shared" si="59"/>
        <v>0.00001493554513442i</v>
      </c>
      <c r="AU77" s="32">
        <f t="shared" si="84"/>
        <v>1.493554513442E-5</v>
      </c>
      <c r="AV77" s="32">
        <f t="shared" si="85"/>
        <v>1.5707963267948966</v>
      </c>
      <c r="AW77" s="32" t="str">
        <f t="shared" si="60"/>
        <v>1+0.00261136937270438i</v>
      </c>
      <c r="AX77" s="32">
        <f t="shared" si="86"/>
        <v>1.0000034096191877</v>
      </c>
      <c r="AY77" s="32">
        <f t="shared" si="87"/>
        <v>2.6113634368684678E-3</v>
      </c>
      <c r="AZ77" s="32" t="str">
        <f t="shared" si="61"/>
        <v>1+0.0389157728468872i</v>
      </c>
      <c r="BA77" s="32">
        <f t="shared" si="88"/>
        <v>1.0007569322149463</v>
      </c>
      <c r="BB77" s="32">
        <f t="shared" si="89"/>
        <v>3.8896145511449765E-2</v>
      </c>
      <c r="BC77" s="60" t="str">
        <f t="shared" si="90"/>
        <v>-0.323975247571934+8.92476228915572i</v>
      </c>
      <c r="BD77" s="51">
        <f t="shared" si="91"/>
        <v>19.017652263190399</v>
      </c>
      <c r="BE77" s="63">
        <f t="shared" si="92"/>
        <v>92.078964873425448</v>
      </c>
      <c r="BF77" s="60" t="str">
        <f t="shared" si="93"/>
        <v>24.5861421506152+184.623057734584i</v>
      </c>
      <c r="BG77" s="66">
        <f t="shared" si="94"/>
        <v>45.402062006820984</v>
      </c>
      <c r="BH77" s="63">
        <f t="shared" si="95"/>
        <v>82.414585353838987</v>
      </c>
      <c r="BI77" s="60" t="e">
        <f t="shared" si="101"/>
        <v>#NUM!</v>
      </c>
      <c r="BJ77" s="66" t="e">
        <f t="shared" si="97"/>
        <v>#NUM!</v>
      </c>
      <c r="BK77" s="63" t="e">
        <f t="shared" si="102"/>
        <v>#NUM!</v>
      </c>
      <c r="BL77" s="51">
        <f t="shared" si="99"/>
        <v>45.402062006820984</v>
      </c>
      <c r="BM77" s="63">
        <f t="shared" si="100"/>
        <v>82.414585353838987</v>
      </c>
    </row>
    <row r="78" spans="1:65" x14ac:dyDescent="0.3">
      <c r="N78" s="11">
        <v>60</v>
      </c>
      <c r="O78" s="52">
        <f t="shared" si="62"/>
        <v>39.810717055349755</v>
      </c>
      <c r="P78" s="50" t="str">
        <f t="shared" si="50"/>
        <v>21.1560044893378</v>
      </c>
      <c r="Q78" s="18" t="str">
        <f t="shared" si="51"/>
        <v>1+0.174338684449107i</v>
      </c>
      <c r="R78" s="18">
        <f t="shared" si="63"/>
        <v>1.0150832364370153</v>
      </c>
      <c r="S78" s="18">
        <f t="shared" si="64"/>
        <v>0.17260392990568368</v>
      </c>
      <c r="T78" s="18" t="str">
        <f t="shared" si="52"/>
        <v>1+0.000250138112470457i</v>
      </c>
      <c r="U78" s="18">
        <f t="shared" si="65"/>
        <v>1.0000000312845372</v>
      </c>
      <c r="V78" s="18">
        <f t="shared" si="66"/>
        <v>2.5013810725348708E-4</v>
      </c>
      <c r="W78" s="32" t="str">
        <f t="shared" si="53"/>
        <v>1-0.000112340134535548i</v>
      </c>
      <c r="X78" s="18">
        <f t="shared" si="67"/>
        <v>1.0000000063101528</v>
      </c>
      <c r="Y78" s="18">
        <f t="shared" si="68"/>
        <v>-1.1234013406295906E-4</v>
      </c>
      <c r="Z78" s="32" t="str">
        <f t="shared" si="54"/>
        <v>0.999999998415107+0.0000613128390755484i</v>
      </c>
      <c r="AA78" s="18">
        <f t="shared" si="69"/>
        <v>1.0000000002947389</v>
      </c>
      <c r="AB78" s="18">
        <f t="shared" si="70"/>
        <v>6.1312839095892295E-5</v>
      </c>
      <c r="AC78" s="68" t="str">
        <f t="shared" si="71"/>
        <v>20.5322311580397-3.57794404899855i</v>
      </c>
      <c r="AD78" s="66">
        <f t="shared" si="72"/>
        <v>26.378640220266956</v>
      </c>
      <c r="AE78" s="63">
        <f t="shared" si="73"/>
        <v>-9.885094435588444</v>
      </c>
      <c r="AF78" s="51" t="e">
        <f t="shared" si="74"/>
        <v>#NUM!</v>
      </c>
      <c r="AG78" s="51" t="str">
        <f t="shared" si="55"/>
        <v>1-0.107202048201625i</v>
      </c>
      <c r="AH78" s="51">
        <f t="shared" si="75"/>
        <v>1.0057297246967614</v>
      </c>
      <c r="AI78" s="51">
        <f t="shared" si="76"/>
        <v>-0.10679419156346368</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-0.000133283554228113</v>
      </c>
      <c r="AT78" s="32" t="str">
        <f t="shared" si="59"/>
        <v>0.0000152834386719449i</v>
      </c>
      <c r="AU78" s="32">
        <f t="shared" si="84"/>
        <v>1.5283438671944899E-5</v>
      </c>
      <c r="AV78" s="32">
        <f t="shared" si="85"/>
        <v>1.5707963267948966</v>
      </c>
      <c r="AW78" s="32" t="str">
        <f t="shared" si="60"/>
        <v>1+0.00267219597934497i</v>
      </c>
      <c r="AX78" s="32">
        <f t="shared" si="86"/>
        <v>1.0000035703093024</v>
      </c>
      <c r="AY78" s="32">
        <f t="shared" si="87"/>
        <v>2.6721896189834241E-3</v>
      </c>
      <c r="AZ78" s="32" t="str">
        <f t="shared" si="61"/>
        <v>1+0.0398222376434092i</v>
      </c>
      <c r="BA78" s="32">
        <f t="shared" si="88"/>
        <v>1.0007925912050548</v>
      </c>
      <c r="BB78" s="32">
        <f t="shared" si="89"/>
        <v>3.9801207474036461E-2</v>
      </c>
      <c r="BC78" s="60" t="str">
        <f t="shared" si="90"/>
        <v>-0.323975143453074+8.72164886092694i</v>
      </c>
      <c r="BD78" s="51">
        <f t="shared" si="91"/>
        <v>18.81796035773019</v>
      </c>
      <c r="BE78" s="63">
        <f t="shared" si="92"/>
        <v>92.127336020560406</v>
      </c>
      <c r="BF78" s="60" t="str">
        <f t="shared" si="93"/>
        <v>24.5536391045709+180.234075428347i</v>
      </c>
      <c r="BG78" s="66">
        <f t="shared" si="94"/>
        <v>45.196600577997145</v>
      </c>
      <c r="BH78" s="63">
        <f t="shared" si="95"/>
        <v>82.242241584971993</v>
      </c>
      <c r="BI78" s="60" t="e">
        <f t="shared" si="101"/>
        <v>#NUM!</v>
      </c>
      <c r="BJ78" s="66" t="e">
        <f t="shared" si="97"/>
        <v>#NUM!</v>
      </c>
      <c r="BK78" s="63" t="e">
        <f t="shared" si="102"/>
        <v>#NUM!</v>
      </c>
      <c r="BL78" s="51">
        <f t="shared" si="99"/>
        <v>45.196600577997145</v>
      </c>
      <c r="BM78" s="63">
        <f t="shared" si="100"/>
        <v>82.242241584971993</v>
      </c>
    </row>
    <row r="79" spans="1:65" x14ac:dyDescent="0.3">
      <c r="N79" s="11">
        <v>61</v>
      </c>
      <c r="O79" s="52">
        <f t="shared" si="62"/>
        <v>40.738027780411279</v>
      </c>
      <c r="P79" s="50" t="str">
        <f t="shared" si="50"/>
        <v>21.1560044893378</v>
      </c>
      <c r="Q79" s="18" t="str">
        <f t="shared" si="51"/>
        <v>1+0.178399554080217i</v>
      </c>
      <c r="R79" s="18">
        <f t="shared" si="63"/>
        <v>1.0157885611169386</v>
      </c>
      <c r="S79" s="18">
        <f t="shared" si="64"/>
        <v>0.17654228795149871</v>
      </c>
      <c r="T79" s="18" t="str">
        <f t="shared" si="52"/>
        <v>1+0.000255964577593354i</v>
      </c>
      <c r="U79" s="18">
        <f t="shared" si="65"/>
        <v>1.000000032758932</v>
      </c>
      <c r="V79" s="18">
        <f t="shared" si="66"/>
        <v>2.5596457200327002E-4</v>
      </c>
      <c r="W79" s="32" t="str">
        <f t="shared" si="53"/>
        <v>1-0.000114956872422104i</v>
      </c>
      <c r="X79" s="18">
        <f t="shared" si="67"/>
        <v>1.0000000066075412</v>
      </c>
      <c r="Y79" s="18">
        <f t="shared" si="68"/>
        <v>-1.1495687191571582E-4</v>
      </c>
      <c r="Z79" s="32" t="str">
        <f t="shared" si="54"/>
        <v>0.999999998340413+0.0000627409985628464i</v>
      </c>
      <c r="AA79" s="18">
        <f t="shared" si="69"/>
        <v>1.0000000003086293</v>
      </c>
      <c r="AB79" s="18">
        <f t="shared" si="70"/>
        <v>6.2740998584645297E-5</v>
      </c>
      <c r="AC79" s="68" t="str">
        <f t="shared" si="71"/>
        <v>20.5037403853751-3.6562023309761i</v>
      </c>
      <c r="AD79" s="66">
        <f t="shared" si="72"/>
        <v>26.37260699150486</v>
      </c>
      <c r="AE79" s="63">
        <f t="shared" si="73"/>
        <v>-10.110643653531604</v>
      </c>
      <c r="AF79" s="51" t="e">
        <f t="shared" si="74"/>
        <v>#NUM!</v>
      </c>
      <c r="AG79" s="51" t="str">
        <f t="shared" si="55"/>
        <v>1-0.109699104682866i</v>
      </c>
      <c r="AH79" s="51">
        <f t="shared" si="75"/>
        <v>1.0059989530651721</v>
      </c>
      <c r="AI79" s="51">
        <f t="shared" si="76"/>
        <v>-0.10926221904871593</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-0.000133283554228113</v>
      </c>
      <c r="AT79" s="32" t="str">
        <f t="shared" si="59"/>
        <v>0.0000156394356909539i</v>
      </c>
      <c r="AU79" s="32">
        <f t="shared" si="84"/>
        <v>1.56394356909539E-5</v>
      </c>
      <c r="AV79" s="32">
        <f t="shared" si="85"/>
        <v>1.5707963267948966</v>
      </c>
      <c r="AW79" s="32" t="str">
        <f t="shared" si="60"/>
        <v>1+0.00273443941966452i</v>
      </c>
      <c r="AX79" s="32">
        <f t="shared" si="86"/>
        <v>1.0000037385724814</v>
      </c>
      <c r="AY79" s="32">
        <f t="shared" si="87"/>
        <v>2.7344326044157112E-3</v>
      </c>
      <c r="AZ79" s="32" t="str">
        <f t="shared" si="61"/>
        <v>1+0.0407498167174395i</v>
      </c>
      <c r="BA79" s="32">
        <f t="shared" si="88"/>
        <v>1.0008299293898564</v>
      </c>
      <c r="BB79" s="32">
        <f t="shared" si="89"/>
        <v>4.0727283494068456E-2</v>
      </c>
      <c r="BC79" s="60" t="str">
        <f t="shared" si="90"/>
        <v>-0.323975034427315+8.52315976634264i</v>
      </c>
      <c r="BD79" s="51">
        <f t="shared" si="91"/>
        <v>18.618282948681731</v>
      </c>
      <c r="BE79" s="63">
        <f t="shared" si="92"/>
        <v>92.176830007646942</v>
      </c>
      <c r="BF79" s="60" t="str">
        <f t="shared" si="93"/>
        <v>24.519696607743+175.941173388215i</v>
      </c>
      <c r="BG79" s="66">
        <f t="shared" si="94"/>
        <v>44.990889940186591</v>
      </c>
      <c r="BH79" s="63">
        <f t="shared" si="95"/>
        <v>82.066186354115374</v>
      </c>
      <c r="BI79" s="60" t="e">
        <f t="shared" si="101"/>
        <v>#NUM!</v>
      </c>
      <c r="BJ79" s="66" t="e">
        <f t="shared" si="97"/>
        <v>#NUM!</v>
      </c>
      <c r="BK79" s="63" t="e">
        <f t="shared" si="102"/>
        <v>#NUM!</v>
      </c>
      <c r="BL79" s="51">
        <f t="shared" si="99"/>
        <v>44.990889940186591</v>
      </c>
      <c r="BM79" s="63">
        <f t="shared" si="100"/>
        <v>82.066186354115374</v>
      </c>
    </row>
    <row r="80" spans="1:65" x14ac:dyDescent="0.3">
      <c r="N80" s="11">
        <v>62</v>
      </c>
      <c r="O80" s="52">
        <f t="shared" si="62"/>
        <v>41.686938347033561</v>
      </c>
      <c r="P80" s="50" t="str">
        <f t="shared" si="50"/>
        <v>21.1560044893378</v>
      </c>
      <c r="Q80" s="18" t="str">
        <f t="shared" si="51"/>
        <v>1+0.182555013516298i</v>
      </c>
      <c r="R80" s="18">
        <f t="shared" si="63"/>
        <v>1.0165266021899948</v>
      </c>
      <c r="S80" s="18">
        <f t="shared" si="64"/>
        <v>0.18056666027098769</v>
      </c>
      <c r="T80" s="18" t="str">
        <f t="shared" si="52"/>
        <v>1+0.000261926758523383i</v>
      </c>
      <c r="U80" s="18">
        <f t="shared" si="65"/>
        <v>1.0000000343028128</v>
      </c>
      <c r="V80" s="18">
        <f t="shared" si="66"/>
        <v>2.6192675253350009E-4</v>
      </c>
      <c r="W80" s="32" t="str">
        <f t="shared" si="53"/>
        <v>1-0.000117634561964052i</v>
      </c>
      <c r="X80" s="18">
        <f t="shared" si="67"/>
        <v>1.000000006918945</v>
      </c>
      <c r="Y80" s="18">
        <f t="shared" si="68"/>
        <v>-1.1763456142144729E-4</v>
      </c>
      <c r="Z80" s="32" t="str">
        <f t="shared" si="54"/>
        <v>0.999999998262199+0.0000642024241580577i</v>
      </c>
      <c r="AA80" s="18">
        <f t="shared" si="69"/>
        <v>1.0000000003231746</v>
      </c>
      <c r="AB80" s="18">
        <f t="shared" si="70"/>
        <v>6.4202424181415653E-5</v>
      </c>
      <c r="AC80" s="68" t="str">
        <f t="shared" si="71"/>
        <v>20.4739915449698-3.73593542368831i</v>
      </c>
      <c r="AD80" s="66">
        <f t="shared" si="72"/>
        <v>26.36629839581099</v>
      </c>
      <c r="AE80" s="63">
        <f t="shared" si="73"/>
        <v>-10.341118748672836</v>
      </c>
      <c r="AF80" s="51" t="e">
        <f t="shared" si="74"/>
        <v>#NUM!</v>
      </c>
      <c r="AG80" s="51" t="str">
        <f t="shared" si="55"/>
        <v>1-0.11225432508145i</v>
      </c>
      <c r="AH80" s="51">
        <f t="shared" si="75"/>
        <v>1.0062807925720791</v>
      </c>
      <c r="AI80" s="51">
        <f t="shared" si="76"/>
        <v>-0.11178635135325851</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-0.000133283554228113</v>
      </c>
      <c r="AT80" s="32" t="str">
        <f t="shared" si="59"/>
        <v>0.0000160037249457787i</v>
      </c>
      <c r="AU80" s="32">
        <f t="shared" si="84"/>
        <v>1.6003724945778699E-5</v>
      </c>
      <c r="AV80" s="32">
        <f t="shared" si="85"/>
        <v>1.5707963267948966</v>
      </c>
      <c r="AW80" s="32" t="str">
        <f t="shared" si="60"/>
        <v>1+0.00279813269595896i</v>
      </c>
      <c r="AX80" s="32">
        <f t="shared" si="86"/>
        <v>1.0000039147656294</v>
      </c>
      <c r="AY80" s="32">
        <f t="shared" si="87"/>
        <v>2.7981253932898354E-3</v>
      </c>
      <c r="AZ80" s="32" t="str">
        <f t="shared" si="61"/>
        <v>1+0.0416990018836811i</v>
      </c>
      <c r="BA80" s="32">
        <f t="shared" si="88"/>
        <v>1.0008690257761479</v>
      </c>
      <c r="BB80" s="32">
        <f t="shared" si="89"/>
        <v>4.1674858231939858E-2</v>
      </c>
      <c r="BC80" s="60" t="str">
        <f t="shared" si="90"/>
        <v>-0.32397492026341+8.32918976385568i</v>
      </c>
      <c r="BD80" s="51">
        <f t="shared" si="91"/>
        <v>18.418620716963318</v>
      </c>
      <c r="BE80" s="63">
        <f t="shared" si="92"/>
        <v>92.227472712912288</v>
      </c>
      <c r="BF80" s="60" t="str">
        <f t="shared" si="93"/>
        <v>24.4842553111552+171.742110182629i</v>
      </c>
      <c r="BG80" s="66">
        <f t="shared" si="94"/>
        <v>44.784919112774311</v>
      </c>
      <c r="BH80" s="63">
        <f t="shared" si="95"/>
        <v>81.886353964239461</v>
      </c>
      <c r="BI80" s="60" t="e">
        <f t="shared" si="101"/>
        <v>#NUM!</v>
      </c>
      <c r="BJ80" s="66" t="e">
        <f t="shared" si="97"/>
        <v>#NUM!</v>
      </c>
      <c r="BK80" s="63" t="e">
        <f t="shared" si="102"/>
        <v>#NUM!</v>
      </c>
      <c r="BL80" s="51">
        <f t="shared" si="99"/>
        <v>44.784919112774311</v>
      </c>
      <c r="BM80" s="63">
        <f t="shared" si="100"/>
        <v>81.886353964239461</v>
      </c>
    </row>
    <row r="81" spans="14:65" x14ac:dyDescent="0.3">
      <c r="N81" s="11">
        <v>63</v>
      </c>
      <c r="O81" s="52">
        <f t="shared" si="62"/>
        <v>42.657951880159267</v>
      </c>
      <c r="P81" s="50" t="str">
        <f t="shared" si="50"/>
        <v>21.1560044893378</v>
      </c>
      <c r="Q81" s="18" t="str">
        <f t="shared" si="51"/>
        <v>1+0.186807266036946i</v>
      </c>
      <c r="R81" s="18">
        <f t="shared" si="63"/>
        <v>1.017298852178748</v>
      </c>
      <c r="S81" s="18">
        <f t="shared" si="64"/>
        <v>0.18467865896621513</v>
      </c>
      <c r="T81" s="18" t="str">
        <f t="shared" si="52"/>
        <v>1+0.000268027816487791i</v>
      </c>
      <c r="U81" s="18">
        <f t="shared" si="65"/>
        <v>1.0000000359194545</v>
      </c>
      <c r="V81" s="18">
        <f t="shared" si="66"/>
        <v>2.6802781006951586E-4</v>
      </c>
      <c r="W81" s="32" t="str">
        <f t="shared" si="53"/>
        <v>1-0.00012037462290783i</v>
      </c>
      <c r="X81" s="18">
        <f t="shared" si="67"/>
        <v>1.0000000072450248</v>
      </c>
      <c r="Y81" s="18">
        <f t="shared" si="68"/>
        <v>-1.2037462232641857E-4</v>
      </c>
      <c r="Z81" s="32" t="str">
        <f t="shared" si="54"/>
        <v>0.999999998180299+0.000065697890728377i</v>
      </c>
      <c r="AA81" s="18">
        <f t="shared" si="69"/>
        <v>1.0000000003384053</v>
      </c>
      <c r="AB81" s="18">
        <f t="shared" si="70"/>
        <v>6.5697890753405475E-5</v>
      </c>
      <c r="AC81" s="68" t="str">
        <f t="shared" si="71"/>
        <v>20.4429331099476-3.81715459734212i</v>
      </c>
      <c r="AD81" s="66">
        <f t="shared" si="72"/>
        <v>26.359702292435291</v>
      </c>
      <c r="AE81" s="63">
        <f t="shared" si="73"/>
        <v>-10.576612032273733</v>
      </c>
      <c r="AF81" s="51" t="e">
        <f t="shared" si="74"/>
        <v>#NUM!</v>
      </c>
      <c r="AG81" s="51" t="str">
        <f t="shared" si="55"/>
        <v>1-0.114869064209053i</v>
      </c>
      <c r="AH81" s="51">
        <f t="shared" si="75"/>
        <v>1.006575830184822</v>
      </c>
      <c r="AI81" s="51">
        <f t="shared" si="76"/>
        <v>-0.11436779808073787</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-0.000133283554228113</v>
      </c>
      <c r="AT81" s="32" t="str">
        <f t="shared" si="59"/>
        <v>0.000016376499587404i</v>
      </c>
      <c r="AU81" s="32">
        <f t="shared" si="84"/>
        <v>1.6376499587403998E-5</v>
      </c>
      <c r="AV81" s="32">
        <f t="shared" si="85"/>
        <v>1.5707963267948966</v>
      </c>
      <c r="AW81" s="32" t="str">
        <f t="shared" si="60"/>
        <v>1+0.00286330957924646i</v>
      </c>
      <c r="AX81" s="32">
        <f t="shared" si="86"/>
        <v>1.0000040992624712</v>
      </c>
      <c r="AY81" s="32">
        <f t="shared" si="87"/>
        <v>2.8633017542972453E-3</v>
      </c>
      <c r="AZ81" s="32" t="str">
        <f t="shared" si="61"/>
        <v>1+0.0426702964126728i</v>
      </c>
      <c r="BA81" s="32">
        <f t="shared" si="88"/>
        <v>1.0009099630815679</v>
      </c>
      <c r="BB81" s="32">
        <f t="shared" si="89"/>
        <v>4.2644427293836384E-2</v>
      </c>
      <c r="BC81" s="60" t="str">
        <f t="shared" si="90"/>
        <v>-0.323974800719213+8.13963600800131i</v>
      </c>
      <c r="BD81" s="51">
        <f t="shared" si="91"/>
        <v>18.218974375364954</v>
      </c>
      <c r="BE81" s="63">
        <f t="shared" si="92"/>
        <v>92.279290597695692</v>
      </c>
      <c r="BF81" s="60" t="str">
        <f t="shared" si="93"/>
        <v>24.4472538282222+167.63469635088i</v>
      </c>
      <c r="BG81" s="66">
        <f t="shared" si="94"/>
        <v>44.578676667800245</v>
      </c>
      <c r="BH81" s="63">
        <f t="shared" si="95"/>
        <v>81.702678565421962</v>
      </c>
      <c r="BI81" s="60" t="e">
        <f t="shared" si="101"/>
        <v>#NUM!</v>
      </c>
      <c r="BJ81" s="66" t="e">
        <f t="shared" si="97"/>
        <v>#NUM!</v>
      </c>
      <c r="BK81" s="63" t="e">
        <f t="shared" si="102"/>
        <v>#NUM!</v>
      </c>
      <c r="BL81" s="51">
        <f t="shared" si="99"/>
        <v>44.578676667800245</v>
      </c>
      <c r="BM81" s="63">
        <f t="shared" si="100"/>
        <v>81.702678565421962</v>
      </c>
    </row>
    <row r="82" spans="14:65" x14ac:dyDescent="0.3">
      <c r="N82" s="11">
        <v>64</v>
      </c>
      <c r="O82" s="52">
        <f t="shared" si="62"/>
        <v>43.651583224016633</v>
      </c>
      <c r="P82" s="50" t="str">
        <f t="shared" si="50"/>
        <v>21.1560044893378</v>
      </c>
      <c r="Q82" s="18" t="str">
        <f t="shared" si="51"/>
        <v>1+0.191158566242733i</v>
      </c>
      <c r="R82" s="18">
        <f t="shared" si="63"/>
        <v>1.01810686936489</v>
      </c>
      <c r="S82" s="18">
        <f t="shared" si="64"/>
        <v>0.18887990777789737</v>
      </c>
      <c r="T82" s="18" t="str">
        <f t="shared" si="52"/>
        <v>1+0.000274270986348268i</v>
      </c>
      <c r="U82" s="18">
        <f t="shared" si="65"/>
        <v>1.0000000376122862</v>
      </c>
      <c r="V82" s="18">
        <f t="shared" si="66"/>
        <v>2.7427097947096225E-4</v>
      </c>
      <c r="W82" s="32" t="str">
        <f t="shared" si="53"/>
        <v>1-0.000123178508070021i</v>
      </c>
      <c r="X82" s="18">
        <f t="shared" si="67"/>
        <v>1.0000000075864723</v>
      </c>
      <c r="Y82" s="18">
        <f t="shared" si="68"/>
        <v>-1.2317850744702742E-4</v>
      </c>
      <c r="Z82" s="32" t="str">
        <f t="shared" si="54"/>
        <v>0.999999998094539+0.0000672281911899748i</v>
      </c>
      <c r="AA82" s="18">
        <f t="shared" si="69"/>
        <v>1.0000000003543537</v>
      </c>
      <c r="AB82" s="18">
        <f t="shared" si="70"/>
        <v>6.7228191216793309E-5</v>
      </c>
      <c r="AC82" s="68" t="str">
        <f t="shared" si="71"/>
        <v>20.4105118170149-3.8998699420422i</v>
      </c>
      <c r="AD82" s="66">
        <f t="shared" si="72"/>
        <v>26.352806045109713</v>
      </c>
      <c r="AE82" s="63">
        <f t="shared" si="73"/>
        <v>-10.817216481151604</v>
      </c>
      <c r="AF82" s="51" t="e">
        <f t="shared" si="74"/>
        <v>#NUM!</v>
      </c>
      <c r="AG82" s="51" t="str">
        <f t="shared" si="55"/>
        <v>1-0.117544708434972i</v>
      </c>
      <c r="AH82" s="51">
        <f t="shared" si="75"/>
        <v>1.0068846798323345</v>
      </c>
      <c r="AI82" s="51">
        <f t="shared" si="76"/>
        <v>-0.11700779025456104</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-0.000133283554228113</v>
      </c>
      <c r="AT82" s="32" t="str">
        <f t="shared" si="59"/>
        <v>0.0000167579572658792i</v>
      </c>
      <c r="AU82" s="32">
        <f t="shared" si="84"/>
        <v>1.67579572658792E-5</v>
      </c>
      <c r="AV82" s="32">
        <f t="shared" si="85"/>
        <v>1.5707963267948966</v>
      </c>
      <c r="AW82" s="32" t="str">
        <f t="shared" si="60"/>
        <v>1+0.00293000462717325i</v>
      </c>
      <c r="AX82" s="32">
        <f t="shared" si="86"/>
        <v>1.0000042924543451</v>
      </c>
      <c r="AY82" s="32">
        <f t="shared" si="87"/>
        <v>2.9299962425910478E-3</v>
      </c>
      <c r="AZ82" s="32" t="str">
        <f t="shared" si="61"/>
        <v>1+0.0436642152976306i</v>
      </c>
      <c r="BA82" s="32">
        <f t="shared" si="88"/>
        <v>1.0009528279082676</v>
      </c>
      <c r="BB82" s="32">
        <f t="shared" si="89"/>
        <v>4.3636497462296718E-2</v>
      </c>
      <c r="BC82" s="60" t="str">
        <f t="shared" si="90"/>
        <v>-0.323974675541163+7.9543979948669i</v>
      </c>
      <c r="BD82" s="51">
        <f t="shared" si="91"/>
        <v>18.019344670029117</v>
      </c>
      <c r="BE82" s="63">
        <f t="shared" si="92"/>
        <v>92.332310718633266</v>
      </c>
      <c r="BF82" s="60" t="str">
        <f t="shared" si="93"/>
        <v>24.4086287036757+163.616793370596i</v>
      </c>
      <c r="BG82" s="66">
        <f t="shared" si="94"/>
        <v>44.372150715138815</v>
      </c>
      <c r="BH82" s="63">
        <f t="shared" si="95"/>
        <v>81.515094237481662</v>
      </c>
      <c r="BI82" s="60" t="e">
        <f t="shared" si="101"/>
        <v>#NUM!</v>
      </c>
      <c r="BJ82" s="66" t="e">
        <f t="shared" si="97"/>
        <v>#NUM!</v>
      </c>
      <c r="BK82" s="63" t="e">
        <f t="shared" si="102"/>
        <v>#NUM!</v>
      </c>
      <c r="BL82" s="51">
        <f t="shared" si="99"/>
        <v>44.372150715138815</v>
      </c>
      <c r="BM82" s="63">
        <f t="shared" si="100"/>
        <v>81.515094237481662</v>
      </c>
    </row>
    <row r="83" spans="14:65" x14ac:dyDescent="0.3">
      <c r="N83" s="11">
        <v>65</v>
      </c>
      <c r="O83" s="52">
        <f t="shared" si="62"/>
        <v>44.668359215096324</v>
      </c>
      <c r="P83" s="50" t="str">
        <f t="shared" ref="P83:P146" si="103">COMPLEX(Adc,0)</f>
        <v>21.1560044893378</v>
      </c>
      <c r="Q83" s="18" t="str">
        <f t="shared" ref="Q83:Q146" si="104">IMSUM(COMPLEX(1,0),IMDIV(COMPLEX(0,2*PI()*O83),COMPLEX(wp_lf,0)))</f>
        <v>1+0.195611221250625i</v>
      </c>
      <c r="R83" s="18">
        <f t="shared" si="63"/>
        <v>1.018952280472035</v>
      </c>
      <c r="S83" s="18">
        <f t="shared" si="64"/>
        <v>0.19317204074249569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1-0.000126047704107651i</v>
      </c>
      <c r="X83" s="18">
        <f t="shared" si="67"/>
        <v>1.0000000079440119</v>
      </c>
      <c r="Y83" s="18">
        <f t="shared" si="68"/>
        <v>-1.2604770344010137E-4</v>
      </c>
      <c r="Z83" s="32" t="str">
        <f t="shared" ref="Z83:Z146" si="107">IMSUM(COMPLEX(1,0),IMDIV(COMPLEX(0,2*PI()*O83),COMPLEX(Q*(wsl/2),0)),IMDIV(IMPOWER(COMPLEX(0,2*PI()*O83),2),IMPOWER(COMPLEX(wsl/2,0),2)))</f>
        <v>0.999999998004738+0.0000687941369284119i</v>
      </c>
      <c r="AA83" s="18">
        <f t="shared" si="69"/>
        <v>1.0000000003710547</v>
      </c>
      <c r="AB83" s="18">
        <f t="shared" si="70"/>
        <v>6.8794136957148427E-5</v>
      </c>
      <c r="AC83" s="68" t="str">
        <f t="shared" si="71"/>
        <v>20.3766726434583-3.98409026043528i</v>
      </c>
      <c r="AD83" s="66">
        <f t="shared" si="72"/>
        <v>26.345596505514091</v>
      </c>
      <c r="AE83" s="63">
        <f t="shared" si="73"/>
        <v>-11.063025660706304</v>
      </c>
      <c r="AF83" s="51" t="e">
        <f t="shared" si="74"/>
        <v>#NUM!</v>
      </c>
      <c r="AG83" s="51" t="str">
        <f t="shared" ref="AG83:AG146" si="108">IMSUM(COMPLEX(1,0),IMDIV(COMPLEX(0,2*PI()*O83),COMPLEX(wp_lf_DCM,0)))</f>
        <v>1-0.120282676421191i</v>
      </c>
      <c r="AH83" s="51">
        <f t="shared" si="75"/>
        <v>1.0072079836096639</v>
      </c>
      <c r="AI83" s="51">
        <f t="shared" si="76"/>
        <v>-0.11970758035744847</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-0.000133283554228113</v>
      </c>
      <c r="AT83" s="32" t="str">
        <f t="shared" ref="AT83:AT146" si="112">COMPLEX(0,2*PI()*O83*wp0_ea)</f>
        <v>0.0000171483002351145i</v>
      </c>
      <c r="AU83" s="32">
        <f t="shared" si="84"/>
        <v>1.7148300235114499E-5</v>
      </c>
      <c r="AV83" s="32">
        <f t="shared" si="85"/>
        <v>1.5707963267948966</v>
      </c>
      <c r="AW83" s="32" t="str">
        <f t="shared" ref="AW83:AW146" si="113">IMSUM(COMPLEX(1,0),IMDIV(COMPLEX(0,2*PI()*O83),COMPLEX(wp1_ea,0)))</f>
        <v>1+0.00299825320233657i</v>
      </c>
      <c r="AX83" s="32">
        <f t="shared" si="86"/>
        <v>1.0000044947510311</v>
      </c>
      <c r="AY83" s="32">
        <f t="shared" si="87"/>
        <v>2.9982442180970553E-3</v>
      </c>
      <c r="AZ83" s="32" t="str">
        <f t="shared" ref="AZ83:AZ146" si="114">IMSUM(COMPLEX(1,0),IMDIV(COMPLEX(0,2*PI()*O83),COMPLEX(wz_ea,0)))</f>
        <v>1+0.0446812855275035i</v>
      </c>
      <c r="BA83" s="32">
        <f t="shared" si="88"/>
        <v>1.0009977109246506</v>
      </c>
      <c r="BB83" s="32">
        <f t="shared" si="89"/>
        <v>4.4651586930417604E-2</v>
      </c>
      <c r="BC83" s="60" t="str">
        <f t="shared" si="90"/>
        <v>-0.32397454446376+7.77337750880372i</v>
      </c>
      <c r="BD83" s="51">
        <f t="shared" si="91"/>
        <v>17.819732381999863</v>
      </c>
      <c r="BE83" s="63">
        <f t="shared" si="92"/>
        <v>92.386560740027974</v>
      </c>
      <c r="BF83" s="60" t="str">
        <f t="shared" si="93"/>
        <v>24.36831438616+159.686312658142i</v>
      </c>
      <c r="BG83" s="66">
        <f t="shared" si="94"/>
        <v>44.165328887513965</v>
      </c>
      <c r="BH83" s="63">
        <f t="shared" si="95"/>
        <v>81.323535079321687</v>
      </c>
      <c r="BI83" s="60" t="e">
        <f t="shared" si="101"/>
        <v>#NUM!</v>
      </c>
      <c r="BJ83" s="66" t="e">
        <f t="shared" si="97"/>
        <v>#NUM!</v>
      </c>
      <c r="BK83" s="63" t="e">
        <f t="shared" si="102"/>
        <v>#NUM!</v>
      </c>
      <c r="BL83" s="51">
        <f t="shared" si="99"/>
        <v>44.165328887513965</v>
      </c>
      <c r="BM83" s="63">
        <f t="shared" si="100"/>
        <v>81.323535079321687</v>
      </c>
    </row>
    <row r="84" spans="14:65" x14ac:dyDescent="0.3">
      <c r="N84" s="11">
        <v>66</v>
      </c>
      <c r="O84" s="52">
        <f t="shared" ref="O84:O118" si="115">10^(1+(N84/100))</f>
        <v>45.70881896148753</v>
      </c>
      <c r="P84" s="50" t="str">
        <f t="shared" si="103"/>
        <v>21.1560044893378</v>
      </c>
      <c r="Q84" s="18" t="str">
        <f t="shared" si="104"/>
        <v>1+0.200167591917244i</v>
      </c>
      <c r="R84" s="18">
        <f t="shared" ref="R84:R147" si="116">IMABS(Q84)</f>
        <v>1.0198367834383835</v>
      </c>
      <c r="S84" s="18">
        <f t="shared" ref="S84:S147" si="117">IMARGUMENT(Q84)</f>
        <v>0.19755670072931503</v>
      </c>
      <c r="T84" s="18" t="str">
        <f t="shared" si="105"/>
        <v>1+0.00028719697970735i</v>
      </c>
      <c r="U84" s="18">
        <f t="shared" ref="U84:U147" si="118">IMABS(T84)</f>
        <v>1.0000000412410517</v>
      </c>
      <c r="V84" s="18">
        <f t="shared" ref="V84:V147" si="119">IMARGUMENT(T84)</f>
        <v>2.8719697181114656E-4</v>
      </c>
      <c r="W84" s="32" t="str">
        <f t="shared" si="106"/>
        <v>1-0.000128983732306437i</v>
      </c>
      <c r="X84" s="18">
        <f t="shared" ref="X84:X147" si="120">IMABS(W84)</f>
        <v>1.0000000083184015</v>
      </c>
      <c r="Y84" s="18">
        <f t="shared" ref="Y84:Y147" si="121">IMARGUMENT(W84)</f>
        <v>-1.2898373159114467E-4</v>
      </c>
      <c r="Z84" s="32" t="str">
        <f t="shared" si="107"/>
        <v>0.999999997910704+0.0000703965582288466i</v>
      </c>
      <c r="AA84" s="18">
        <f t="shared" ref="AA84:AA147" si="122">IMABS(Z84)</f>
        <v>1.0000000003885416</v>
      </c>
      <c r="AB84" s="18">
        <f t="shared" ref="AB84:AB147" si="123">IMARGUMENT(Z84)</f>
        <v>7.0396558259638354E-5</v>
      </c>
      <c r="AC84" s="68" t="str">
        <f t="shared" ref="AC84:AC147" si="124">(IMDIV(IMPRODUCT(P84,T84,W84),IMPRODUCT(Q84,Z84)))</f>
        <v>20.3413587876621-4.06982295464424i</v>
      </c>
      <c r="AD84" s="66">
        <f t="shared" ref="AD84:AD147" si="125">20*LOG(IMABS(AC84))</f>
        <v>26.338059996541148</v>
      </c>
      <c r="AE84" s="63">
        <f t="shared" ref="AE84:AE147" si="126">(180/PI())*IMARGUMENT(AC84)</f>
        <v>-11.314133641071665</v>
      </c>
      <c r="AF84" s="51" t="e">
        <f t="shared" ref="AF84:AF147" si="127">COMPLEX($B$68,0)</f>
        <v>#NUM!</v>
      </c>
      <c r="AG84" s="51" t="str">
        <f t="shared" si="108"/>
        <v>1-0.123084419874579i</v>
      </c>
      <c r="AH84" s="51">
        <f t="shared" ref="AH84:AH147" si="128">IMABS(AG84)</f>
        <v>1.0075464130330978</v>
      </c>
      <c r="AI84" s="51">
        <f t="shared" ref="AI84:AI147" si="129">IMARGUMENT(AG84)</f>
        <v>-0.12246844234187088</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-0.000133283554228113</v>
      </c>
      <c r="AT84" s="32" t="str">
        <f t="shared" si="112"/>
        <v>0.0000175477354601191i</v>
      </c>
      <c r="AU84" s="32">
        <f t="shared" ref="AU84:AU147" si="137">IMABS(AT84)</f>
        <v>1.7547735460119099E-5</v>
      </c>
      <c r="AV84" s="32">
        <f t="shared" ref="AV84:AV147" si="138">IMARGUMENT(AT84)</f>
        <v>1.5707963267948966</v>
      </c>
      <c r="AW84" s="32" t="str">
        <f t="shared" si="113"/>
        <v>1+0.00306809149103434i</v>
      </c>
      <c r="AX84" s="32">
        <f t="shared" ref="AX84:AX147" si="139">IMABS(AW84)</f>
        <v>1.0000047065816227</v>
      </c>
      <c r="AY84" s="32">
        <f t="shared" ref="AY84:AY147" si="140">IMARGUMENT(AW84)</f>
        <v>3.0680818642507043E-3</v>
      </c>
      <c r="AZ84" s="32" t="str">
        <f t="shared" si="114"/>
        <v>1+0.0457220463663898i</v>
      </c>
      <c r="BA84" s="32">
        <f t="shared" ref="BA84:BA147" si="141">IMABS(AZ84)</f>
        <v>1.001044707055549</v>
      </c>
      <c r="BB84" s="32">
        <f t="shared" ref="BB84:BB147" si="142">IMARGUMENT(AZ84)</f>
        <v>4.5690225539667818E-2</v>
      </c>
      <c r="BC84" s="60" t="str">
        <f t="shared" ref="BC84:BC147" si="143">IMPRODUCT(AS84,IMDIV(AZ84,IMPRODUCT(AT84,AW84)))</f>
        <v>-0.323974407208981+7.59647857035144i</v>
      </c>
      <c r="BD84" s="51">
        <f t="shared" ref="BD84:BD147" si="144">20*LOG(IMABS(BC84))</f>
        <v>17.620138328842128</v>
      </c>
      <c r="BE84" s="63">
        <f t="shared" ref="BE84:BE147" si="145">(180/PI())*IMARGUMENT(BC84)</f>
        <v>92.442068946401605</v>
      </c>
      <c r="BF84" s="60" t="str">
        <f t="shared" ref="BF84:BF147" si="146">IMPRODUCT(AC84,BC84)</f>
        <v>24.3262432050213+155.841214601481i</v>
      </c>
      <c r="BG84" s="66">
        <f t="shared" ref="BG84:BG147" si="147">20*LOG(IMABS(BF84))</f>
        <v>43.95819832538325</v>
      </c>
      <c r="BH84" s="63">
        <f t="shared" ref="BH84:BH147" si="148">(180/PI())*IMARGUMENT(BF84)</f>
        <v>81.127935305329942</v>
      </c>
      <c r="BI84" s="60" t="e">
        <f t="shared" si="101"/>
        <v>#NUM!</v>
      </c>
      <c r="BJ84" s="66" t="e">
        <f t="shared" ref="BJ84:BJ147" si="149">20*LOG(IMABS(BI84))</f>
        <v>#NUM!</v>
      </c>
      <c r="BK84" s="63" t="e">
        <f t="shared" si="102"/>
        <v>#NUM!</v>
      </c>
      <c r="BL84" s="51">
        <f t="shared" ref="BL84:BL147" si="150">IF($B$31=0,BJ84,BG84)</f>
        <v>43.95819832538325</v>
      </c>
      <c r="BM84" s="63">
        <f t="shared" ref="BM84:BM147" si="151">IF($B$31=0,BK84,BH84)</f>
        <v>81.127935305329942</v>
      </c>
    </row>
    <row r="85" spans="14:65" x14ac:dyDescent="0.3">
      <c r="N85" s="11">
        <v>67</v>
      </c>
      <c r="O85" s="52">
        <f t="shared" si="115"/>
        <v>46.773514128719818</v>
      </c>
      <c r="P85" s="50" t="str">
        <f t="shared" si="103"/>
        <v>21.1560044893378</v>
      </c>
      <c r="Q85" s="18" t="str">
        <f t="shared" si="104"/>
        <v>1+0.20483009409063i</v>
      </c>
      <c r="R85" s="18">
        <f t="shared" si="116"/>
        <v>1.020762150280454</v>
      </c>
      <c r="S85" s="18">
        <f t="shared" si="117"/>
        <v>0.20203553785133516</v>
      </c>
      <c r="T85" s="18" t="str">
        <f t="shared" si="105"/>
        <v>1+0.000293886656738729i</v>
      </c>
      <c r="U85" s="18">
        <f t="shared" si="118"/>
        <v>1.0000000431846825</v>
      </c>
      <c r="V85" s="18">
        <f t="shared" si="119"/>
        <v>2.938866482777946E-4</v>
      </c>
      <c r="W85" s="32" t="str">
        <f t="shared" si="106"/>
        <v>1-0.000131988149387394i</v>
      </c>
      <c r="X85" s="18">
        <f t="shared" si="120"/>
        <v>1.0000000087104357</v>
      </c>
      <c r="Y85" s="18">
        <f t="shared" si="121"/>
        <v>-1.319881486209445E-4</v>
      </c>
      <c r="Z85" s="32" t="str">
        <f t="shared" si="107"/>
        <v>0.999999997812238+0.0000720363047162627i</v>
      </c>
      <c r="AA85" s="18">
        <f t="shared" si="122"/>
        <v>1.0000000004068526</v>
      </c>
      <c r="AB85" s="18">
        <f t="shared" si="123"/>
        <v>7.20363047492567E-5</v>
      </c>
      <c r="AC85" s="68" t="str">
        <f t="shared" si="124"/>
        <v>20.3045116536138-4.1570739073798i</v>
      </c>
      <c r="AD85" s="66">
        <f t="shared" si="125"/>
        <v>26.33018229539541</v>
      </c>
      <c r="AE85" s="63">
        <f t="shared" si="126"/>
        <v>-11.570634906031126</v>
      </c>
      <c r="AF85" s="51" t="e">
        <f t="shared" si="127"/>
        <v>#NUM!</v>
      </c>
      <c r="AG85" s="51" t="str">
        <f t="shared" si="108"/>
        <v>1-0.125951424316598i</v>
      </c>
      <c r="AH85" s="51">
        <f t="shared" si="128"/>
        <v>1.0079006703477182</v>
      </c>
      <c r="AI85" s="51">
        <f t="shared" si="129"/>
        <v>-0.12529167160884913</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-0.000133283554228113</v>
      </c>
      <c r="AT85" s="32" t="str">
        <f t="shared" si="112"/>
        <v>0.0000179564747267363i</v>
      </c>
      <c r="AU85" s="32">
        <f t="shared" si="137"/>
        <v>1.79564747267363E-5</v>
      </c>
      <c r="AV85" s="32">
        <f t="shared" si="138"/>
        <v>1.5707963267948966</v>
      </c>
      <c r="AW85" s="32" t="str">
        <f t="shared" si="113"/>
        <v>1+0.00313955652245165i</v>
      </c>
      <c r="AX85" s="32">
        <f t="shared" si="139"/>
        <v>1.0000049283954342</v>
      </c>
      <c r="AY85" s="32">
        <f t="shared" si="140"/>
        <v>3.1395462071698824E-3</v>
      </c>
      <c r="AZ85" s="32" t="str">
        <f t="shared" si="114"/>
        <v>1+0.0467870496394624i</v>
      </c>
      <c r="BA85" s="32">
        <f t="shared" si="141"/>
        <v>1.001093915681224</v>
      </c>
      <c r="BB85" s="32">
        <f t="shared" si="142"/>
        <v>4.6752955021266071E-2</v>
      </c>
      <c r="BC85" s="60" t="str">
        <f t="shared" si="143"/>
        <v>-0.323974263485709+7.42360738534879i</v>
      </c>
      <c r="BD85" s="51">
        <f t="shared" si="144"/>
        <v>17.420563366335497</v>
      </c>
      <c r="BE85" s="63">
        <f t="shared" si="145"/>
        <v>92.498864255226366</v>
      </c>
      <c r="BF85" s="60" t="str">
        <f t="shared" si="146"/>
        <v>24.2823453518489+152.079507625067i</v>
      </c>
      <c r="BG85" s="66">
        <f t="shared" si="147"/>
        <v>43.75074566173091</v>
      </c>
      <c r="BH85" s="63">
        <f t="shared" si="148"/>
        <v>80.928229349195249</v>
      </c>
      <c r="BI85" s="60" t="e">
        <f t="shared" si="101"/>
        <v>#NUM!</v>
      </c>
      <c r="BJ85" s="66" t="e">
        <f t="shared" si="149"/>
        <v>#NUM!</v>
      </c>
      <c r="BK85" s="63" t="e">
        <f t="shared" si="102"/>
        <v>#NUM!</v>
      </c>
      <c r="BL85" s="51">
        <f t="shared" si="150"/>
        <v>43.75074566173091</v>
      </c>
      <c r="BM85" s="63">
        <f t="shared" si="151"/>
        <v>80.928229349195249</v>
      </c>
    </row>
    <row r="86" spans="14:65" x14ac:dyDescent="0.3">
      <c r="N86" s="11">
        <v>68</v>
      </c>
      <c r="O86" s="52">
        <f t="shared" si="115"/>
        <v>47.863009232263877</v>
      </c>
      <c r="P86" s="50" t="str">
        <f t="shared" si="103"/>
        <v>21.1560044893378</v>
      </c>
      <c r="Q86" s="18" t="str">
        <f t="shared" si="104"/>
        <v>1+0.209601199891149i</v>
      </c>
      <c r="R86" s="18">
        <f t="shared" si="116"/>
        <v>1.0217302300489153</v>
      </c>
      <c r="S86" s="18">
        <f t="shared" si="117"/>
        <v>0.2066102077433663</v>
      </c>
      <c r="T86" s="18" t="str">
        <f t="shared" si="105"/>
        <v>1+0.000300732156365561i</v>
      </c>
      <c r="U86" s="18">
        <f t="shared" si="118"/>
        <v>1.0000000452199138</v>
      </c>
      <c r="V86" s="18">
        <f t="shared" si="119"/>
        <v>3.0073214729950647E-4</v>
      </c>
      <c r="W86" s="32" t="str">
        <f t="shared" si="106"/>
        <v>1-0.000135062548332225i</v>
      </c>
      <c r="X86" s="18">
        <f t="shared" si="120"/>
        <v>1.000000009120946</v>
      </c>
      <c r="Y86" s="18">
        <f t="shared" si="121"/>
        <v>-1.3506254751095953E-4</v>
      </c>
      <c r="Z86" s="32" t="str">
        <f t="shared" si="107"/>
        <v>0.999999997709132+0.0000737142458059527i</v>
      </c>
      <c r="AA86" s="18">
        <f t="shared" si="122"/>
        <v>1.0000000004260268</v>
      </c>
      <c r="AB86" s="18">
        <f t="shared" si="123"/>
        <v>7.3714245841306411E-5</v>
      </c>
      <c r="AC86" s="68" t="str">
        <f t="shared" si="124"/>
        <v>20.2660708399037-4.24584735713977i</v>
      </c>
      <c r="AD86" s="66">
        <f t="shared" si="125"/>
        <v>26.321948616566893</v>
      </c>
      <c r="AE86" s="63">
        <f t="shared" si="126"/>
        <v>-11.83262425433124</v>
      </c>
      <c r="AF86" s="51" t="e">
        <f t="shared" si="127"/>
        <v>#NUM!</v>
      </c>
      <c r="AG86" s="51" t="str">
        <f t="shared" si="108"/>
        <v>1-0.128885209870955i</v>
      </c>
      <c r="AH86" s="51">
        <f t="shared" si="128"/>
        <v>1.008271489889246</v>
      </c>
      <c r="AI86" s="51">
        <f t="shared" si="129"/>
        <v>-0.1281785849524899</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-0.000133283554228113</v>
      </c>
      <c r="AT86" s="32" t="str">
        <f t="shared" si="112"/>
        <v>0.0000183747347539358i</v>
      </c>
      <c r="AU86" s="32">
        <f t="shared" si="137"/>
        <v>1.8374734753935798E-5</v>
      </c>
      <c r="AV86" s="32">
        <f t="shared" si="138"/>
        <v>1.5707963267948966</v>
      </c>
      <c r="AW86" s="32" t="str">
        <f t="shared" si="113"/>
        <v>1+0.00321268618829411i</v>
      </c>
      <c r="AX86" s="32">
        <f t="shared" si="139"/>
        <v>1.0000051606629561</v>
      </c>
      <c r="AY86" s="32">
        <f t="shared" si="140"/>
        <v>3.2126751352736381E-3</v>
      </c>
      <c r="AZ86" s="32" t="str">
        <f t="shared" si="114"/>
        <v>1+0.0478768600255536i</v>
      </c>
      <c r="BA86" s="32">
        <f t="shared" si="141"/>
        <v>1.0011454408455878</v>
      </c>
      <c r="BB86" s="32">
        <f t="shared" si="142"/>
        <v>4.7840329241066293E-2</v>
      </c>
      <c r="BC86" s="60" t="str">
        <f t="shared" si="143"/>
        <v>-0.323974112989104+7.2546722952023i</v>
      </c>
      <c r="BD86" s="51">
        <f t="shared" si="144"/>
        <v>17.221008390244442</v>
      </c>
      <c r="BE86" s="63">
        <f t="shared" si="145"/>
        <v>92.556976229831591</v>
      </c>
      <c r="BF86" s="60" t="str">
        <f t="shared" si="146"/>
        <v>24.2365488673676+148.399247286273i</v>
      </c>
      <c r="BG86" s="66">
        <f t="shared" si="147"/>
        <v>43.542957006811335</v>
      </c>
      <c r="BH86" s="63">
        <f t="shared" si="148"/>
        <v>80.724351975500383</v>
      </c>
      <c r="BI86" s="60" t="e">
        <f t="shared" si="101"/>
        <v>#NUM!</v>
      </c>
      <c r="BJ86" s="66" t="e">
        <f t="shared" si="149"/>
        <v>#NUM!</v>
      </c>
      <c r="BK86" s="63" t="e">
        <f t="shared" si="102"/>
        <v>#NUM!</v>
      </c>
      <c r="BL86" s="51">
        <f t="shared" si="150"/>
        <v>43.542957006811335</v>
      </c>
      <c r="BM86" s="63">
        <f t="shared" si="151"/>
        <v>80.724351975500383</v>
      </c>
    </row>
    <row r="87" spans="14:65" x14ac:dyDescent="0.3">
      <c r="N87" s="11">
        <v>69</v>
      </c>
      <c r="O87" s="52">
        <f t="shared" si="115"/>
        <v>48.977881936844632</v>
      </c>
      <c r="P87" s="50" t="str">
        <f t="shared" si="103"/>
        <v>21.1560044893378</v>
      </c>
      <c r="Q87" s="18" t="str">
        <f t="shared" si="104"/>
        <v>1+0.214483439022251i</v>
      </c>
      <c r="R87" s="18">
        <f t="shared" si="116"/>
        <v>1.0227429518773579</v>
      </c>
      <c r="S87" s="18">
        <f t="shared" si="117"/>
        <v>0.21128236970107672</v>
      </c>
      <c r="T87" s="18" t="str">
        <f t="shared" si="105"/>
        <v>1+0.000307737108162359i</v>
      </c>
      <c r="U87" s="18">
        <f t="shared" si="118"/>
        <v>1.0000000473510626</v>
      </c>
      <c r="V87" s="18">
        <f t="shared" si="119"/>
        <v>3.0773709844790655E-4</v>
      </c>
      <c r="W87" s="32" t="str">
        <f t="shared" si="106"/>
        <v>1-0.000138208559227947i</v>
      </c>
      <c r="X87" s="18">
        <f t="shared" si="120"/>
        <v>1.0000000095508028</v>
      </c>
      <c r="Y87" s="18">
        <f t="shared" si="121"/>
        <v>-1.3820855834794521E-4</v>
      </c>
      <c r="Z87" s="32" t="str">
        <f t="shared" si="107"/>
        <v>0.999999997601167+0.0000754312711644925i</v>
      </c>
      <c r="AA87" s="18">
        <f t="shared" si="122"/>
        <v>1.0000000004461052</v>
      </c>
      <c r="AB87" s="18">
        <f t="shared" si="123"/>
        <v>7.5431271202374648E-5</v>
      </c>
      <c r="AC87" s="68" t="str">
        <f t="shared" si="124"/>
        <v>20.2259741337551-4.33614576743022i</v>
      </c>
      <c r="AD87" s="66">
        <f t="shared" si="125"/>
        <v>26.313343594723474</v>
      </c>
      <c r="AE87" s="63">
        <f t="shared" si="126"/>
        <v>-12.100196693022934</v>
      </c>
      <c r="AF87" s="51" t="e">
        <f t="shared" si="127"/>
        <v>#NUM!</v>
      </c>
      <c r="AG87" s="51" t="str">
        <f t="shared" si="108"/>
        <v>1-0.131887332069583i</v>
      </c>
      <c r="AH87" s="51">
        <f t="shared" si="128"/>
        <v>1.0086596395020633</v>
      </c>
      <c r="AI87" s="51">
        <f t="shared" si="129"/>
        <v>-0.13113052046741508</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-0.000133283554228113</v>
      </c>
      <c r="AT87" s="32" t="str">
        <f t="shared" si="112"/>
        <v>0.0000188027373087201i</v>
      </c>
      <c r="AU87" s="32">
        <f t="shared" si="137"/>
        <v>1.8802737308720101E-5</v>
      </c>
      <c r="AV87" s="32">
        <f t="shared" si="138"/>
        <v>1.5707963267948966</v>
      </c>
      <c r="AW87" s="32" t="str">
        <f t="shared" si="113"/>
        <v>1+0.00328751926287853i</v>
      </c>
      <c r="AX87" s="32">
        <f t="shared" si="139"/>
        <v>1.0000054038768509</v>
      </c>
      <c r="AY87" s="32">
        <f t="shared" si="140"/>
        <v>3.2875074193571695E-3</v>
      </c>
      <c r="AZ87" s="32" t="str">
        <f t="shared" si="114"/>
        <v>1+0.0489920553565557i</v>
      </c>
      <c r="BA87" s="32">
        <f t="shared" si="141"/>
        <v>1.0011993914740758</v>
      </c>
      <c r="BB87" s="32">
        <f t="shared" si="142"/>
        <v>4.8952914447885271E-2</v>
      </c>
      <c r="BC87" s="60" t="str">
        <f t="shared" si="143"/>
        <v>-0.323973955399965+7.08958372828813i</v>
      </c>
      <c r="BD87" s="51">
        <f t="shared" si="144"/>
        <v>17.021474338170005</v>
      </c>
      <c r="BE87" s="63">
        <f t="shared" si="145"/>
        <v>92.616435092481709</v>
      </c>
      <c r="BF87" s="60" t="str">
        <f t="shared" si="146"/>
        <v>24.1887796343287+144.798535402912i</v>
      </c>
      <c r="BG87" s="66">
        <f t="shared" si="147"/>
        <v>43.334817932893479</v>
      </c>
      <c r="BH87" s="63">
        <f t="shared" si="148"/>
        <v>80.516238399458786</v>
      </c>
      <c r="BI87" s="60" t="e">
        <f t="shared" si="101"/>
        <v>#NUM!</v>
      </c>
      <c r="BJ87" s="66" t="e">
        <f t="shared" si="149"/>
        <v>#NUM!</v>
      </c>
      <c r="BK87" s="63" t="e">
        <f t="shared" si="102"/>
        <v>#NUM!</v>
      </c>
      <c r="BL87" s="51">
        <f t="shared" si="150"/>
        <v>43.334817932893479</v>
      </c>
      <c r="BM87" s="63">
        <f t="shared" si="151"/>
        <v>80.516238399458786</v>
      </c>
    </row>
    <row r="88" spans="14:65" x14ac:dyDescent="0.3">
      <c r="N88" s="11">
        <v>70</v>
      </c>
      <c r="O88" s="52">
        <f t="shared" si="115"/>
        <v>50.118723362727238</v>
      </c>
      <c r="P88" s="50" t="str">
        <f t="shared" si="103"/>
        <v>21.1560044893378</v>
      </c>
      <c r="Q88" s="18" t="str">
        <f t="shared" si="104"/>
        <v>1+0.219479400111745i</v>
      </c>
      <c r="R88" s="18">
        <f t="shared" si="116"/>
        <v>1.0238023281246296</v>
      </c>
      <c r="S88" s="18">
        <f t="shared" si="117"/>
        <v>0.21605368467433386</v>
      </c>
      <c r="T88" s="18" t="str">
        <f t="shared" si="105"/>
        <v>1+0.000314905226247286i</v>
      </c>
      <c r="U88" s="18">
        <f t="shared" si="118"/>
        <v>1.0000000495826495</v>
      </c>
      <c r="V88" s="18">
        <f t="shared" si="119"/>
        <v>3.1490521583806274E-4</v>
      </c>
      <c r="W88" s="32" t="str">
        <f t="shared" si="106"/>
        <v>1-0.000141427850131178i</v>
      </c>
      <c r="X88" s="18">
        <f t="shared" si="120"/>
        <v>1.0000000100009183</v>
      </c>
      <c r="Y88" s="18">
        <f t="shared" si="121"/>
        <v>-1.4142784918823908E-4</v>
      </c>
      <c r="Z88" s="32" t="str">
        <f t="shared" si="107"/>
        <v>0.999999997488114+0.0000771882911814544i</v>
      </c>
      <c r="AA88" s="18">
        <f t="shared" si="122"/>
        <v>1.0000000004671301</v>
      </c>
      <c r="AB88" s="18">
        <f t="shared" si="123"/>
        <v>7.7188291222045807E-5</v>
      </c>
      <c r="AC88" s="68" t="str">
        <f t="shared" si="124"/>
        <v>20.1841575106625-4.42796968997188i</v>
      </c>
      <c r="AD88" s="66">
        <f t="shared" si="125"/>
        <v>26.304351267573342</v>
      </c>
      <c r="AE88" s="63">
        <f t="shared" si="126"/>
        <v>-12.373447322454428</v>
      </c>
      <c r="AF88" s="51" t="e">
        <f t="shared" si="127"/>
        <v>#NUM!</v>
      </c>
      <c r="AG88" s="51" t="str">
        <f t="shared" si="108"/>
        <v>1-0.134959382677408i</v>
      </c>
      <c r="AH88" s="51">
        <f t="shared" si="128"/>
        <v>1.0090659220153395</v>
      </c>
      <c r="AI88" s="51">
        <f t="shared" si="129"/>
        <v>-0.13414883741614048</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-0.000133283554228113</v>
      </c>
      <c r="AT88" s="32" t="str">
        <f t="shared" si="112"/>
        <v>0.0000192407093237092i</v>
      </c>
      <c r="AU88" s="32">
        <f t="shared" si="137"/>
        <v>1.9240709323709201E-5</v>
      </c>
      <c r="AV88" s="32">
        <f t="shared" si="138"/>
        <v>1.5707963267948966</v>
      </c>
      <c r="AW88" s="32" t="str">
        <f t="shared" si="113"/>
        <v>1+0.00336409542369159i</v>
      </c>
      <c r="AX88" s="32">
        <f t="shared" si="139"/>
        <v>1.0000056585530002</v>
      </c>
      <c r="AY88" s="32">
        <f t="shared" si="140"/>
        <v>3.3640827331336887E-3</v>
      </c>
      <c r="AZ88" s="32" t="str">
        <f t="shared" si="114"/>
        <v>1+0.0501332269237941i</v>
      </c>
      <c r="BA88" s="32">
        <f t="shared" si="141"/>
        <v>1.0012558816015977</v>
      </c>
      <c r="BB88" s="32">
        <f t="shared" si="142"/>
        <v>5.009128952519281E-2</v>
      </c>
      <c r="BC88" s="60" t="str">
        <f t="shared" si="143"/>
        <v>-0.323973790384038+6.92825415245957i</v>
      </c>
      <c r="BD88" s="51">
        <f t="shared" si="144"/>
        <v>16.821962191484555</v>
      </c>
      <c r="BE88" s="63">
        <f t="shared" si="145"/>
        <v>92.677271737620018</v>
      </c>
      <c r="BF88" s="60" t="str">
        <f t="shared" si="146"/>
        <v>24.138961377075+141.275519211311i</v>
      </c>
      <c r="BG88" s="66">
        <f t="shared" si="147"/>
        <v>43.126313459057883</v>
      </c>
      <c r="BH88" s="63">
        <f t="shared" si="148"/>
        <v>80.303824415165579</v>
      </c>
      <c r="BI88" s="60" t="e">
        <f t="shared" si="101"/>
        <v>#NUM!</v>
      </c>
      <c r="BJ88" s="66" t="e">
        <f t="shared" si="149"/>
        <v>#NUM!</v>
      </c>
      <c r="BK88" s="63" t="e">
        <f t="shared" si="102"/>
        <v>#NUM!</v>
      </c>
      <c r="BL88" s="51">
        <f t="shared" si="150"/>
        <v>43.126313459057883</v>
      </c>
      <c r="BM88" s="63">
        <f t="shared" si="151"/>
        <v>80.303824415165579</v>
      </c>
    </row>
    <row r="89" spans="14:65" x14ac:dyDescent="0.3">
      <c r="N89" s="11">
        <v>71</v>
      </c>
      <c r="O89" s="52">
        <f t="shared" si="115"/>
        <v>51.28613839913649</v>
      </c>
      <c r="P89" s="50" t="str">
        <f t="shared" si="103"/>
        <v>21.1560044893378</v>
      </c>
      <c r="Q89" s="18" t="str">
        <f t="shared" si="104"/>
        <v>1+0.224591732084332i</v>
      </c>
      <c r="R89" s="18">
        <f t="shared" si="116"/>
        <v>1.0249104576111225</v>
      </c>
      <c r="S89" s="18">
        <f t="shared" si="117"/>
        <v>0.22092581310833362</v>
      </c>
      <c r="T89" s="18" t="str">
        <f t="shared" si="105"/>
        <v>1+0.000322240311251433i</v>
      </c>
      <c r="U89" s="18">
        <f t="shared" si="118"/>
        <v>1.0000000519194077</v>
      </c>
      <c r="V89" s="18">
        <f t="shared" si="119"/>
        <v>3.2224030009774934E-4</v>
      </c>
      <c r="W89" s="32" t="str">
        <f t="shared" si="106"/>
        <v>1-0.000144722127952567i</v>
      </c>
      <c r="X89" s="18">
        <f t="shared" si="120"/>
        <v>1.0000000104722471</v>
      </c>
      <c r="Y89" s="18">
        <f t="shared" si="121"/>
        <v>-1.4472212694218977E-4</v>
      </c>
      <c r="Z89" s="32" t="str">
        <f t="shared" si="107"/>
        <v>0.999999997369732+0.0000789862374521085i</v>
      </c>
      <c r="AA89" s="18">
        <f t="shared" si="122"/>
        <v>1.0000000004891447</v>
      </c>
      <c r="AB89" s="18">
        <f t="shared" si="123"/>
        <v>7.8986237495603024E-5</v>
      </c>
      <c r="AC89" s="68" t="str">
        <f t="shared" si="124"/>
        <v>20.1405551402471-4.52131762188926i</v>
      </c>
      <c r="AD89" s="66">
        <f t="shared" si="125"/>
        <v>26.294955058752794</v>
      </c>
      <c r="AE89" s="63">
        <f t="shared" si="126"/>
        <v>-12.652471212542942</v>
      </c>
      <c r="AF89" s="51" t="e">
        <f t="shared" si="127"/>
        <v>#NUM!</v>
      </c>
      <c r="AG89" s="51" t="str">
        <f t="shared" si="108"/>
        <v>1-0.138102990536329i</v>
      </c>
      <c r="AH89" s="51">
        <f t="shared" si="128"/>
        <v>1.0094911767792116</v>
      </c>
      <c r="AI89" s="51">
        <f t="shared" si="129"/>
        <v>-0.13723491605325069</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-0.000133283554228113</v>
      </c>
      <c r="AT89" s="32" t="str">
        <f t="shared" si="112"/>
        <v>0.0000196888830174626i</v>
      </c>
      <c r="AU89" s="32">
        <f t="shared" si="137"/>
        <v>1.9688883017462601E-5</v>
      </c>
      <c r="AV89" s="32">
        <f t="shared" si="138"/>
        <v>1.5707963267948966</v>
      </c>
      <c r="AW89" s="32" t="str">
        <f t="shared" si="113"/>
        <v>1+0.00344245527242736i</v>
      </c>
      <c r="AX89" s="32">
        <f t="shared" si="139"/>
        <v>1.0000059252315971</v>
      </c>
      <c r="AY89" s="32">
        <f t="shared" si="140"/>
        <v>3.4424416742539258E-3</v>
      </c>
      <c r="AZ89" s="32" t="str">
        <f t="shared" si="114"/>
        <v>1+0.0513009797915394i</v>
      </c>
      <c r="BA89" s="32">
        <f t="shared" si="141"/>
        <v>1.0013150306110319</v>
      </c>
      <c r="BB89" s="32">
        <f t="shared" si="142"/>
        <v>5.125604624607772E-2</v>
      </c>
      <c r="BC89" s="60" t="str">
        <f t="shared" si="143"/>
        <v>-0.323973617591335+6.77059802863658i</v>
      </c>
      <c r="BD89" s="51">
        <f t="shared" si="144"/>
        <v>16.622472977355031</v>
      </c>
      <c r="BE89" s="63">
        <f t="shared" si="145"/>
        <v>92.73951774527292</v>
      </c>
      <c r="BF89" s="60" t="str">
        <f t="shared" si="146"/>
        <v>24.0870156685196+137.828390554446i</v>
      </c>
      <c r="BG89" s="66">
        <f t="shared" si="147"/>
        <v>42.917428036107808</v>
      </c>
      <c r="BH89" s="63">
        <f t="shared" si="148"/>
        <v>80.087046532729985</v>
      </c>
      <c r="BI89" s="60" t="e">
        <f t="shared" si="101"/>
        <v>#NUM!</v>
      </c>
      <c r="BJ89" s="66" t="e">
        <f t="shared" si="149"/>
        <v>#NUM!</v>
      </c>
      <c r="BK89" s="63" t="e">
        <f t="shared" si="102"/>
        <v>#NUM!</v>
      </c>
      <c r="BL89" s="51">
        <f t="shared" si="150"/>
        <v>42.917428036107808</v>
      </c>
      <c r="BM89" s="63">
        <f t="shared" si="151"/>
        <v>80.087046532729985</v>
      </c>
    </row>
    <row r="90" spans="14:65" x14ac:dyDescent="0.3">
      <c r="N90" s="11">
        <v>72</v>
      </c>
      <c r="O90" s="52">
        <f t="shared" si="115"/>
        <v>52.480746024977286</v>
      </c>
      <c r="P90" s="50" t="str">
        <f t="shared" si="103"/>
        <v>21.1560044893378</v>
      </c>
      <c r="Q90" s="18" t="str">
        <f t="shared" si="104"/>
        <v>1+0.229823145566094i</v>
      </c>
      <c r="R90" s="18">
        <f t="shared" si="116"/>
        <v>1.0260695289491322</v>
      </c>
      <c r="S90" s="18">
        <f t="shared" si="117"/>
        <v>0.22590041262595151</v>
      </c>
      <c r="T90" s="18" t="str">
        <f t="shared" si="105"/>
        <v>1+0.000329746252333961i</v>
      </c>
      <c r="U90" s="18">
        <f t="shared" si="118"/>
        <v>1.0000000543662939</v>
      </c>
      <c r="V90" s="18">
        <f t="shared" si="119"/>
        <v>3.2974624038257361E-4</v>
      </c>
      <c r="W90" s="32" t="str">
        <f t="shared" si="106"/>
        <v>1-0.00014809313936182i</v>
      </c>
      <c r="X90" s="18">
        <f t="shared" si="120"/>
        <v>1.0000000109657889</v>
      </c>
      <c r="Y90" s="18">
        <f t="shared" si="121"/>
        <v>-1.4809313827918128E-4</v>
      </c>
      <c r="Z90" s="32" t="str">
        <f t="shared" si="107"/>
        <v>0.999999997245771+0.0000808260632713665i</v>
      </c>
      <c r="AA90" s="18">
        <f t="shared" si="122"/>
        <v>1.0000000005121972</v>
      </c>
      <c r="AB90" s="18">
        <f t="shared" si="123"/>
        <v>8.0826063317971731E-5</v>
      </c>
      <c r="AC90" s="68" t="str">
        <f t="shared" si="124"/>
        <v>20.0950993989764-4.61618585691625i</v>
      </c>
      <c r="AD90" s="66">
        <f t="shared" si="125"/>
        <v>26.285137760801135</v>
      </c>
      <c r="AE90" s="63">
        <f t="shared" si="126"/>
        <v>-12.937363269947664</v>
      </c>
      <c r="AF90" s="51" t="e">
        <f t="shared" si="127"/>
        <v>#NUM!</v>
      </c>
      <c r="AG90" s="51" t="str">
        <f t="shared" si="108"/>
        <v>1-0.141319822428841i</v>
      </c>
      <c r="AH90" s="51">
        <f t="shared" si="128"/>
        <v>1.0099362812629908</v>
      </c>
      <c r="AI90" s="51">
        <f t="shared" si="129"/>
        <v>-0.14039015740303473</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-0.000133283554228113</v>
      </c>
      <c r="AT90" s="32" t="str">
        <f t="shared" si="112"/>
        <v>0.000020147496017605i</v>
      </c>
      <c r="AU90" s="32">
        <f t="shared" si="137"/>
        <v>2.0147496017604999E-5</v>
      </c>
      <c r="AV90" s="32">
        <f t="shared" si="138"/>
        <v>1.5707963267948966</v>
      </c>
      <c r="AW90" s="32" t="str">
        <f t="shared" si="113"/>
        <v>1+0.00352264035651486i</v>
      </c>
      <c r="AX90" s="32">
        <f t="shared" si="139"/>
        <v>1.0000062044782929</v>
      </c>
      <c r="AY90" s="32">
        <f t="shared" si="140"/>
        <v>3.522625785814392E-3</v>
      </c>
      <c r="AZ90" s="32" t="str">
        <f t="shared" si="114"/>
        <v>1+0.0524959331178189i</v>
      </c>
      <c r="BA90" s="32">
        <f t="shared" si="141"/>
        <v>1.0013769634827387</v>
      </c>
      <c r="BB90" s="32">
        <f t="shared" si="142"/>
        <v>5.2447789531379643E-2</v>
      </c>
      <c r="BC90" s="60" t="str">
        <f t="shared" si="143"/>
        <v>-0.323973436655358+6.61653176545178i</v>
      </c>
      <c r="BD90" s="51">
        <f t="shared" si="144"/>
        <v>16.423007770857382</v>
      </c>
      <c r="BE90" s="63">
        <f t="shared" si="145"/>
        <v>92.803205394607346</v>
      </c>
      <c r="BF90" s="60" t="str">
        <f t="shared" si="146"/>
        <v>24.0328619452982+134.455385099543i</v>
      </c>
      <c r="BG90" s="66">
        <f t="shared" si="147"/>
        <v>42.708145531658495</v>
      </c>
      <c r="BH90" s="63">
        <f t="shared" si="148"/>
        <v>79.865842124659665</v>
      </c>
      <c r="BI90" s="60" t="e">
        <f t="shared" si="101"/>
        <v>#NUM!</v>
      </c>
      <c r="BJ90" s="66" t="e">
        <f t="shared" si="149"/>
        <v>#NUM!</v>
      </c>
      <c r="BK90" s="63" t="e">
        <f t="shared" si="102"/>
        <v>#NUM!</v>
      </c>
      <c r="BL90" s="51">
        <f t="shared" si="150"/>
        <v>42.708145531658495</v>
      </c>
      <c r="BM90" s="63">
        <f t="shared" si="151"/>
        <v>79.865842124659665</v>
      </c>
    </row>
    <row r="91" spans="14:65" x14ac:dyDescent="0.3">
      <c r="N91" s="11">
        <v>73</v>
      </c>
      <c r="O91" s="52">
        <f t="shared" si="115"/>
        <v>53.703179637025293</v>
      </c>
      <c r="P91" s="50" t="str">
        <f t="shared" si="103"/>
        <v>21.1560044893378</v>
      </c>
      <c r="Q91" s="18" t="str">
        <f t="shared" si="104"/>
        <v>1+0.235176414321704i</v>
      </c>
      <c r="R91" s="18">
        <f t="shared" si="116"/>
        <v>1.0272818239671204</v>
      </c>
      <c r="S91" s="18">
        <f t="shared" si="117"/>
        <v>0.23097913554485958</v>
      </c>
      <c r="T91" s="18" t="str">
        <f t="shared" si="105"/>
        <v>1+0.000337427029244183i</v>
      </c>
      <c r="U91" s="18">
        <f t="shared" si="118"/>
        <v>1.0000000569284984</v>
      </c>
      <c r="V91" s="18">
        <f t="shared" si="119"/>
        <v>3.3742701643804077E-4</v>
      </c>
      <c r="W91" s="32" t="str">
        <f t="shared" si="106"/>
        <v>1-0.000151542671713808i</v>
      </c>
      <c r="X91" s="18">
        <f t="shared" si="120"/>
        <v>1.0000000114825907</v>
      </c>
      <c r="Y91" s="18">
        <f t="shared" si="121"/>
        <v>-1.5154267055373971E-4</v>
      </c>
      <c r="Z91" s="32" t="str">
        <f t="shared" si="107"/>
        <v>0.999999997115969+0.00008270874413923i</v>
      </c>
      <c r="AA91" s="18">
        <f t="shared" si="122"/>
        <v>1.0000000005363372</v>
      </c>
      <c r="AB91" s="18">
        <f t="shared" si="123"/>
        <v>8.2708744189168346E-5</v>
      </c>
      <c r="AC91" s="68" t="str">
        <f t="shared" si="124"/>
        <v>20.047720890432-4.71256833069718i</v>
      </c>
      <c r="AD91" s="66">
        <f t="shared" si="125"/>
        <v>26.274881518291583</v>
      </c>
      <c r="AE91" s="63">
        <f t="shared" si="126"/>
        <v>-13.228218095774773</v>
      </c>
      <c r="AF91" s="51" t="e">
        <f t="shared" si="127"/>
        <v>#NUM!</v>
      </c>
      <c r="AG91" s="51" t="str">
        <f t="shared" si="108"/>
        <v>1-0.144611583961793i</v>
      </c>
      <c r="AH91" s="51">
        <f t="shared" si="128"/>
        <v>1.0104021527173914</v>
      </c>
      <c r="AI91" s="51">
        <f t="shared" si="129"/>
        <v>-0.14361598298711664</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-0.000133283554228113</v>
      </c>
      <c r="AT91" s="32" t="str">
        <f t="shared" si="112"/>
        <v>0.0000206167914868196i</v>
      </c>
      <c r="AU91" s="32">
        <f t="shared" si="137"/>
        <v>2.06167914868196E-5</v>
      </c>
      <c r="AV91" s="32">
        <f t="shared" si="138"/>
        <v>1.5707963267948966</v>
      </c>
      <c r="AW91" s="32" t="str">
        <f t="shared" si="113"/>
        <v>1+0.00360469319114702i</v>
      </c>
      <c r="AX91" s="32">
        <f t="shared" si="139"/>
        <v>1.0000064968853963</v>
      </c>
      <c r="AY91" s="32">
        <f t="shared" si="140"/>
        <v>3.6046775783656563E-3</v>
      </c>
      <c r="AZ91" s="32" t="str">
        <f t="shared" si="114"/>
        <v>1+0.0537187204827031i</v>
      </c>
      <c r="BA91" s="32">
        <f t="shared" si="141"/>
        <v>1.0014418110555894</v>
      </c>
      <c r="BB91" s="32">
        <f t="shared" si="142"/>
        <v>5.366713771087317E-2</v>
      </c>
      <c r="BC91" s="60" t="str">
        <f t="shared" si="143"/>
        <v>-0.323973247192348+6.46597367492907i</v>
      </c>
      <c r="BD91" s="51">
        <f t="shared" si="144"/>
        <v>16.223567697186358</v>
      </c>
      <c r="BE91" s="63">
        <f t="shared" si="145"/>
        <v>92.868367677634623</v>
      </c>
      <c r="BF91" s="60" t="str">
        <f t="shared" si="146"/>
        <v>23.9764175319133+131.154781584571i</v>
      </c>
      <c r="BG91" s="66">
        <f t="shared" si="147"/>
        <v>42.498449215477962</v>
      </c>
      <c r="BH91" s="63">
        <f t="shared" si="148"/>
        <v>79.640149581859873</v>
      </c>
      <c r="BI91" s="60" t="e">
        <f t="shared" si="101"/>
        <v>#NUM!</v>
      </c>
      <c r="BJ91" s="66" t="e">
        <f t="shared" si="149"/>
        <v>#NUM!</v>
      </c>
      <c r="BK91" s="63" t="e">
        <f t="shared" si="102"/>
        <v>#NUM!</v>
      </c>
      <c r="BL91" s="51">
        <f t="shared" si="150"/>
        <v>42.498449215477962</v>
      </c>
      <c r="BM91" s="63">
        <f t="shared" si="151"/>
        <v>79.640149581859873</v>
      </c>
    </row>
    <row r="92" spans="14:65" x14ac:dyDescent="0.3">
      <c r="N92" s="11">
        <v>74</v>
      </c>
      <c r="O92" s="52">
        <f t="shared" si="115"/>
        <v>54.95408738576247</v>
      </c>
      <c r="P92" s="50" t="str">
        <f t="shared" si="103"/>
        <v>21.1560044893378</v>
      </c>
      <c r="Q92" s="18" t="str">
        <f t="shared" si="104"/>
        <v>1+0.240654376725115i</v>
      </c>
      <c r="R92" s="18">
        <f t="shared" si="116"/>
        <v>1.0285497212273957</v>
      </c>
      <c r="S92" s="18">
        <f t="shared" si="117"/>
        <v>0.23616362622303924</v>
      </c>
      <c r="T92" s="18" t="str">
        <f t="shared" si="105"/>
        <v>1+0.000345286714431686i</v>
      </c>
      <c r="U92" s="18">
        <f t="shared" si="118"/>
        <v>1.0000000596114558</v>
      </c>
      <c r="V92" s="18">
        <f t="shared" si="119"/>
        <v>3.4528670070965744E-4</v>
      </c>
      <c r="W92" s="32" t="str">
        <f t="shared" si="106"/>
        <v>1-0.000155072553996242i</v>
      </c>
      <c r="X92" s="18">
        <f t="shared" si="120"/>
        <v>1.0000000120237484</v>
      </c>
      <c r="Y92" s="18">
        <f t="shared" si="121"/>
        <v>-1.5507255275320643E-4</v>
      </c>
      <c r="Z92" s="32" t="str">
        <f t="shared" si="107"/>
        <v>0.999999996980048+0.0000846352782780161i</v>
      </c>
      <c r="AA92" s="18">
        <f t="shared" si="122"/>
        <v>1.000000000561613</v>
      </c>
      <c r="AB92" s="18">
        <f t="shared" si="123"/>
        <v>8.4635278331526059E-5</v>
      </c>
      <c r="AC92" s="68" t="str">
        <f t="shared" si="124"/>
        <v>19.9983484738401-4.81045646030926i</v>
      </c>
      <c r="AD92" s="66">
        <f t="shared" si="125"/>
        <v>26.264167811191626</v>
      </c>
      <c r="AE92" s="63">
        <f t="shared" si="126"/>
        <v>-13.525129833449926</v>
      </c>
      <c r="AF92" s="51" t="e">
        <f t="shared" si="127"/>
        <v>#NUM!</v>
      </c>
      <c r="AG92" s="51" t="str">
        <f t="shared" si="108"/>
        <v>1-0.147980020470723i</v>
      </c>
      <c r="AH92" s="51">
        <f t="shared" si="128"/>
        <v>1.0108897499027851</v>
      </c>
      <c r="AI92" s="51">
        <f t="shared" si="129"/>
        <v>-0.14691383449837198</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-0.000133283554228113</v>
      </c>
      <c r="AT92" s="32" t="str">
        <f t="shared" si="112"/>
        <v>0.000021097018251776i</v>
      </c>
      <c r="AU92" s="32">
        <f t="shared" si="137"/>
        <v>2.1097018251776001E-5</v>
      </c>
      <c r="AV92" s="32">
        <f t="shared" si="138"/>
        <v>1.5707963267948966</v>
      </c>
      <c r="AW92" s="32" t="str">
        <f t="shared" si="113"/>
        <v>1+0.0036886572818229i</v>
      </c>
      <c r="AX92" s="32">
        <f t="shared" si="139"/>
        <v>1.0000068030731304</v>
      </c>
      <c r="AY92" s="32">
        <f t="shared" si="140"/>
        <v>3.6886405524324067E-3</v>
      </c>
      <c r="AZ92" s="32" t="str">
        <f t="shared" si="114"/>
        <v>1+0.0549699902242388i</v>
      </c>
      <c r="BA92" s="32">
        <f t="shared" si="141"/>
        <v>1.0015097103000314</v>
      </c>
      <c r="BB92" s="32">
        <f t="shared" si="142"/>
        <v>5.4914722787366713E-2</v>
      </c>
      <c r="BC92" s="60" t="str">
        <f t="shared" si="143"/>
        <v>-0.32397304880046+6.3188439291717i</v>
      </c>
      <c r="BD92" s="51">
        <f t="shared" si="144"/>
        <v>16.024153933965174</v>
      </c>
      <c r="BE92" s="63">
        <f t="shared" si="145"/>
        <v>92.93503831305182</v>
      </c>
      <c r="BF92" s="60" t="str">
        <f t="shared" si="146"/>
        <v>23.917597674726+127.924901092953i</v>
      </c>
      <c r="BG92" s="66">
        <f t="shared" si="147"/>
        <v>42.288321745156807</v>
      </c>
      <c r="BH92" s="63">
        <f t="shared" si="148"/>
        <v>79.409908479601881</v>
      </c>
      <c r="BI92" s="60" t="e">
        <f t="shared" si="101"/>
        <v>#NUM!</v>
      </c>
      <c r="BJ92" s="66" t="e">
        <f t="shared" si="149"/>
        <v>#NUM!</v>
      </c>
      <c r="BK92" s="63" t="e">
        <f t="shared" si="102"/>
        <v>#NUM!</v>
      </c>
      <c r="BL92" s="51">
        <f t="shared" si="150"/>
        <v>42.288321745156807</v>
      </c>
      <c r="BM92" s="63">
        <f t="shared" si="151"/>
        <v>79.409908479601881</v>
      </c>
    </row>
    <row r="93" spans="14:65" x14ac:dyDescent="0.3">
      <c r="N93" s="11">
        <v>75</v>
      </c>
      <c r="O93" s="52">
        <f t="shared" si="115"/>
        <v>56.234132519034915</v>
      </c>
      <c r="P93" s="50" t="str">
        <f t="shared" si="103"/>
        <v>21.1560044893378</v>
      </c>
      <c r="Q93" s="18" t="str">
        <f t="shared" si="104"/>
        <v>1+0.246259937264502i</v>
      </c>
      <c r="R93" s="18">
        <f t="shared" si="116"/>
        <v>1.0298756996363767</v>
      </c>
      <c r="S93" s="18">
        <f t="shared" si="117"/>
        <v>0.24145551822648606</v>
      </c>
      <c r="T93" s="18" t="str">
        <f t="shared" si="105"/>
        <v>1+0.00035332947520559i</v>
      </c>
      <c r="U93" s="18">
        <f t="shared" si="118"/>
        <v>1.0000000624208571</v>
      </c>
      <c r="V93" s="18">
        <f t="shared" si="119"/>
        <v>3.5332946050217149E-4</v>
      </c>
      <c r="W93" s="32" t="str">
        <f t="shared" si="106"/>
        <v>1-0.000158684657799434i</v>
      </c>
      <c r="X93" s="18">
        <f t="shared" si="120"/>
        <v>1.0000000125904103</v>
      </c>
      <c r="Y93" s="18">
        <f t="shared" si="121"/>
        <v>-1.5868465646749739E-4</v>
      </c>
      <c r="Z93" s="32" t="str">
        <f t="shared" si="107"/>
        <v>0.999999996837722+0.0000866066871616253i</v>
      </c>
      <c r="AA93" s="18">
        <f t="shared" si="122"/>
        <v>1.0000000005880811</v>
      </c>
      <c r="AB93" s="18">
        <f t="shared" si="123"/>
        <v>8.6606687218962255E-5</v>
      </c>
      <c r="AC93" s="68" t="str">
        <f t="shared" si="124"/>
        <v>19.946909301619-4.90983897818736i</v>
      </c>
      <c r="AD93" s="66">
        <f t="shared" si="125"/>
        <v>26.252977438535879</v>
      </c>
      <c r="AE93" s="63">
        <f t="shared" si="126"/>
        <v>-13.828192006401654</v>
      </c>
      <c r="AF93" s="51" t="e">
        <f t="shared" si="127"/>
        <v>#NUM!</v>
      </c>
      <c r="AG93" s="51" t="str">
        <f t="shared" si="108"/>
        <v>1-0.151426917945253i</v>
      </c>
      <c r="AH93" s="51">
        <f t="shared" si="128"/>
        <v>1.0114000748855017</v>
      </c>
      <c r="AI93" s="51">
        <f t="shared" si="129"/>
        <v>-0.15028517341725842</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-0.000133283554228113</v>
      </c>
      <c r="AT93" s="32" t="str">
        <f t="shared" si="112"/>
        <v>0.0000215884309350615i</v>
      </c>
      <c r="AU93" s="32">
        <f t="shared" si="137"/>
        <v>2.15884309350615E-5</v>
      </c>
      <c r="AV93" s="32">
        <f t="shared" si="138"/>
        <v>1.5707963267948966</v>
      </c>
      <c r="AW93" s="32" t="str">
        <f t="shared" si="113"/>
        <v>1+0.00377457714741475i</v>
      </c>
      <c r="AX93" s="32">
        <f t="shared" si="139"/>
        <v>1.0000071236909474</v>
      </c>
      <c r="AY93" s="32">
        <f t="shared" si="140"/>
        <v>3.7745592215567684E-3</v>
      </c>
      <c r="AZ93" s="32" t="str">
        <f t="shared" si="114"/>
        <v>1+0.0562504057822051i</v>
      </c>
      <c r="BA93" s="32">
        <f t="shared" si="141"/>
        <v>1.0015808046037338</v>
      </c>
      <c r="BB93" s="32">
        <f t="shared" si="142"/>
        <v>5.6191190703562328E-2</v>
      </c>
      <c r="BC93" s="60" t="str">
        <f t="shared" si="143"/>
        <v>-0.323972841058909+6.17506451803637i</v>
      </c>
      <c r="BD93" s="51">
        <f t="shared" si="144"/>
        <v>15.824767713658785</v>
      </c>
      <c r="BE93" s="63">
        <f t="shared" si="145"/>
        <v>93.003251760211469</v>
      </c>
      <c r="BF93" s="60" t="str">
        <f t="shared" si="146"/>
        <v>23.8563155866868+124.764106355822i</v>
      </c>
      <c r="BG93" s="66">
        <f t="shared" si="147"/>
        <v>42.077745152194638</v>
      </c>
      <c r="BH93" s="63">
        <f t="shared" si="148"/>
        <v>79.175059753809805</v>
      </c>
      <c r="BI93" s="60" t="e">
        <f t="shared" si="101"/>
        <v>#NUM!</v>
      </c>
      <c r="BJ93" s="66" t="e">
        <f t="shared" si="149"/>
        <v>#NUM!</v>
      </c>
      <c r="BK93" s="63" t="e">
        <f t="shared" si="102"/>
        <v>#NUM!</v>
      </c>
      <c r="BL93" s="51">
        <f t="shared" si="150"/>
        <v>42.077745152194638</v>
      </c>
      <c r="BM93" s="63">
        <f t="shared" si="151"/>
        <v>79.175059753809805</v>
      </c>
    </row>
    <row r="94" spans="14:65" x14ac:dyDescent="0.3">
      <c r="N94" s="11">
        <v>76</v>
      </c>
      <c r="O94" s="52">
        <f t="shared" si="115"/>
        <v>57.543993733715695</v>
      </c>
      <c r="P94" s="50" t="str">
        <f t="shared" si="103"/>
        <v>21.1560044893378</v>
      </c>
      <c r="Q94" s="18" t="str">
        <f t="shared" si="104"/>
        <v>1+0.251996068082264i</v>
      </c>
      <c r="R94" s="18">
        <f t="shared" si="116"/>
        <v>1.0312623421462266</v>
      </c>
      <c r="S94" s="18">
        <f t="shared" si="117"/>
        <v>0.24685643131314516</v>
      </c>
      <c r="T94" s="18" t="str">
        <f t="shared" si="105"/>
        <v>1+0.000361559575944117i</v>
      </c>
      <c r="U94" s="18">
        <f t="shared" si="118"/>
        <v>1.0000000653626613</v>
      </c>
      <c r="V94" s="18">
        <f t="shared" si="119"/>
        <v>3.6155956018912031E-4</v>
      </c>
      <c r="W94" s="32" t="str">
        <f t="shared" si="106"/>
        <v>1-0.00016238089830863i</v>
      </c>
      <c r="X94" s="18">
        <f t="shared" si="120"/>
        <v>1.0000000131837781</v>
      </c>
      <c r="Y94" s="18">
        <f t="shared" si="121"/>
        <v>-1.6238089688143422E-4</v>
      </c>
      <c r="Z94" s="32" t="str">
        <f t="shared" si="107"/>
        <v>0.999999996688689+0.0000886240160571428i</v>
      </c>
      <c r="AA94" s="18">
        <f t="shared" si="122"/>
        <v>1.000000000615797</v>
      </c>
      <c r="AB94" s="18">
        <f t="shared" si="123"/>
        <v>8.8624016118580412E-5</v>
      </c>
      <c r="AC94" s="68" t="str">
        <f t="shared" si="124"/>
        <v>19.8933288667237-5.01070176069202i</v>
      </c>
      <c r="AD94" s="66">
        <f t="shared" si="125"/>
        <v>26.241290502499282</v>
      </c>
      <c r="AE94" s="63">
        <f t="shared" si="126"/>
        <v>-14.137497345214831</v>
      </c>
      <c r="AF94" s="51" t="e">
        <f t="shared" si="127"/>
        <v>#NUM!</v>
      </c>
      <c r="AG94" s="51" t="str">
        <f t="shared" si="108"/>
        <v>1-0.15495410397605i</v>
      </c>
      <c r="AH94" s="51">
        <f t="shared" si="128"/>
        <v>1.0119341749041884</v>
      </c>
      <c r="AI94" s="51">
        <f t="shared" si="129"/>
        <v>-0.15373148056650854</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-0.000133283554228113</v>
      </c>
      <c r="AT94" s="32" t="str">
        <f t="shared" si="112"/>
        <v>0.0000220912900901855i</v>
      </c>
      <c r="AU94" s="32">
        <f t="shared" si="137"/>
        <v>2.2091290090185501E-5</v>
      </c>
      <c r="AV94" s="32">
        <f t="shared" si="138"/>
        <v>1.5707963267948966</v>
      </c>
      <c r="AW94" s="32" t="str">
        <f t="shared" si="113"/>
        <v>1+0.00386249834377259i</v>
      </c>
      <c r="AX94" s="32">
        <f t="shared" si="139"/>
        <v>1.0000074594189063</v>
      </c>
      <c r="AY94" s="32">
        <f t="shared" si="140"/>
        <v>3.8624791358774385E-3</v>
      </c>
      <c r="AZ94" s="32" t="str">
        <f t="shared" si="114"/>
        <v>1+0.0575606460498793i</v>
      </c>
      <c r="BA94" s="32">
        <f t="shared" si="141"/>
        <v>1.0016552440703734</v>
      </c>
      <c r="BB94" s="32">
        <f t="shared" si="142"/>
        <v>5.7497201611510361E-2</v>
      </c>
      <c r="BC94" s="60" t="str">
        <f t="shared" si="143"/>
        <v>-0.323972623527087+6.03455920777121i</v>
      </c>
      <c r="BD94" s="51">
        <f t="shared" si="144"/>
        <v>15.62541032609545</v>
      </c>
      <c r="BE94" s="63">
        <f t="shared" si="145"/>
        <v>93.073043233209219</v>
      </c>
      <c r="BF94" s="60" t="str">
        <f t="shared" si="146"/>
        <v>23.7924825037398+121.670801081031i</v>
      </c>
      <c r="BG94" s="66">
        <f t="shared" si="147"/>
        <v>41.866700828594702</v>
      </c>
      <c r="BH94" s="63">
        <f t="shared" si="148"/>
        <v>78.935545887994365</v>
      </c>
      <c r="BI94" s="60" t="e">
        <f t="shared" si="101"/>
        <v>#NUM!</v>
      </c>
      <c r="BJ94" s="66" t="e">
        <f t="shared" si="149"/>
        <v>#NUM!</v>
      </c>
      <c r="BK94" s="63" t="e">
        <f t="shared" si="102"/>
        <v>#NUM!</v>
      </c>
      <c r="BL94" s="51">
        <f t="shared" si="150"/>
        <v>41.866700828594702</v>
      </c>
      <c r="BM94" s="63">
        <f t="shared" si="151"/>
        <v>78.935545887994365</v>
      </c>
    </row>
    <row r="95" spans="14:65" x14ac:dyDescent="0.3">
      <c r="N95" s="11">
        <v>77</v>
      </c>
      <c r="O95" s="52">
        <f t="shared" si="115"/>
        <v>58.884365535558949</v>
      </c>
      <c r="P95" s="50" t="str">
        <f t="shared" si="103"/>
        <v>21.1560044893378</v>
      </c>
      <c r="Q95" s="18" t="str">
        <f t="shared" si="104"/>
        <v>1+0.257865810550884i</v>
      </c>
      <c r="R95" s="18">
        <f t="shared" si="116"/>
        <v>1.0327123395462381</v>
      </c>
      <c r="S95" s="18">
        <f t="shared" si="117"/>
        <v>0.25236796822738855</v>
      </c>
      <c r="T95" s="18" t="str">
        <f t="shared" si="105"/>
        <v>1+0.000369981380355616i</v>
      </c>
      <c r="U95" s="18">
        <f t="shared" si="118"/>
        <v>1.0000000684431085</v>
      </c>
      <c r="V95" s="18">
        <f t="shared" si="119"/>
        <v>3.6998136347383298E-4</v>
      </c>
      <c r="W95" s="32" t="str">
        <f t="shared" si="106"/>
        <v>1-0.000166163235319475i</v>
      </c>
      <c r="X95" s="18">
        <f t="shared" si="120"/>
        <v>1.0000000138051104</v>
      </c>
      <c r="Y95" s="18">
        <f t="shared" si="121"/>
        <v>-1.6616323379020715E-4</v>
      </c>
      <c r="Z95" s="32" t="str">
        <f t="shared" si="107"/>
        <v>0.999999996532631+0.0000906883345790513i</v>
      </c>
      <c r="AA95" s="18">
        <f t="shared" si="122"/>
        <v>1.000000000644818</v>
      </c>
      <c r="AB95" s="18">
        <f t="shared" si="123"/>
        <v>9.0688334644882954E-5</v>
      </c>
      <c r="AC95" s="68" t="str">
        <f t="shared" si="124"/>
        <v>19.8375310606024-5.11302765162866i</v>
      </c>
      <c r="AD95" s="66">
        <f t="shared" si="125"/>
        <v>26.22908639296822</v>
      </c>
      <c r="AE95" s="63">
        <f t="shared" si="126"/>
        <v>-14.453137603928132</v>
      </c>
      <c r="AF95" s="51" t="e">
        <f t="shared" si="127"/>
        <v>#NUM!</v>
      </c>
      <c r="AG95" s="51" t="str">
        <f t="shared" si="108"/>
        <v>1-0.158563448723836i</v>
      </c>
      <c r="AH95" s="51">
        <f t="shared" si="128"/>
        <v>1.012493144308245</v>
      </c>
      <c r="AI95" s="51">
        <f t="shared" si="129"/>
        <v>-0.15725425559990089</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-0.000133283554228113</v>
      </c>
      <c r="AT95" s="32" t="str">
        <f t="shared" si="112"/>
        <v>0.0000226058623397281i</v>
      </c>
      <c r="AU95" s="32">
        <f t="shared" si="137"/>
        <v>2.2605862339728099E-5</v>
      </c>
      <c r="AV95" s="32">
        <f t="shared" si="138"/>
        <v>1.5707963267948966</v>
      </c>
      <c r="AW95" s="32" t="str">
        <f t="shared" si="113"/>
        <v>1+0.00395246748787851i</v>
      </c>
      <c r="AX95" s="32">
        <f t="shared" si="139"/>
        <v>1.0000078109691157</v>
      </c>
      <c r="AY95" s="32">
        <f t="shared" si="140"/>
        <v>3.9524469062567243E-3</v>
      </c>
      <c r="AZ95" s="32" t="str">
        <f t="shared" si="114"/>
        <v>1+0.0589014057339944i</v>
      </c>
      <c r="BA95" s="32">
        <f t="shared" si="141"/>
        <v>1.0017331858321559</v>
      </c>
      <c r="BB95" s="32">
        <f t="shared" si="142"/>
        <v>5.8833430144463787E-2</v>
      </c>
      <c r="BC95" s="60" t="str">
        <f t="shared" si="143"/>
        <v>-0.32397239574362+5.89725350059564i</v>
      </c>
      <c r="BD95" s="51">
        <f t="shared" si="144"/>
        <v>15.42608312110119</v>
      </c>
      <c r="BE95" s="63">
        <f t="shared" si="145"/>
        <v>93.144448715077473</v>
      </c>
      <c r="BF95" s="60" t="str">
        <f t="shared" si="146"/>
        <v>23.7260077538676+118.643429308114i</v>
      </c>
      <c r="BG95" s="66">
        <f t="shared" si="147"/>
        <v>41.655169514069428</v>
      </c>
      <c r="BH95" s="63">
        <f t="shared" si="148"/>
        <v>78.691311111149361</v>
      </c>
      <c r="BI95" s="60" t="e">
        <f t="shared" si="101"/>
        <v>#NUM!</v>
      </c>
      <c r="BJ95" s="66" t="e">
        <f t="shared" si="149"/>
        <v>#NUM!</v>
      </c>
      <c r="BK95" s="63" t="e">
        <f t="shared" si="102"/>
        <v>#NUM!</v>
      </c>
      <c r="BL95" s="51">
        <f t="shared" si="150"/>
        <v>41.655169514069428</v>
      </c>
      <c r="BM95" s="63">
        <f t="shared" si="151"/>
        <v>78.691311111149361</v>
      </c>
    </row>
    <row r="96" spans="14:65" x14ac:dyDescent="0.3">
      <c r="N96" s="11">
        <v>78</v>
      </c>
      <c r="O96" s="52">
        <f t="shared" si="115"/>
        <v>60.255958607435822</v>
      </c>
      <c r="P96" s="50" t="str">
        <f t="shared" si="103"/>
        <v>21.1560044893378</v>
      </c>
      <c r="Q96" s="18" t="str">
        <f t="shared" si="104"/>
        <v>1+0.263872276885516i</v>
      </c>
      <c r="R96" s="18">
        <f t="shared" si="116"/>
        <v>1.034228494341916</v>
      </c>
      <c r="S96" s="18">
        <f t="shared" si="117"/>
        <v>0.25799171129976872</v>
      </c>
      <c r="T96" s="18" t="str">
        <f t="shared" si="105"/>
        <v>1+0.000378599353792262i</v>
      </c>
      <c r="U96" s="18">
        <f t="shared" si="118"/>
        <v>1.0000000716687327</v>
      </c>
      <c r="V96" s="18">
        <f t="shared" si="119"/>
        <v>3.7859933570310564E-4</v>
      </c>
      <c r="W96" s="32" t="str">
        <f t="shared" si="106"/>
        <v>1-0.000170033674277117i</v>
      </c>
      <c r="X96" s="18">
        <f t="shared" si="120"/>
        <v>1.0000000144557251</v>
      </c>
      <c r="Y96" s="18">
        <f t="shared" si="121"/>
        <v>-1.7003367263847697E-4</v>
      </c>
      <c r="Z96" s="32" t="str">
        <f t="shared" si="107"/>
        <v>0.999999996369219+0.0000928007372563555i</v>
      </c>
      <c r="AA96" s="18">
        <f t="shared" si="122"/>
        <v>1.0000000006752074</v>
      </c>
      <c r="AB96" s="18">
        <f t="shared" si="123"/>
        <v>9.2800737326895387E-5</v>
      </c>
      <c r="AC96" s="68" t="str">
        <f t="shared" si="124"/>
        <v>19.7794382425998-5.21679628109885i</v>
      </c>
      <c r="AD96" s="66">
        <f t="shared" si="125"/>
        <v>26.216343772712424</v>
      </c>
      <c r="AE96" s="63">
        <f t="shared" si="126"/>
        <v>-14.775203365173953</v>
      </c>
      <c r="AF96" s="51" t="e">
        <f t="shared" si="127"/>
        <v>#NUM!</v>
      </c>
      <c r="AG96" s="51" t="str">
        <f t="shared" si="108"/>
        <v>1-0.16225686591097i</v>
      </c>
      <c r="AH96" s="51">
        <f t="shared" si="128"/>
        <v>1.0130781265703304</v>
      </c>
      <c r="AI96" s="51">
        <f t="shared" si="129"/>
        <v>-0.16085501642065478</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-0.000133283554228113</v>
      </c>
      <c r="AT96" s="32" t="str">
        <f t="shared" si="112"/>
        <v>0.0000231324205167072i</v>
      </c>
      <c r="AU96" s="32">
        <f t="shared" si="137"/>
        <v>2.3132420516707201E-5</v>
      </c>
      <c r="AV96" s="32">
        <f t="shared" si="138"/>
        <v>1.5707963267948966</v>
      </c>
      <c r="AW96" s="32" t="str">
        <f t="shared" si="113"/>
        <v>1+0.0040445322825636i</v>
      </c>
      <c r="AX96" s="32">
        <f t="shared" si="139"/>
        <v>1.0000081790872437</v>
      </c>
      <c r="AY96" s="32">
        <f t="shared" si="140"/>
        <v>4.0445102289682656E-3</v>
      </c>
      <c r="AZ96" s="32" t="str">
        <f t="shared" si="114"/>
        <v>1+0.0602733957230819i</v>
      </c>
      <c r="BA96" s="32">
        <f t="shared" si="141"/>
        <v>1.0018147943766809</v>
      </c>
      <c r="BB96" s="32">
        <f t="shared" si="142"/>
        <v>6.0200565690923059E-2</v>
      </c>
      <c r="BC96" s="60" t="str">
        <f t="shared" si="143"/>
        <v>-0.323972157225391+5.76307459520056i</v>
      </c>
      <c r="BD96" s="51">
        <f t="shared" si="144"/>
        <v>15.226787511251638</v>
      </c>
      <c r="BE96" s="63">
        <f t="shared" si="145"/>
        <v>93.217504972072575</v>
      </c>
      <c r="BF96" s="60" t="str">
        <f t="shared" si="146"/>
        <v>23.6567988397761+115.680474788258i</v>
      </c>
      <c r="BG96" s="66">
        <f t="shared" si="147"/>
        <v>41.443131283964043</v>
      </c>
      <c r="BH96" s="63">
        <f t="shared" si="148"/>
        <v>78.44230160689861</v>
      </c>
      <c r="BI96" s="60" t="e">
        <f t="shared" si="101"/>
        <v>#NUM!</v>
      </c>
      <c r="BJ96" s="66" t="e">
        <f t="shared" si="149"/>
        <v>#NUM!</v>
      </c>
      <c r="BK96" s="63" t="e">
        <f t="shared" si="102"/>
        <v>#NUM!</v>
      </c>
      <c r="BL96" s="51">
        <f t="shared" si="150"/>
        <v>41.443131283964043</v>
      </c>
      <c r="BM96" s="63">
        <f t="shared" si="151"/>
        <v>78.44230160689861</v>
      </c>
    </row>
    <row r="97" spans="14:65" x14ac:dyDescent="0.3">
      <c r="N97" s="11">
        <v>79</v>
      </c>
      <c r="O97" s="52">
        <f t="shared" si="115"/>
        <v>61.659500186148257</v>
      </c>
      <c r="P97" s="50" t="str">
        <f t="shared" si="103"/>
        <v>21.1560044893378</v>
      </c>
      <c r="Q97" s="18" t="str">
        <f t="shared" si="104"/>
        <v>1+0.270018651794116i</v>
      </c>
      <c r="R97" s="18">
        <f t="shared" si="116"/>
        <v>1.0358137247192238</v>
      </c>
      <c r="S97" s="18">
        <f t="shared" si="117"/>
        <v>0.26372921884717304</v>
      </c>
      <c r="T97" s="18" t="str">
        <f t="shared" si="105"/>
        <v>1+0.000387418065617644i</v>
      </c>
      <c r="U97" s="18">
        <f t="shared" si="118"/>
        <v>1.000000075046376</v>
      </c>
      <c r="V97" s="18">
        <f t="shared" si="119"/>
        <v>3.8741804623476384E-4</v>
      </c>
      <c r="W97" s="32" t="str">
        <f t="shared" si="106"/>
        <v>1-0.000173994267339522i</v>
      </c>
      <c r="X97" s="18">
        <f t="shared" si="120"/>
        <v>1.0000000151370023</v>
      </c>
      <c r="Y97" s="18">
        <f t="shared" si="121"/>
        <v>-1.739942655836876E-4</v>
      </c>
      <c r="Z97" s="32" t="str">
        <f t="shared" si="107"/>
        <v>0.999999996198106+0.0000949623441129162i</v>
      </c>
      <c r="AA97" s="18">
        <f t="shared" si="122"/>
        <v>1.0000000007070293</v>
      </c>
      <c r="AB97" s="18">
        <f t="shared" si="123"/>
        <v>9.4962344188501013E-5</v>
      </c>
      <c r="AC97" s="68" t="str">
        <f t="shared" si="124"/>
        <v>19.7189713216709-5.32198388014444i</v>
      </c>
      <c r="AD97" s="66">
        <f t="shared" si="125"/>
        <v>26.203040563271468</v>
      </c>
      <c r="AE97" s="63">
        <f t="shared" si="126"/>
        <v>-15.103783833880762</v>
      </c>
      <c r="AF97" s="51" t="e">
        <f t="shared" si="127"/>
        <v>#NUM!</v>
      </c>
      <c r="AG97" s="51" t="str">
        <f t="shared" si="108"/>
        <v>1-0.166036313836133i</v>
      </c>
      <c r="AH97" s="51">
        <f t="shared" si="128"/>
        <v>1.0136903163749227</v>
      </c>
      <c r="AI97" s="51">
        <f t="shared" si="129"/>
        <v>-0.16453529852478874</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-0.000133283554228113</v>
      </c>
      <c r="AT97" s="32" t="str">
        <f t="shared" si="112"/>
        <v>0.000023671243809238i</v>
      </c>
      <c r="AU97" s="32">
        <f t="shared" si="137"/>
        <v>2.3671243809238001E-5</v>
      </c>
      <c r="AV97" s="32">
        <f t="shared" si="138"/>
        <v>1.5707963267948966</v>
      </c>
      <c r="AW97" s="32" t="str">
        <f t="shared" si="113"/>
        <v>1+0.00413874154180062i</v>
      </c>
      <c r="AX97" s="32">
        <f t="shared" si="139"/>
        <v>1.000008564554099</v>
      </c>
      <c r="AY97" s="32">
        <f t="shared" si="140"/>
        <v>4.1387179109583999E-3</v>
      </c>
      <c r="AZ97" s="32" t="str">
        <f t="shared" si="114"/>
        <v>1+0.0616773434643945i</v>
      </c>
      <c r="BA97" s="32">
        <f t="shared" si="141"/>
        <v>1.0019002418887946</v>
      </c>
      <c r="BB97" s="32">
        <f t="shared" si="142"/>
        <v>6.1599312670635738E-2</v>
      </c>
      <c r="BC97" s="60" t="str">
        <f t="shared" si="143"/>
        <v>-0.323971907466521+5.63195134814823i</v>
      </c>
      <c r="BD97" s="51">
        <f t="shared" si="144"/>
        <v>15.027524974746662</v>
      </c>
      <c r="BE97" s="63">
        <f t="shared" si="145"/>
        <v>93.292249568041044</v>
      </c>
      <c r="BF97" s="60" t="str">
        <f t="shared" si="146"/>
        <v>23.5847615362433+112.780460388337i</v>
      </c>
      <c r="BG97" s="66">
        <f t="shared" si="147"/>
        <v>41.230565538018112</v>
      </c>
      <c r="BH97" s="63">
        <f t="shared" si="148"/>
        <v>78.188465734160275</v>
      </c>
      <c r="BI97" s="60" t="e">
        <f t="shared" si="101"/>
        <v>#NUM!</v>
      </c>
      <c r="BJ97" s="66" t="e">
        <f t="shared" si="149"/>
        <v>#NUM!</v>
      </c>
      <c r="BK97" s="63" t="e">
        <f t="shared" si="102"/>
        <v>#NUM!</v>
      </c>
      <c r="BL97" s="51">
        <f t="shared" si="150"/>
        <v>41.230565538018112</v>
      </c>
      <c r="BM97" s="63">
        <f t="shared" si="151"/>
        <v>78.188465734160275</v>
      </c>
    </row>
    <row r="98" spans="14:65" x14ac:dyDescent="0.3">
      <c r="N98" s="11">
        <v>80</v>
      </c>
      <c r="O98" s="52">
        <f t="shared" si="115"/>
        <v>63.095734448019364</v>
      </c>
      <c r="P98" s="50" t="str">
        <f t="shared" si="103"/>
        <v>21.1560044893378</v>
      </c>
      <c r="Q98" s="18" t="str">
        <f t="shared" si="104"/>
        <v>1+0.276308194166016i</v>
      </c>
      <c r="R98" s="18">
        <f t="shared" si="116"/>
        <v>1.0374710685909678</v>
      </c>
      <c r="S98" s="18">
        <f t="shared" si="117"/>
        <v>0.26958202136911158</v>
      </c>
      <c r="T98" s="18" t="str">
        <f t="shared" si="105"/>
        <v>1+0.0003964421916295i</v>
      </c>
      <c r="U98" s="18">
        <f t="shared" si="118"/>
        <v>1.0000000785832026</v>
      </c>
      <c r="V98" s="18">
        <f t="shared" si="119"/>
        <v>3.9644217086036979E-4</v>
      </c>
      <c r="W98" s="32" t="str">
        <f t="shared" si="106"/>
        <v>1-0.000178047114465557i</v>
      </c>
      <c r="X98" s="18">
        <f t="shared" si="120"/>
        <v>1.0000000158503872</v>
      </c>
      <c r="Y98" s="18">
        <f t="shared" si="121"/>
        <v>-1.7804711258414654E-4</v>
      </c>
      <c r="Z98" s="32" t="str">
        <f t="shared" si="107"/>
        <v>0.999999996018928+0.0000971743012613005i</v>
      </c>
      <c r="AA98" s="18">
        <f t="shared" si="122"/>
        <v>1.0000000007403502</v>
      </c>
      <c r="AB98" s="18">
        <f t="shared" si="123"/>
        <v>9.7174301342291101E-5</v>
      </c>
      <c r="AC98" s="68" t="str">
        <f t="shared" si="124"/>
        <v>19.6560498512813-5.42856309173283i</v>
      </c>
      <c r="AD98" s="66">
        <f t="shared" si="125"/>
        <v>26.189153931675616</v>
      </c>
      <c r="AE98" s="63">
        <f t="shared" si="126"/>
        <v>-15.438966619293975</v>
      </c>
      <c r="AF98" s="51" t="e">
        <f t="shared" si="127"/>
        <v>#NUM!</v>
      </c>
      <c r="AG98" s="51" t="str">
        <f t="shared" si="108"/>
        <v>1-0.169903796412643i</v>
      </c>
      <c r="AH98" s="51">
        <f t="shared" si="128"/>
        <v>1.0143309617848746</v>
      </c>
      <c r="AI98" s="51">
        <f t="shared" si="129"/>
        <v>-0.16829665426456769</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-0.000133283554228113</v>
      </c>
      <c r="AT98" s="32" t="str">
        <f t="shared" si="112"/>
        <v>0.0000242226179085625i</v>
      </c>
      <c r="AU98" s="32">
        <f t="shared" si="137"/>
        <v>2.4222617908562499E-5</v>
      </c>
      <c r="AV98" s="32">
        <f t="shared" si="138"/>
        <v>1.5707963267948966</v>
      </c>
      <c r="AW98" s="32" t="str">
        <f t="shared" si="113"/>
        <v>1+0.00423514521658581i</v>
      </c>
      <c r="AX98" s="32">
        <f t="shared" si="139"/>
        <v>1.0000089681872886</v>
      </c>
      <c r="AY98" s="32">
        <f t="shared" si="140"/>
        <v>4.2351198956944369E-3</v>
      </c>
      <c r="AZ98" s="32" t="str">
        <f t="shared" si="114"/>
        <v>1+0.063113993349608i</v>
      </c>
      <c r="BA98" s="32">
        <f t="shared" si="141"/>
        <v>1.0019897086080947</v>
      </c>
      <c r="BB98" s="32">
        <f t="shared" si="142"/>
        <v>6.3030390812291059E-2</v>
      </c>
      <c r="BC98" s="60" t="str">
        <f t="shared" si="143"/>
        <v>-0.323971645937289+5.5038142361509i</v>
      </c>
      <c r="BD98" s="51">
        <f t="shared" si="144"/>
        <v>14.828297058412197</v>
      </c>
      <c r="BE98" s="63">
        <f t="shared" si="145"/>
        <v>93.36872087884926</v>
      </c>
      <c r="BF98" s="60" t="str">
        <f t="shared" si="146"/>
        <v>23.5098000031775+109.941947517877i</v>
      </c>
      <c r="BG98" s="66">
        <f t="shared" si="147"/>
        <v>41.017450990087816</v>
      </c>
      <c r="BH98" s="63">
        <f t="shared" si="148"/>
        <v>77.929754259555295</v>
      </c>
      <c r="BI98" s="60" t="e">
        <f t="shared" si="101"/>
        <v>#NUM!</v>
      </c>
      <c r="BJ98" s="66" t="e">
        <f t="shared" si="149"/>
        <v>#NUM!</v>
      </c>
      <c r="BK98" s="63" t="e">
        <f t="shared" si="102"/>
        <v>#NUM!</v>
      </c>
      <c r="BL98" s="51">
        <f t="shared" si="150"/>
        <v>41.017450990087816</v>
      </c>
      <c r="BM98" s="63">
        <f t="shared" si="151"/>
        <v>77.929754259555295</v>
      </c>
    </row>
    <row r="99" spans="14:65" x14ac:dyDescent="0.3">
      <c r="N99" s="11">
        <v>81</v>
      </c>
      <c r="O99" s="52">
        <f t="shared" si="115"/>
        <v>64.565422903465588</v>
      </c>
      <c r="P99" s="50" t="str">
        <f t="shared" si="103"/>
        <v>21.1560044893378</v>
      </c>
      <c r="Q99" s="18" t="str">
        <f t="shared" si="104"/>
        <v>1+0.282744238799834i</v>
      </c>
      <c r="R99" s="18">
        <f t="shared" si="116"/>
        <v>1.0392036877217563</v>
      </c>
      <c r="S99" s="18">
        <f t="shared" si="117"/>
        <v>0.27555161753649188</v>
      </c>
      <c r="T99" s="18" t="str">
        <f t="shared" si="105"/>
        <v>1+0.000405676516538891i</v>
      </c>
      <c r="U99" s="18">
        <f t="shared" si="118"/>
        <v>1.0000000822867146</v>
      </c>
      <c r="V99" s="18">
        <f t="shared" si="119"/>
        <v>4.0567649428436707E-4</v>
      </c>
      <c r="W99" s="32" t="str">
        <f t="shared" si="106"/>
        <v>1-0.000182194364528413i</v>
      </c>
      <c r="X99" s="18">
        <f t="shared" si="120"/>
        <v>1.000000016597393</v>
      </c>
      <c r="Y99" s="18">
        <f t="shared" si="121"/>
        <v>-1.8219436251244538E-4</v>
      </c>
      <c r="Z99" s="32" t="str">
        <f t="shared" si="107"/>
        <v>0.999999995831306+0.0000994377815104676i</v>
      </c>
      <c r="AA99" s="18">
        <f t="shared" si="122"/>
        <v>1.0000000007752421</v>
      </c>
      <c r="AB99" s="18">
        <f t="shared" si="123"/>
        <v>9.9437781597250575E-5</v>
      </c>
      <c r="AC99" s="68" t="str">
        <f t="shared" si="124"/>
        <v>19.590592138382-5.53650277872491i</v>
      </c>
      <c r="AD99" s="66">
        <f t="shared" si="125"/>
        <v>26.174660278129739</v>
      </c>
      <c r="AE99" s="63">
        <f t="shared" si="126"/>
        <v>-15.780837505106538</v>
      </c>
      <c r="AF99" s="51" t="e">
        <f t="shared" si="127"/>
        <v>#NUM!</v>
      </c>
      <c r="AG99" s="51" t="str">
        <f t="shared" si="108"/>
        <v>1-0.173861364230954i</v>
      </c>
      <c r="AH99" s="51">
        <f t="shared" si="128"/>
        <v>1.0150013664878725</v>
      </c>
      <c r="AI99" s="51">
        <f t="shared" si="129"/>
        <v>-0.17214065202697659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-0.000133283554228113</v>
      </c>
      <c r="AT99" s="32" t="str">
        <f t="shared" si="112"/>
        <v>0.0000247868351605263i</v>
      </c>
      <c r="AU99" s="32">
        <f t="shared" si="137"/>
        <v>2.47868351605263E-5</v>
      </c>
      <c r="AV99" s="32">
        <f t="shared" si="138"/>
        <v>1.5707963267948966</v>
      </c>
      <c r="AW99" s="32" t="str">
        <f t="shared" si="113"/>
        <v>1+0.00433379442142361i</v>
      </c>
      <c r="AX99" s="32">
        <f t="shared" si="139"/>
        <v>1.0000093908429495</v>
      </c>
      <c r="AY99" s="32">
        <f t="shared" si="140"/>
        <v>4.3337672896134379E-3</v>
      </c>
      <c r="AZ99" s="32" t="str">
        <f t="shared" si="114"/>
        <v>1+0.0645841071095079i</v>
      </c>
      <c r="BA99" s="32">
        <f t="shared" si="141"/>
        <v>1.0020833832027813</v>
      </c>
      <c r="BB99" s="32">
        <f t="shared" si="142"/>
        <v>6.449453543262397E-2</v>
      </c>
      <c r="BC99" s="60" t="str">
        <f t="shared" si="143"/>
        <v>-0.323971372083018+5.37859531920875i</v>
      </c>
      <c r="BD99" s="51">
        <f t="shared" si="144"/>
        <v>14.629105380835284</v>
      </c>
      <c r="BE99" s="63">
        <f t="shared" si="145"/>
        <v>93.446958106859597</v>
      </c>
      <c r="BF99" s="60" t="str">
        <f t="shared" si="146"/>
        <v>23.4318169154456+107.163535577794i</v>
      </c>
      <c r="BG99" s="66">
        <f t="shared" si="147"/>
        <v>40.803765658965013</v>
      </c>
      <c r="BH99" s="63">
        <f t="shared" si="148"/>
        <v>77.666120601753079</v>
      </c>
      <c r="BI99" s="60" t="e">
        <f t="shared" si="101"/>
        <v>#NUM!</v>
      </c>
      <c r="BJ99" s="66" t="e">
        <f t="shared" si="149"/>
        <v>#NUM!</v>
      </c>
      <c r="BK99" s="63" t="e">
        <f t="shared" si="102"/>
        <v>#NUM!</v>
      </c>
      <c r="BL99" s="51">
        <f t="shared" si="150"/>
        <v>40.803765658965013</v>
      </c>
      <c r="BM99" s="63">
        <f t="shared" si="151"/>
        <v>77.666120601753079</v>
      </c>
    </row>
    <row r="100" spans="14:65" x14ac:dyDescent="0.3">
      <c r="N100" s="11">
        <v>82</v>
      </c>
      <c r="O100" s="52">
        <f t="shared" si="115"/>
        <v>66.069344800759623</v>
      </c>
      <c r="P100" s="50" t="str">
        <f t="shared" si="103"/>
        <v>21.1560044893378</v>
      </c>
      <c r="Q100" s="18" t="str">
        <f t="shared" si="104"/>
        <v>1+0.289330198171626i</v>
      </c>
      <c r="R100" s="18">
        <f t="shared" si="116"/>
        <v>1.0410148719274055</v>
      </c>
      <c r="S100" s="18">
        <f t="shared" si="117"/>
        <v>0.28163946996998074</v>
      </c>
      <c r="T100" s="18" t="str">
        <f t="shared" si="105"/>
        <v>1+0.000415125936507115i</v>
      </c>
      <c r="U100" s="18">
        <f t="shared" si="118"/>
        <v>1.0000000861647678</v>
      </c>
      <c r="V100" s="18">
        <f t="shared" si="119"/>
        <v>4.151259126609631E-4</v>
      </c>
      <c r="W100" s="32" t="str">
        <f t="shared" si="106"/>
        <v>1-0.000186438216454971i</v>
      </c>
      <c r="X100" s="18">
        <f t="shared" si="120"/>
        <v>1.0000000173796042</v>
      </c>
      <c r="Y100" s="18">
        <f t="shared" si="121"/>
        <v>-1.8643821429482278E-4</v>
      </c>
      <c r="Z100" s="32" t="str">
        <f t="shared" si="107"/>
        <v>0.999999995634842+0.000101753984987606i</v>
      </c>
      <c r="AA100" s="18">
        <f t="shared" si="122"/>
        <v>1.0000000008117786</v>
      </c>
      <c r="AB100" s="18">
        <f t="shared" si="123"/>
        <v>1.017539850805956E-4</v>
      </c>
      <c r="AC100" s="68" t="str">
        <f t="shared" si="124"/>
        <v>19.5225153673544-5.64576782956848i</v>
      </c>
      <c r="AD100" s="66">
        <f t="shared" si="125"/>
        <v>26.159535224798436</v>
      </c>
      <c r="AE100" s="63">
        <f t="shared" si="126"/>
        <v>-16.129480207532207</v>
      </c>
      <c r="AF100" s="51" t="e">
        <f t="shared" si="127"/>
        <v>#NUM!</v>
      </c>
      <c r="AG100" s="51" t="str">
        <f t="shared" si="108"/>
        <v>1-0.177911115645907i</v>
      </c>
      <c r="AH100" s="51">
        <f t="shared" si="128"/>
        <v>1.0157028921246465</v>
      </c>
      <c r="AI100" s="51">
        <f t="shared" si="129"/>
        <v>-0.17606887532196461</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-0.000133283554228113</v>
      </c>
      <c r="AT100" s="32" t="str">
        <f t="shared" si="112"/>
        <v>0.0000253641947205847i</v>
      </c>
      <c r="AU100" s="32">
        <f t="shared" si="137"/>
        <v>2.5364194720584701E-5</v>
      </c>
      <c r="AV100" s="32">
        <f t="shared" si="138"/>
        <v>1.5707963267948966</v>
      </c>
      <c r="AW100" s="32" t="str">
        <f t="shared" si="113"/>
        <v>1+0.00443474146142821i</v>
      </c>
      <c r="AX100" s="32">
        <f t="shared" si="139"/>
        <v>1.0000098334175669</v>
      </c>
      <c r="AY100" s="32">
        <f t="shared" si="140"/>
        <v>4.4347123891852643E-3</v>
      </c>
      <c r="AZ100" s="32" t="str">
        <f t="shared" si="114"/>
        <v>1+0.0660884642178692i</v>
      </c>
      <c r="BA100" s="32">
        <f t="shared" si="141"/>
        <v>1.0021814631605779</v>
      </c>
      <c r="BB100" s="32">
        <f t="shared" si="142"/>
        <v>6.5992497716613807E-2</v>
      </c>
      <c r="BC100" s="60" t="str">
        <f t="shared" si="143"/>
        <v>-0.32397108532289+5.25622820458711i</v>
      </c>
      <c r="BD100" s="51">
        <f t="shared" si="144"/>
        <v>14.429951635637153</v>
      </c>
      <c r="BE100" s="63">
        <f t="shared" si="145"/>
        <v>93.52700129543399</v>
      </c>
      <c r="BF100" s="60" t="str">
        <f t="shared" si="146"/>
        <v>23.3507136105338+104.4438614296i</v>
      </c>
      <c r="BG100" s="66">
        <f t="shared" si="147"/>
        <v>40.589486860435606</v>
      </c>
      <c r="BH100" s="63">
        <f t="shared" si="148"/>
        <v>77.397521087901808</v>
      </c>
      <c r="BI100" s="60" t="e">
        <f t="shared" si="101"/>
        <v>#NUM!</v>
      </c>
      <c r="BJ100" s="66" t="e">
        <f t="shared" si="149"/>
        <v>#NUM!</v>
      </c>
      <c r="BK100" s="63" t="e">
        <f t="shared" si="102"/>
        <v>#NUM!</v>
      </c>
      <c r="BL100" s="51">
        <f t="shared" si="150"/>
        <v>40.589486860435606</v>
      </c>
      <c r="BM100" s="63">
        <f t="shared" si="151"/>
        <v>77.397521087901808</v>
      </c>
    </row>
    <row r="101" spans="14:65" x14ac:dyDescent="0.3">
      <c r="N101" s="11">
        <v>83</v>
      </c>
      <c r="O101" s="52">
        <f t="shared" si="115"/>
        <v>67.60829753919819</v>
      </c>
      <c r="P101" s="50" t="str">
        <f t="shared" si="103"/>
        <v>21.1560044893378</v>
      </c>
      <c r="Q101" s="18" t="str">
        <f t="shared" si="104"/>
        <v>1+0.296069564244227i</v>
      </c>
      <c r="R101" s="18">
        <f t="shared" si="116"/>
        <v>1.0429080433440747</v>
      </c>
      <c r="S101" s="18">
        <f t="shared" si="117"/>
        <v>0.287847000805939</v>
      </c>
      <c r="T101" s="18" t="str">
        <f t="shared" si="105"/>
        <v>1+0.000424795461741716i</v>
      </c>
      <c r="U101" s="18">
        <f t="shared" si="118"/>
        <v>1.0000000902255881</v>
      </c>
      <c r="V101" s="18">
        <f t="shared" si="119"/>
        <v>4.2479543619010406E-4</v>
      </c>
      <c r="W101" s="32" t="str">
        <f t="shared" si="106"/>
        <v>1-0.000190780920391694i</v>
      </c>
      <c r="X101" s="18">
        <f t="shared" si="120"/>
        <v>1.0000000181986797</v>
      </c>
      <c r="Y101" s="18">
        <f t="shared" si="121"/>
        <v>-1.9078091807705347E-4</v>
      </c>
      <c r="Z101" s="32" t="str">
        <f t="shared" si="107"/>
        <v>0.999999995429118+0.000104124139774459i</v>
      </c>
      <c r="AA101" s="18">
        <f t="shared" si="122"/>
        <v>1.000000000850036</v>
      </c>
      <c r="AB101" s="18">
        <f t="shared" si="123"/>
        <v>1.0412413987409918E-4</v>
      </c>
      <c r="AC101" s="68" t="str">
        <f t="shared" si="124"/>
        <v>19.4517357398137-5.75631896256747i</v>
      </c>
      <c r="AD101" s="66">
        <f t="shared" si="125"/>
        <v>26.143753605837571</v>
      </c>
      <c r="AE101" s="63">
        <f t="shared" si="126"/>
        <v>-16.48497612120666</v>
      </c>
      <c r="AF101" s="51" t="e">
        <f t="shared" si="127"/>
        <v>#NUM!</v>
      </c>
      <c r="AG101" s="51" t="str">
        <f t="shared" si="108"/>
        <v>1-0.182055197889307i</v>
      </c>
      <c r="AH101" s="51">
        <f t="shared" si="128"/>
        <v>1.0164369607007189</v>
      </c>
      <c r="AI101" s="51">
        <f t="shared" si="129"/>
        <v>-0.18008292177500346</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-0.000133283554228113</v>
      </c>
      <c r="AT101" s="32" t="str">
        <f t="shared" si="112"/>
        <v>0.0000259550027124188i</v>
      </c>
      <c r="AU101" s="32">
        <f t="shared" si="137"/>
        <v>2.5955002712418799E-5</v>
      </c>
      <c r="AV101" s="32">
        <f t="shared" si="138"/>
        <v>1.5707963267948966</v>
      </c>
      <c r="AW101" s="32" t="str">
        <f t="shared" si="113"/>
        <v>1+0.0045380398600564i</v>
      </c>
      <c r="AX101" s="32">
        <f t="shared" si="139"/>
        <v>1.0000102968498732</v>
      </c>
      <c r="AY101" s="32">
        <f t="shared" si="140"/>
        <v>4.538008708604162E-3</v>
      </c>
      <c r="AZ101" s="32" t="str">
        <f t="shared" si="114"/>
        <v>1+0.0676278623047429i</v>
      </c>
      <c r="BA101" s="32">
        <f t="shared" si="141"/>
        <v>1.0022841551974715</v>
      </c>
      <c r="BB101" s="32">
        <f t="shared" si="142"/>
        <v>6.7525044998431857E-2</v>
      </c>
      <c r="BC101" s="60" t="str">
        <f t="shared" si="143"/>
        <v>-0.323970785048718+5.13664801161403i</v>
      </c>
      <c r="BD101" s="51">
        <f t="shared" si="144"/>
        <v>14.230837594890115</v>
      </c>
      <c r="BE101" s="63">
        <f t="shared" si="145"/>
        <v>93.608891343444483</v>
      </c>
      <c r="BF101" s="60" t="str">
        <f t="shared" si="146"/>
        <v>23.2663902551007+101.781598883649i</v>
      </c>
      <c r="BG101" s="66">
        <f t="shared" si="147"/>
        <v>40.37459120072765</v>
      </c>
      <c r="BH101" s="63">
        <f t="shared" si="148"/>
        <v>77.12391522223777</v>
      </c>
      <c r="BI101" s="60" t="e">
        <f t="shared" si="101"/>
        <v>#NUM!</v>
      </c>
      <c r="BJ101" s="66" t="e">
        <f t="shared" si="149"/>
        <v>#NUM!</v>
      </c>
      <c r="BK101" s="63" t="e">
        <f t="shared" si="102"/>
        <v>#NUM!</v>
      </c>
      <c r="BL101" s="51">
        <f t="shared" si="150"/>
        <v>40.37459120072765</v>
      </c>
      <c r="BM101" s="63">
        <f t="shared" si="151"/>
        <v>77.12391522223777</v>
      </c>
    </row>
    <row r="102" spans="14:65" x14ac:dyDescent="0.3">
      <c r="N102" s="11">
        <v>84</v>
      </c>
      <c r="O102" s="52">
        <f t="shared" si="115"/>
        <v>69.183097091893657</v>
      </c>
      <c r="P102" s="50" t="str">
        <f t="shared" si="103"/>
        <v>21.1560044893378</v>
      </c>
      <c r="Q102" s="18" t="str">
        <f t="shared" si="104"/>
        <v>1+0.302965910318734i</v>
      </c>
      <c r="R102" s="18">
        <f t="shared" si="116"/>
        <v>1.0448867607617867</v>
      </c>
      <c r="S102" s="18">
        <f t="shared" si="117"/>
        <v>0.29417558704888558</v>
      </c>
      <c r="T102" s="18" t="str">
        <f t="shared" si="105"/>
        <v>1+0.000434690219152965i</v>
      </c>
      <c r="U102" s="18">
        <f t="shared" si="118"/>
        <v>1.0000000944777889</v>
      </c>
      <c r="V102" s="18">
        <f t="shared" si="119"/>
        <v>4.3469019177391961E-4</v>
      </c>
      <c r="W102" s="32" t="str">
        <f t="shared" si="106"/>
        <v>1-0.000195224778897693i</v>
      </c>
      <c r="X102" s="18">
        <f t="shared" si="120"/>
        <v>1.0000000190563569</v>
      </c>
      <c r="Y102" s="18">
        <f t="shared" si="121"/>
        <v>-1.9522477641751099E-4</v>
      </c>
      <c r="Z102" s="32" t="str">
        <f t="shared" si="107"/>
        <v>0.999999995213699+0.000106549502558465i</v>
      </c>
      <c r="AA102" s="18">
        <f t="shared" si="122"/>
        <v>1.0000000008900971</v>
      </c>
      <c r="AB102" s="18">
        <f t="shared" si="123"/>
        <v>1.0654950266523139E-4</v>
      </c>
      <c r="AC102" s="68" t="str">
        <f t="shared" si="124"/>
        <v>19.3781686311473-5.8681125296914i</v>
      </c>
      <c r="AD102" s="66">
        <f t="shared" si="125"/>
        <v>26.127289458826162</v>
      </c>
      <c r="AE102" s="63">
        <f t="shared" si="126"/>
        <v>-16.847404052857154</v>
      </c>
      <c r="AF102" s="51" t="e">
        <f t="shared" si="127"/>
        <v>#NUM!</v>
      </c>
      <c r="AG102" s="51" t="str">
        <f t="shared" si="108"/>
        <v>1-0.186295808208414i</v>
      </c>
      <c r="AH102" s="51">
        <f t="shared" si="128"/>
        <v>1.0172050570833917</v>
      </c>
      <c r="AI102" s="51">
        <f t="shared" si="129"/>
        <v>-0.18418440201831948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-0.000133283554228113</v>
      </c>
      <c r="AT102" s="32" t="str">
        <f t="shared" si="112"/>
        <v>0.0000265595723902462i</v>
      </c>
      <c r="AU102" s="32">
        <f t="shared" si="137"/>
        <v>2.6559572390246201E-5</v>
      </c>
      <c r="AV102" s="32">
        <f t="shared" si="138"/>
        <v>1.5707963267948966</v>
      </c>
      <c r="AW102" s="32" t="str">
        <f t="shared" si="113"/>
        <v>1+0.00464374438748645i</v>
      </c>
      <c r="AX102" s="32">
        <f t="shared" si="139"/>
        <v>1.000010782122841</v>
      </c>
      <c r="AY102" s="32">
        <f t="shared" si="140"/>
        <v>4.6437110081234282E-3</v>
      </c>
      <c r="AZ102" s="32" t="str">
        <f t="shared" si="114"/>
        <v>1+0.0692031175793711i</v>
      </c>
      <c r="BA102" s="32">
        <f t="shared" si="141"/>
        <v>1.0023916756850608</v>
      </c>
      <c r="BB102" s="32">
        <f t="shared" si="142"/>
        <v>6.9092961042763038E-2</v>
      </c>
      <c r="BC102" s="60" t="str">
        <f t="shared" si="143"/>
        <v>-0.323970470623654+5.01979133727979i</v>
      </c>
      <c r="BD102" s="51">
        <f t="shared" si="144"/>
        <v>14.031765112684544</v>
      </c>
      <c r="BE102" s="63">
        <f t="shared" si="145"/>
        <v>93.692670019768229</v>
      </c>
      <c r="BF102" s="60" t="str">
        <f t="shared" si="146"/>
        <v>23.1787460314706+99.1754582048969i</v>
      </c>
      <c r="BG102" s="66">
        <f t="shared" si="147"/>
        <v>40.159054571510708</v>
      </c>
      <c r="BH102" s="63">
        <f t="shared" si="148"/>
        <v>76.845265966911057</v>
      </c>
      <c r="BI102" s="60" t="e">
        <f t="shared" si="101"/>
        <v>#NUM!</v>
      </c>
      <c r="BJ102" s="66" t="e">
        <f t="shared" si="149"/>
        <v>#NUM!</v>
      </c>
      <c r="BK102" s="63" t="e">
        <f t="shared" si="102"/>
        <v>#NUM!</v>
      </c>
      <c r="BL102" s="51">
        <f t="shared" si="150"/>
        <v>40.159054571510708</v>
      </c>
      <c r="BM102" s="63">
        <f t="shared" si="151"/>
        <v>76.845265966911057</v>
      </c>
    </row>
    <row r="103" spans="14:65" x14ac:dyDescent="0.3">
      <c r="N103" s="11">
        <v>85</v>
      </c>
      <c r="O103" s="52">
        <f t="shared" si="115"/>
        <v>70.794578438413865</v>
      </c>
      <c r="P103" s="50" t="str">
        <f t="shared" si="103"/>
        <v>21.1560044893378</v>
      </c>
      <c r="Q103" s="18" t="str">
        <f t="shared" si="104"/>
        <v>1+0.31002289292912i</v>
      </c>
      <c r="R103" s="18">
        <f t="shared" si="116"/>
        <v>1.0469547240163448</v>
      </c>
      <c r="S103" s="18">
        <f t="shared" si="117"/>
        <v>0.30062655571057811</v>
      </c>
      <c r="T103" s="18" t="str">
        <f t="shared" si="105"/>
        <v>1+0.000444815455072215i</v>
      </c>
      <c r="U103" s="18">
        <f t="shared" si="118"/>
        <v>1.0000000989303897</v>
      </c>
      <c r="V103" s="18">
        <f t="shared" si="119"/>
        <v>4.448154257350395E-4</v>
      </c>
      <c r="W103" s="32" t="str">
        <f t="shared" si="106"/>
        <v>1-0.000199772148165569i</v>
      </c>
      <c r="X103" s="18">
        <f t="shared" si="120"/>
        <v>1.0000000199544554</v>
      </c>
      <c r="Y103" s="18">
        <f t="shared" si="121"/>
        <v>-1.9977214550800609E-4</v>
      </c>
      <c r="Z103" s="32" t="str">
        <f t="shared" si="107"/>
        <v>0.999999994988128+0.000109031359299078i</v>
      </c>
      <c r="AA103" s="18">
        <f t="shared" si="122"/>
        <v>1.0000000009320467</v>
      </c>
      <c r="AB103" s="18">
        <f t="shared" si="123"/>
        <v>1.090313594134802E-4</v>
      </c>
      <c r="AC103" s="68" t="str">
        <f t="shared" si="124"/>
        <v>19.3017287646438-5.98110032101021i</v>
      </c>
      <c r="AD103" s="66">
        <f t="shared" si="125"/>
        <v>26.110116017761761</v>
      </c>
      <c r="AE103" s="63">
        <f t="shared" si="126"/>
        <v>-17.216839942744553</v>
      </c>
      <c r="AF103" s="51" t="e">
        <f t="shared" si="127"/>
        <v>#NUM!</v>
      </c>
      <c r="AG103" s="51" t="str">
        <f t="shared" si="108"/>
        <v>1-0.19063519503095i</v>
      </c>
      <c r="AH103" s="51">
        <f t="shared" si="128"/>
        <v>1.0180087315855835</v>
      </c>
      <c r="AI103" s="51">
        <f t="shared" si="129"/>
        <v>-0.18837493847498207</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-0.000133283554228113</v>
      </c>
      <c r="AT103" s="32" t="str">
        <f t="shared" si="112"/>
        <v>0.0000271782243049123i</v>
      </c>
      <c r="AU103" s="32">
        <f t="shared" si="137"/>
        <v>2.71782243049123E-5</v>
      </c>
      <c r="AV103" s="32">
        <f t="shared" si="138"/>
        <v>1.5707963267948966</v>
      </c>
      <c r="AW103" s="32" t="str">
        <f t="shared" si="113"/>
        <v>1+0.00475191108965797i</v>
      </c>
      <c r="AX103" s="32">
        <f t="shared" si="139"/>
        <v>1.000011290265767</v>
      </c>
      <c r="AY103" s="32">
        <f t="shared" si="140"/>
        <v>4.7518753230479044E-3</v>
      </c>
      <c r="AZ103" s="32" t="str">
        <f t="shared" si="114"/>
        <v>1+0.0708150652629517i</v>
      </c>
      <c r="BA103" s="32">
        <f t="shared" si="141"/>
        <v>1.0025042510973188</v>
      </c>
      <c r="BB103" s="32">
        <f t="shared" si="142"/>
        <v>7.0697046326086407E-2</v>
      </c>
      <c r="BC103" s="60" t="str">
        <f t="shared" si="143"/>
        <v>-0.323970141380851+4.90559622261974i</v>
      </c>
      <c r="BD103" s="51">
        <f t="shared" si="144"/>
        <v>13.832736128851337</v>
      </c>
      <c r="BE103" s="63">
        <f t="shared" si="145"/>
        <v>93.778379977742603</v>
      </c>
      <c r="BF103" s="60" t="str">
        <f t="shared" si="146"/>
        <v>23.0876793450809+96.6241856344781i</v>
      </c>
      <c r="BG103" s="66">
        <f t="shared" si="147"/>
        <v>39.942852146613092</v>
      </c>
      <c r="BH103" s="63">
        <f t="shared" si="148"/>
        <v>76.561540034998046</v>
      </c>
      <c r="BI103" s="60" t="e">
        <f t="shared" si="101"/>
        <v>#NUM!</v>
      </c>
      <c r="BJ103" s="66" t="e">
        <f t="shared" si="149"/>
        <v>#NUM!</v>
      </c>
      <c r="BK103" s="63" t="e">
        <f t="shared" si="102"/>
        <v>#NUM!</v>
      </c>
      <c r="BL103" s="51">
        <f t="shared" si="150"/>
        <v>39.942852146613092</v>
      </c>
      <c r="BM103" s="63">
        <f t="shared" si="151"/>
        <v>76.561540034998046</v>
      </c>
    </row>
    <row r="104" spans="14:65" x14ac:dyDescent="0.3">
      <c r="N104" s="11">
        <v>86</v>
      </c>
      <c r="O104" s="52">
        <f t="shared" si="115"/>
        <v>72.443596007499011</v>
      </c>
      <c r="P104" s="50" t="str">
        <f t="shared" si="103"/>
        <v>21.1560044893378</v>
      </c>
      <c r="Q104" s="18" t="str">
        <f t="shared" si="104"/>
        <v>1+0.317244253780974i</v>
      </c>
      <c r="R104" s="18">
        <f t="shared" si="116"/>
        <v>1.0491157784329845</v>
      </c>
      <c r="S104" s="18">
        <f t="shared" si="117"/>
        <v>0.30720117873702846</v>
      </c>
      <c r="T104" s="18" t="str">
        <f t="shared" si="105"/>
        <v>1+0.000455176538033571i</v>
      </c>
      <c r="U104" s="18">
        <f t="shared" si="118"/>
        <v>1.000000103592835</v>
      </c>
      <c r="V104" s="18">
        <f t="shared" si="119"/>
        <v>4.5517650659822128E-4</v>
      </c>
      <c r="W104" s="32" t="str">
        <f t="shared" si="106"/>
        <v>1-0.000204425439270699i</v>
      </c>
      <c r="X104" s="18">
        <f t="shared" si="120"/>
        <v>1.00000002089488</v>
      </c>
      <c r="Y104" s="18">
        <f t="shared" si="121"/>
        <v>-2.0442543642306904E-4</v>
      </c>
      <c r="Z104" s="32" t="str">
        <f t="shared" si="107"/>
        <v>0.999999994751925+0.000111571025909591i</v>
      </c>
      <c r="AA104" s="18">
        <f t="shared" si="122"/>
        <v>1.0000000009759717</v>
      </c>
      <c r="AB104" s="18">
        <f t="shared" si="123"/>
        <v>1.1157102603217524E-4</v>
      </c>
      <c r="AC104" s="68" t="str">
        <f t="shared" si="124"/>
        <v>19.2223304040298-6.09522937096487i</v>
      </c>
      <c r="AD104" s="66">
        <f t="shared" si="125"/>
        <v>26.092205707788899</v>
      </c>
      <c r="AE104" s="63">
        <f t="shared" si="126"/>
        <v>-17.59335657395393</v>
      </c>
      <c r="AF104" s="51" t="e">
        <f t="shared" si="127"/>
        <v>#NUM!</v>
      </c>
      <c r="AG104" s="51" t="str">
        <f t="shared" si="108"/>
        <v>1-0.195075659157245i</v>
      </c>
      <c r="AH104" s="51">
        <f t="shared" si="128"/>
        <v>1.0188496026380114</v>
      </c>
      <c r="AI104" s="51">
        <f t="shared" si="129"/>
        <v>-0.19265616402987246</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-0.000133283554228113</v>
      </c>
      <c r="AT104" s="32" t="str">
        <f t="shared" si="112"/>
        <v>0.0000278112864738512i</v>
      </c>
      <c r="AU104" s="32">
        <f t="shared" si="137"/>
        <v>2.7811286473851201E-5</v>
      </c>
      <c r="AV104" s="32">
        <f t="shared" si="138"/>
        <v>1.5707963267948966</v>
      </c>
      <c r="AW104" s="32" t="str">
        <f t="shared" si="113"/>
        <v>1+0.00486259731798819i</v>
      </c>
      <c r="AX104" s="32">
        <f t="shared" si="139"/>
        <v>1.0000118223564545</v>
      </c>
      <c r="AY104" s="32">
        <f t="shared" si="140"/>
        <v>4.8625589933994923E-3</v>
      </c>
      <c r="AZ104" s="32" t="str">
        <f t="shared" si="114"/>
        <v>1+0.0724645600314825i</v>
      </c>
      <c r="BA104" s="32">
        <f t="shared" si="141"/>
        <v>1.0026221184776227</v>
      </c>
      <c r="BB104" s="32">
        <f t="shared" si="142"/>
        <v>7.2338118317465214E-2</v>
      </c>
      <c r="BC104" s="60" t="str">
        <f t="shared" si="143"/>
        <v>-0.323969796622027+4.79400211986265i</v>
      </c>
      <c r="BD104" s="51">
        <f t="shared" si="144"/>
        <v>13.633752672845995</v>
      </c>
      <c r="BE104" s="63">
        <f t="shared" si="145"/>
        <v>93.866064769553574</v>
      </c>
      <c r="BF104" s="60" t="str">
        <f t="shared" si="146"/>
        <v>22.9930880538597+94.1265629252952i</v>
      </c>
      <c r="BG104" s="66">
        <f t="shared" si="147"/>
        <v>39.7259583806349</v>
      </c>
      <c r="BH104" s="63">
        <f t="shared" si="148"/>
        <v>76.272708195599662</v>
      </c>
      <c r="BI104" s="60" t="e">
        <f t="shared" si="101"/>
        <v>#NUM!</v>
      </c>
      <c r="BJ104" s="66" t="e">
        <f t="shared" si="149"/>
        <v>#NUM!</v>
      </c>
      <c r="BK104" s="63" t="e">
        <f t="shared" si="102"/>
        <v>#NUM!</v>
      </c>
      <c r="BL104" s="51">
        <f t="shared" si="150"/>
        <v>39.7259583806349</v>
      </c>
      <c r="BM104" s="63">
        <f t="shared" si="151"/>
        <v>76.272708195599662</v>
      </c>
    </row>
    <row r="105" spans="14:65" x14ac:dyDescent="0.3">
      <c r="N105" s="11">
        <v>87</v>
      </c>
      <c r="O105" s="52">
        <f t="shared" si="115"/>
        <v>74.131024130091816</v>
      </c>
      <c r="P105" s="50" t="str">
        <f t="shared" si="103"/>
        <v>21.1560044893378</v>
      </c>
      <c r="Q105" s="18" t="str">
        <f t="shared" si="104"/>
        <v>1+0.324633821735409i</v>
      </c>
      <c r="R105" s="18">
        <f t="shared" si="116"/>
        <v>1.0513739193144072</v>
      </c>
      <c r="S105" s="18">
        <f t="shared" si="117"/>
        <v>0.31390066772618375</v>
      </c>
      <c r="T105" s="18" t="str">
        <f t="shared" si="105"/>
        <v>1+0.000465778961620368i</v>
      </c>
      <c r="U105" s="18">
        <f t="shared" si="118"/>
        <v>1.0000001084750147</v>
      </c>
      <c r="V105" s="18">
        <f t="shared" si="119"/>
        <v>4.6577892793678408E-4</v>
      </c>
      <c r="W105" s="32" t="str">
        <f t="shared" si="106"/>
        <v>1-0.000209187119449621i</v>
      </c>
      <c r="X105" s="18">
        <f t="shared" si="120"/>
        <v>1.0000000218796252</v>
      </c>
      <c r="Y105" s="18">
        <f t="shared" si="121"/>
        <v>-2.0918711639833054E-4</v>
      </c>
      <c r="Z105" s="32" t="str">
        <f t="shared" si="107"/>
        <v>0.999999994504591+0.000114169848954859i</v>
      </c>
      <c r="AA105" s="18">
        <f t="shared" si="122"/>
        <v>1.0000000010219683</v>
      </c>
      <c r="AB105" s="18">
        <f t="shared" si="123"/>
        <v>1.1416984908621037E-4</v>
      </c>
      <c r="AC105" s="68" t="str">
        <f t="shared" si="124"/>
        <v>19.1398875651849-6.21044176781546i</v>
      </c>
      <c r="AD105" s="66">
        <f t="shared" si="125"/>
        <v>26.073530141838557</v>
      </c>
      <c r="AE105" s="63">
        <f t="shared" si="126"/>
        <v>-17.9770232696902</v>
      </c>
      <c r="AF105" s="51" t="e">
        <f t="shared" si="127"/>
        <v>#NUM!</v>
      </c>
      <c r="AG105" s="51" t="str">
        <f t="shared" si="108"/>
        <v>1-0.199619554980158i</v>
      </c>
      <c r="AH105" s="51">
        <f t="shared" si="128"/>
        <v>1.0197293595510901</v>
      </c>
      <c r="AI105" s="51">
        <f t="shared" si="129"/>
        <v>-0.19702972058140494</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-0.000133283554228113</v>
      </c>
      <c r="AT105" s="32" t="str">
        <f t="shared" si="112"/>
        <v>0.0000284590945550045i</v>
      </c>
      <c r="AU105" s="32">
        <f t="shared" si="137"/>
        <v>2.8459094555004498E-5</v>
      </c>
      <c r="AV105" s="32">
        <f t="shared" si="138"/>
        <v>1.5707963267948966</v>
      </c>
      <c r="AW105" s="32" t="str">
        <f t="shared" si="113"/>
        <v>1+0.00497586175978051i</v>
      </c>
      <c r="AX105" s="32">
        <f t="shared" si="139"/>
        <v>1.0000123795234999</v>
      </c>
      <c r="AY105" s="32">
        <f t="shared" si="140"/>
        <v>4.9758206942713112E-3</v>
      </c>
      <c r="AZ105" s="32" t="str">
        <f t="shared" si="114"/>
        <v>1+0.0741524764689242i</v>
      </c>
      <c r="BA105" s="32">
        <f t="shared" si="141"/>
        <v>1.0027455259269293</v>
      </c>
      <c r="BB105" s="32">
        <f t="shared" si="142"/>
        <v>7.4017011758361451E-2</v>
      </c>
      <c r="BC105" s="60" t="str">
        <f t="shared" si="143"/>
        <v>-0.323969435616007+4.68494986032757i</v>
      </c>
      <c r="BD105" s="51">
        <f t="shared" si="144"/>
        <v>13.434816867801395</v>
      </c>
      <c r="BE105" s="63">
        <f t="shared" si="145"/>
        <v>93.955768860528693</v>
      </c>
      <c r="BF105" s="60" t="str">
        <f t="shared" si="146"/>
        <v>22.8948697204528+91.6814068896436i</v>
      </c>
      <c r="BG105" s="66">
        <f t="shared" si="147"/>
        <v>39.508347009639948</v>
      </c>
      <c r="BH105" s="63">
        <f t="shared" si="148"/>
        <v>75.978745590838471</v>
      </c>
      <c r="BI105" s="60" t="e">
        <f t="shared" si="101"/>
        <v>#NUM!</v>
      </c>
      <c r="BJ105" s="66" t="e">
        <f t="shared" si="149"/>
        <v>#NUM!</v>
      </c>
      <c r="BK105" s="63" t="e">
        <f t="shared" si="102"/>
        <v>#NUM!</v>
      </c>
      <c r="BL105" s="51">
        <f t="shared" si="150"/>
        <v>39.508347009639948</v>
      </c>
      <c r="BM105" s="63">
        <f t="shared" si="151"/>
        <v>75.978745590838471</v>
      </c>
    </row>
    <row r="106" spans="14:65" x14ac:dyDescent="0.3">
      <c r="N106" s="11">
        <v>88</v>
      </c>
      <c r="O106" s="52">
        <f t="shared" si="115"/>
        <v>75.857757502918361</v>
      </c>
      <c r="P106" s="50" t="str">
        <f t="shared" si="103"/>
        <v>21.1560044893378</v>
      </c>
      <c r="Q106" s="18" t="str">
        <f t="shared" si="104"/>
        <v>1+0.332195514839163i</v>
      </c>
      <c r="R106" s="18">
        <f t="shared" si="116"/>
        <v>1.0537332964651238</v>
      </c>
      <c r="S106" s="18">
        <f t="shared" si="117"/>
        <v>0.32072616844049973</v>
      </c>
      <c r="T106" s="18" t="str">
        <f t="shared" si="105"/>
        <v>1+0.000476628347377929i</v>
      </c>
      <c r="U106" s="18">
        <f t="shared" si="118"/>
        <v>1.0000001135872842</v>
      </c>
      <c r="V106" s="18">
        <f t="shared" si="119"/>
        <v>4.766283112853188E-4</v>
      </c>
      <c r="W106" s="32" t="str">
        <f t="shared" si="106"/>
        <v>1-0.000214059713408194i</v>
      </c>
      <c r="X106" s="18">
        <f t="shared" si="120"/>
        <v>1.0000000229107802</v>
      </c>
      <c r="Y106" s="18">
        <f t="shared" si="121"/>
        <v>-2.1405971013867736E-4</v>
      </c>
      <c r="Z106" s="32" t="str">
        <f t="shared" si="107"/>
        <v>0.999999994245601+0.00011682920636526i</v>
      </c>
      <c r="AA106" s="18">
        <f t="shared" si="122"/>
        <v>1.0000000010701329</v>
      </c>
      <c r="AB106" s="18">
        <f t="shared" si="123"/>
        <v>1.1682920650600545E-4</v>
      </c>
      <c r="AC106" s="68" t="str">
        <f t="shared" si="124"/>
        <v>19.0543142477438-6.32667446774251i</v>
      </c>
      <c r="AD106" s="66">
        <f t="shared" si="125"/>
        <v>26.054060119363712</v>
      </c>
      <c r="AE106" s="63">
        <f t="shared" si="126"/>
        <v>-18.367905578820864</v>
      </c>
      <c r="AF106" s="51" t="e">
        <f t="shared" si="127"/>
        <v>#NUM!</v>
      </c>
      <c r="AG106" s="51" t="str">
        <f t="shared" si="108"/>
        <v>1-0.204269291733398i</v>
      </c>
      <c r="AH106" s="51">
        <f t="shared" si="128"/>
        <v>1.0206497653677602</v>
      </c>
      <c r="AI106" s="51">
        <f t="shared" si="129"/>
        <v>-0.2014972574677131</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-0.000133283554228113</v>
      </c>
      <c r="AT106" s="32" t="str">
        <f t="shared" si="112"/>
        <v>0.0000291219920247914i</v>
      </c>
      <c r="AU106" s="32">
        <f t="shared" si="137"/>
        <v>2.9121992024791399E-5</v>
      </c>
      <c r="AV106" s="32">
        <f t="shared" si="138"/>
        <v>1.5707963267948966</v>
      </c>
      <c r="AW106" s="32" t="str">
        <f t="shared" si="113"/>
        <v>1+0.00509176446934118i</v>
      </c>
      <c r="AX106" s="32">
        <f t="shared" si="139"/>
        <v>1.0000129629486865</v>
      </c>
      <c r="AY106" s="32">
        <f t="shared" si="140"/>
        <v>5.0917204668861011E-3</v>
      </c>
      <c r="AZ106" s="32" t="str">
        <f t="shared" si="114"/>
        <v>1+0.0758797095309136i</v>
      </c>
      <c r="BA106" s="32">
        <f t="shared" si="141"/>
        <v>1.0028747331140095</v>
      </c>
      <c r="BB106" s="32">
        <f t="shared" si="142"/>
        <v>7.5734578940934438E-2</v>
      </c>
      <c r="BC106" s="60" t="str">
        <f t="shared" si="143"/>
        <v>-0.323969057597162+4.57838162305174i</v>
      </c>
      <c r="BD106" s="51">
        <f t="shared" si="144"/>
        <v>13.235930934755043</v>
      </c>
      <c r="BE106" s="63">
        <f t="shared" si="145"/>
        <v>94.04753764330296</v>
      </c>
      <c r="BF106" s="60" t="str">
        <f t="shared" si="146"/>
        <v>22.7929218881412+89.2875689567617i</v>
      </c>
      <c r="BG106" s="66">
        <f t="shared" si="147"/>
        <v>39.289991054118751</v>
      </c>
      <c r="BH106" s="63">
        <f t="shared" si="148"/>
        <v>75.679632064482121</v>
      </c>
      <c r="BI106" s="60" t="e">
        <f t="shared" si="101"/>
        <v>#NUM!</v>
      </c>
      <c r="BJ106" s="66" t="e">
        <f t="shared" si="149"/>
        <v>#NUM!</v>
      </c>
      <c r="BK106" s="63" t="e">
        <f t="shared" si="102"/>
        <v>#NUM!</v>
      </c>
      <c r="BL106" s="51">
        <f t="shared" si="150"/>
        <v>39.289991054118751</v>
      </c>
      <c r="BM106" s="63">
        <f t="shared" si="151"/>
        <v>75.679632064482121</v>
      </c>
    </row>
    <row r="107" spans="14:65" x14ac:dyDescent="0.3">
      <c r="N107" s="11">
        <v>89</v>
      </c>
      <c r="O107" s="52">
        <f t="shared" si="115"/>
        <v>77.624711662869217</v>
      </c>
      <c r="P107" s="50" t="str">
        <f t="shared" si="103"/>
        <v>21.1560044893378</v>
      </c>
      <c r="Q107" s="18" t="str">
        <f t="shared" si="104"/>
        <v>1+0.339933342402013i</v>
      </c>
      <c r="R107" s="18">
        <f t="shared" si="116"/>
        <v>1.0561982187433401</v>
      </c>
      <c r="S107" s="18">
        <f t="shared" si="117"/>
        <v>0.32767875512037759</v>
      </c>
      <c r="T107" s="18" t="str">
        <f t="shared" si="105"/>
        <v>1+0.000487730447794192i</v>
      </c>
      <c r="U107" s="18">
        <f t="shared" si="118"/>
        <v>1.0000001189404879</v>
      </c>
      <c r="V107" s="18">
        <f t="shared" si="119"/>
        <v>4.8773040912026362E-4</v>
      </c>
      <c r="W107" s="32" t="str">
        <f t="shared" si="106"/>
        <v>1-0.000219045804660232i</v>
      </c>
      <c r="X107" s="18">
        <f t="shared" si="120"/>
        <v>1.000000023990532</v>
      </c>
      <c r="Y107" s="18">
        <f t="shared" si="121"/>
        <v>-2.1904580115688179E-4</v>
      </c>
      <c r="Z107" s="32" t="str">
        <f t="shared" si="107"/>
        <v>0.999999993974404+0.000119550508167292i</v>
      </c>
      <c r="AA107" s="18">
        <f t="shared" si="122"/>
        <v>1.0000000011205661</v>
      </c>
      <c r="AB107" s="18">
        <f t="shared" si="123"/>
        <v>1.1955050831810353E-4</v>
      </c>
      <c r="AC107" s="68" t="str">
        <f t="shared" si="124"/>
        <v>18.9655246872127-6.44385911521476i</v>
      </c>
      <c r="AD107" s="66">
        <f t="shared" si="125"/>
        <v>26.03376562736171</v>
      </c>
      <c r="AE107" s="63">
        <f t="shared" si="126"/>
        <v>-18.766064950007273</v>
      </c>
      <c r="AF107" s="51" t="e">
        <f t="shared" si="127"/>
        <v>#NUM!</v>
      </c>
      <c r="AG107" s="51" t="str">
        <f t="shared" si="108"/>
        <v>1-0.20902733476894i</v>
      </c>
      <c r="AH107" s="51">
        <f t="shared" si="128"/>
        <v>1.0216126598083084</v>
      </c>
      <c r="AI107" s="51">
        <f t="shared" si="129"/>
        <v>-0.20606042976095407</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-0.000133283554228113</v>
      </c>
      <c r="AT107" s="32" t="str">
        <f t="shared" si="112"/>
        <v>0.0000298003303602251i</v>
      </c>
      <c r="AU107" s="32">
        <f t="shared" si="137"/>
        <v>2.98003303602251E-5</v>
      </c>
      <c r="AV107" s="32">
        <f t="shared" si="138"/>
        <v>1.5707963267948966</v>
      </c>
      <c r="AW107" s="32" t="str">
        <f t="shared" si="113"/>
        <v>1+0.00521036689982097i</v>
      </c>
      <c r="AX107" s="32">
        <f t="shared" si="139"/>
        <v>1.0000135738694904</v>
      </c>
      <c r="AY107" s="32">
        <f t="shared" si="140"/>
        <v>5.2103197503754395E-3</v>
      </c>
      <c r="AZ107" s="32" t="str">
        <f t="shared" si="114"/>
        <v>1+0.0776471750192831i</v>
      </c>
      <c r="BA107" s="32">
        <f t="shared" si="141"/>
        <v>1.0030100118086933</v>
      </c>
      <c r="BB107" s="32">
        <f t="shared" si="142"/>
        <v>7.749168998425604E-2</v>
      </c>
      <c r="BC107" s="60" t="str">
        <f t="shared" si="143"/>
        <v>-0.323968661763781+4.47424090413302i</v>
      </c>
      <c r="BD107" s="51">
        <f t="shared" si="144"/>
        <v>13.037097197057705</v>
      </c>
      <c r="BE107" s="63">
        <f t="shared" si="145"/>
        <v>94.141417451823884</v>
      </c>
      <c r="BF107" s="60" t="str">
        <f t="shared" si="146"/>
        <v>22.6871423812+86.9439347380221i</v>
      </c>
      <c r="BG107" s="66">
        <f t="shared" si="147"/>
        <v>39.070862824419407</v>
      </c>
      <c r="BH107" s="63">
        <f t="shared" si="148"/>
        <v>75.37535250181665</v>
      </c>
      <c r="BI107" s="60" t="e">
        <f t="shared" si="101"/>
        <v>#NUM!</v>
      </c>
      <c r="BJ107" s="66" t="e">
        <f t="shared" si="149"/>
        <v>#NUM!</v>
      </c>
      <c r="BK107" s="63" t="e">
        <f t="shared" si="102"/>
        <v>#NUM!</v>
      </c>
      <c r="BL107" s="51">
        <f t="shared" si="150"/>
        <v>39.070862824419407</v>
      </c>
      <c r="BM107" s="63">
        <f t="shared" si="151"/>
        <v>75.37535250181665</v>
      </c>
    </row>
    <row r="108" spans="14:65" x14ac:dyDescent="0.3">
      <c r="N108" s="11">
        <v>90</v>
      </c>
      <c r="O108" s="52">
        <f t="shared" si="115"/>
        <v>79.432823472428197</v>
      </c>
      <c r="P108" s="50" t="str">
        <f t="shared" si="103"/>
        <v>21.1560044893378</v>
      </c>
      <c r="Q108" s="18" t="str">
        <f t="shared" si="104"/>
        <v>1+0.347851407122554i</v>
      </c>
      <c r="R108" s="18">
        <f t="shared" si="116"/>
        <v>1.0587731586308471</v>
      </c>
      <c r="S108" s="18">
        <f t="shared" si="117"/>
        <v>0.33475942460618507</v>
      </c>
      <c r="T108" s="18" t="str">
        <f t="shared" si="105"/>
        <v>1+0.000499091149349751i</v>
      </c>
      <c r="U108" s="18">
        <f t="shared" si="118"/>
        <v>1.00000012454598</v>
      </c>
      <c r="V108" s="18">
        <f t="shared" si="119"/>
        <v>4.9909110790989045E-4</v>
      </c>
      <c r="W108" s="32" t="str">
        <f t="shared" si="106"/>
        <v>1-0.000224148036897314i</v>
      </c>
      <c r="X108" s="18">
        <f t="shared" si="120"/>
        <v>1.0000000251211709</v>
      </c>
      <c r="Y108" s="18">
        <f t="shared" si="121"/>
        <v>-2.2414803314340663E-4</v>
      </c>
      <c r="Z108" s="32" t="str">
        <f t="shared" si="107"/>
        <v>0.999999993690427+0.000122335197231193i</v>
      </c>
      <c r="AA108" s="18">
        <f t="shared" si="122"/>
        <v>1.0000000011733772</v>
      </c>
      <c r="AB108" s="18">
        <f t="shared" si="123"/>
        <v>1.2233519739279037E-4</v>
      </c>
      <c r="AC108" s="68" t="str">
        <f t="shared" si="124"/>
        <v>18.8734336281339-6.5619218713748i</v>
      </c>
      <c r="AD108" s="66">
        <f t="shared" si="125"/>
        <v>26.012615843880198</v>
      </c>
      <c r="AE108" s="63">
        <f t="shared" si="126"/>
        <v>-19.171558394868349</v>
      </c>
      <c r="AF108" s="51" t="e">
        <f t="shared" si="127"/>
        <v>#NUM!</v>
      </c>
      <c r="AG108" s="51" t="str">
        <f t="shared" si="108"/>
        <v>1-0.213896206864179i</v>
      </c>
      <c r="AH108" s="51">
        <f t="shared" si="128"/>
        <v>1.0226199623080334</v>
      </c>
      <c r="AI108" s="51">
        <f t="shared" si="129"/>
        <v>-0.21072089642323064</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-0.000133283554228113</v>
      </c>
      <c r="AT108" s="32" t="str">
        <f t="shared" si="112"/>
        <v>0.0000304944692252698i</v>
      </c>
      <c r="AU108" s="32">
        <f t="shared" si="137"/>
        <v>3.0494469225269801E-5</v>
      </c>
      <c r="AV108" s="32">
        <f t="shared" si="138"/>
        <v>1.5707963267948966</v>
      </c>
      <c r="AW108" s="32" t="str">
        <f t="shared" si="113"/>
        <v>1+0.00533173193579839i</v>
      </c>
      <c r="AX108" s="32">
        <f t="shared" si="139"/>
        <v>1.0000142135817047</v>
      </c>
      <c r="AY108" s="32">
        <f t="shared" si="140"/>
        <v>5.3316814142960562E-3</v>
      </c>
      <c r="AZ108" s="32" t="str">
        <f t="shared" si="114"/>
        <v>1+0.0794558100676297i</v>
      </c>
      <c r="BA108" s="32">
        <f t="shared" si="141"/>
        <v>1.003151646439113</v>
      </c>
      <c r="BB108" s="32">
        <f t="shared" si="142"/>
        <v>7.9289233107808305E-2</v>
      </c>
      <c r="BC108" s="60" t="str">
        <f t="shared" si="143"/>
        <v>-0.323968247276385+4.3724724867708i</v>
      </c>
      <c r="BD108" s="51">
        <f t="shared" si="144"/>
        <v>12.838318084970661</v>
      </c>
      <c r="BE108" s="63">
        <f t="shared" si="145"/>
        <v>94.237455575158847</v>
      </c>
      <c r="BF108" s="60" t="str">
        <f t="shared" si="146"/>
        <v>22.5774296303321+84.6494235973441i</v>
      </c>
      <c r="BG108" s="66">
        <f t="shared" si="147"/>
        <v>38.850933928850857</v>
      </c>
      <c r="BH108" s="63">
        <f t="shared" si="148"/>
        <v>75.065897180290534</v>
      </c>
      <c r="BI108" s="60" t="e">
        <f t="shared" si="101"/>
        <v>#NUM!</v>
      </c>
      <c r="BJ108" s="66" t="e">
        <f t="shared" si="149"/>
        <v>#NUM!</v>
      </c>
      <c r="BK108" s="63" t="e">
        <f t="shared" si="102"/>
        <v>#NUM!</v>
      </c>
      <c r="BL108" s="51">
        <f t="shared" si="150"/>
        <v>38.850933928850857</v>
      </c>
      <c r="BM108" s="63">
        <f t="shared" si="151"/>
        <v>75.065897180290534</v>
      </c>
    </row>
    <row r="109" spans="14:65" x14ac:dyDescent="0.3">
      <c r="N109" s="11">
        <v>91</v>
      </c>
      <c r="O109" s="52">
        <f t="shared" si="115"/>
        <v>81.283051616409963</v>
      </c>
      <c r="P109" s="50" t="str">
        <f t="shared" si="103"/>
        <v>21.1560044893378</v>
      </c>
      <c r="Q109" s="18" t="str">
        <f t="shared" si="104"/>
        <v>1+0.355953907263509i</v>
      </c>
      <c r="R109" s="18">
        <f t="shared" si="116"/>
        <v>1.061462756810694</v>
      </c>
      <c r="S109" s="18">
        <f t="shared" si="117"/>
        <v>0.34196909027864181</v>
      </c>
      <c r="T109" s="18" t="str">
        <f t="shared" si="105"/>
        <v>1+0.000510716475638947i</v>
      </c>
      <c r="U109" s="18">
        <f t="shared" si="118"/>
        <v>1.0000001304156507</v>
      </c>
      <c r="V109" s="18">
        <f t="shared" si="119"/>
        <v>5.1071643123533675E-4</v>
      </c>
      <c r="W109" s="32" t="str">
        <f t="shared" si="106"/>
        <v>1-0.000229369115390509i</v>
      </c>
      <c r="X109" s="18">
        <f t="shared" si="120"/>
        <v>1.0000000263050952</v>
      </c>
      <c r="Y109" s="18">
        <f t="shared" si="121"/>
        <v>-2.2936911136812478E-4</v>
      </c>
      <c r="Z109" s="32" t="str">
        <f t="shared" si="107"/>
        <v>0.999999993393066+0.000125184750035964i</v>
      </c>
      <c r="AA109" s="18">
        <f t="shared" si="122"/>
        <v>1.0000000012286767</v>
      </c>
      <c r="AB109" s="18">
        <f t="shared" si="123"/>
        <v>1.2518475020911873E-4</v>
      </c>
      <c r="AC109" s="68" t="str">
        <f t="shared" si="124"/>
        <v>18.7779566187175-6.68078325233211i</v>
      </c>
      <c r="AD109" s="66">
        <f t="shared" si="125"/>
        <v>25.990579144208262</v>
      </c>
      <c r="AE109" s="63">
        <f t="shared" si="126"/>
        <v>-19.584438140735028</v>
      </c>
      <c r="AF109" s="51" t="e">
        <f t="shared" si="127"/>
        <v>#NUM!</v>
      </c>
      <c r="AG109" s="51" t="str">
        <f t="shared" si="108"/>
        <v>1-0.218878489559549i</v>
      </c>
      <c r="AH109" s="51">
        <f t="shared" si="128"/>
        <v>1.0236736751484183</v>
      </c>
      <c r="AI109" s="51">
        <f t="shared" si="129"/>
        <v>-0.21548031831763662</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-0.000133283554228113</v>
      </c>
      <c r="AT109" s="32" t="str">
        <f t="shared" si="112"/>
        <v>0.0000312047766615397i</v>
      </c>
      <c r="AU109" s="32">
        <f t="shared" si="137"/>
        <v>3.1204776661539702E-5</v>
      </c>
      <c r="AV109" s="32">
        <f t="shared" si="138"/>
        <v>1.5707963267948966</v>
      </c>
      <c r="AW109" s="32" t="str">
        <f t="shared" si="113"/>
        <v>1+0.00545592392662199i</v>
      </c>
      <c r="AX109" s="32">
        <f t="shared" si="139"/>
        <v>1.000014883442188</v>
      </c>
      <c r="AY109" s="32">
        <f t="shared" si="140"/>
        <v>5.4558697919004241E-3</v>
      </c>
      <c r="AZ109" s="32" t="str">
        <f t="shared" si="114"/>
        <v>1+0.0813065736381959i</v>
      </c>
      <c r="BA109" s="32">
        <f t="shared" si="141"/>
        <v>1.0032999346739655</v>
      </c>
      <c r="BB109" s="32">
        <f t="shared" si="142"/>
        <v>8.1128114901591483E-2</v>
      </c>
      <c r="BC109" s="60" t="str">
        <f t="shared" si="143"/>
        <v>-0.323967813255936+4.27302241198923i</v>
      </c>
      <c r="BD109" s="51">
        <f t="shared" si="144"/>
        <v>12.639596140458185</v>
      </c>
      <c r="BE109" s="63">
        <f t="shared" si="145"/>
        <v>94.335700271064781</v>
      </c>
      <c r="BF109" s="60" t="str">
        <f t="shared" si="146"/>
        <v>22.4636830236767+82.4029882242363i</v>
      </c>
      <c r="BG109" s="66">
        <f t="shared" si="147"/>
        <v>38.63017528466645</v>
      </c>
      <c r="BH109" s="63">
        <f t="shared" si="148"/>
        <v>74.751262130329735</v>
      </c>
      <c r="BI109" s="60" t="e">
        <f t="shared" si="101"/>
        <v>#NUM!</v>
      </c>
      <c r="BJ109" s="66" t="e">
        <f t="shared" si="149"/>
        <v>#NUM!</v>
      </c>
      <c r="BK109" s="63" t="e">
        <f t="shared" si="102"/>
        <v>#NUM!</v>
      </c>
      <c r="BL109" s="51">
        <f t="shared" si="150"/>
        <v>38.63017528466645</v>
      </c>
      <c r="BM109" s="63">
        <f t="shared" si="151"/>
        <v>74.751262130329735</v>
      </c>
    </row>
    <row r="110" spans="14:65" x14ac:dyDescent="0.3">
      <c r="N110" s="11">
        <v>92</v>
      </c>
      <c r="O110" s="52">
        <f t="shared" si="115"/>
        <v>83.176377110267126</v>
      </c>
      <c r="P110" s="50" t="str">
        <f t="shared" si="103"/>
        <v>21.1560044893378</v>
      </c>
      <c r="Q110" s="18" t="str">
        <f t="shared" si="104"/>
        <v>1+0.364245138877702i</v>
      </c>
      <c r="R110" s="18">
        <f t="shared" si="116"/>
        <v>1.0642718267416629</v>
      </c>
      <c r="S110" s="18">
        <f t="shared" si="117"/>
        <v>0.3493085758294297</v>
      </c>
      <c r="T110" s="18" t="str">
        <f t="shared" si="105"/>
        <v>1+0.000522612590563659i</v>
      </c>
      <c r="U110" s="18">
        <f t="shared" si="118"/>
        <v>1.0000001365619506</v>
      </c>
      <c r="V110" s="18">
        <f t="shared" si="119"/>
        <v>5.226125429843337E-4</v>
      </c>
      <c r="W110" s="32" t="str">
        <f t="shared" si="106"/>
        <v>1-0.000234711808424744i</v>
      </c>
      <c r="X110" s="18">
        <f t="shared" si="120"/>
        <v>1.0000000275448162</v>
      </c>
      <c r="Y110" s="18">
        <f t="shared" si="121"/>
        <v>-2.3471180411468168E-4</v>
      </c>
      <c r="Z110" s="32" t="str">
        <f t="shared" si="107"/>
        <v>0.99999999308169+0.00012810067745222i</v>
      </c>
      <c r="AA110" s="18">
        <f t="shared" si="122"/>
        <v>1.0000000012865817</v>
      </c>
      <c r="AB110" s="18">
        <f t="shared" si="123"/>
        <v>1.2810067763775876E-4</v>
      </c>
      <c r="AC110" s="68" t="str">
        <f t="shared" si="124"/>
        <v>18.6790103272216-6.80035797938798i</v>
      </c>
      <c r="AD110" s="66">
        <f t="shared" si="125"/>
        <v>25.967623109955916</v>
      </c>
      <c r="AE110" s="63">
        <f t="shared" si="126"/>
        <v>-20.004751273677279</v>
      </c>
      <c r="AF110" s="51" t="e">
        <f t="shared" si="127"/>
        <v>#NUM!</v>
      </c>
      <c r="AG110" s="51" t="str">
        <f t="shared" si="108"/>
        <v>1-0.223976824527283i</v>
      </c>
      <c r="AH110" s="51">
        <f t="shared" si="128"/>
        <v>1.0247758866822176</v>
      </c>
      <c r="AI110" s="51">
        <f t="shared" si="129"/>
        <v>-0.22034035606784044</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-0.000133283554228113</v>
      </c>
      <c r="AT110" s="32" t="str">
        <f t="shared" si="112"/>
        <v>0.0000319316292834396i</v>
      </c>
      <c r="AU110" s="32">
        <f t="shared" si="137"/>
        <v>3.1931629283439603E-5</v>
      </c>
      <c r="AV110" s="32">
        <f t="shared" si="138"/>
        <v>1.5707963267948966</v>
      </c>
      <c r="AW110" s="32" t="str">
        <f t="shared" si="113"/>
        <v>1+0.00558300872052918i</v>
      </c>
      <c r="AX110" s="32">
        <f t="shared" si="139"/>
        <v>1.0000155848717427</v>
      </c>
      <c r="AY110" s="32">
        <f t="shared" si="140"/>
        <v>5.5829507141787636E-3</v>
      </c>
      <c r="AZ110" s="32" t="str">
        <f t="shared" si="114"/>
        <v>1+0.083200447030325i</v>
      </c>
      <c r="BA110" s="32">
        <f t="shared" si="141"/>
        <v>1.0034551880308586</v>
      </c>
      <c r="BB110" s="32">
        <f t="shared" si="142"/>
        <v>8.3009260592108544E-2</v>
      </c>
      <c r="BC110" s="60" t="str">
        <f t="shared" si="143"/>
        <v>-0.323967358781981+4.17583795002739i</v>
      </c>
      <c r="BD110" s="51">
        <f t="shared" si="144"/>
        <v>12.440934022182685</v>
      </c>
      <c r="BE110" s="63">
        <f t="shared" si="145"/>
        <v>94.436200779277456</v>
      </c>
      <c r="BF110" s="60" t="str">
        <f t="shared" si="146"/>
        <v>22.3458032837286+80.2036142067198i</v>
      </c>
      <c r="BG110" s="66">
        <f t="shared" si="147"/>
        <v>38.408557132138604</v>
      </c>
      <c r="BH110" s="63">
        <f t="shared" si="148"/>
        <v>74.431449505600156</v>
      </c>
      <c r="BI110" s="60" t="e">
        <f t="shared" si="101"/>
        <v>#NUM!</v>
      </c>
      <c r="BJ110" s="66" t="e">
        <f t="shared" si="149"/>
        <v>#NUM!</v>
      </c>
      <c r="BK110" s="63" t="e">
        <f t="shared" si="102"/>
        <v>#NUM!</v>
      </c>
      <c r="BL110" s="51">
        <f t="shared" si="150"/>
        <v>38.408557132138604</v>
      </c>
      <c r="BM110" s="63">
        <f t="shared" si="151"/>
        <v>74.431449505600156</v>
      </c>
    </row>
    <row r="111" spans="14:65" x14ac:dyDescent="0.3">
      <c r="N111" s="11">
        <v>93</v>
      </c>
      <c r="O111" s="52">
        <f t="shared" si="115"/>
        <v>85.113803820237734</v>
      </c>
      <c r="P111" s="50" t="str">
        <f t="shared" si="103"/>
        <v>21.1560044893378</v>
      </c>
      <c r="Q111" s="18" t="str">
        <f t="shared" si="104"/>
        <v>1+0.372729498085883i</v>
      </c>
      <c r="R111" s="18">
        <f t="shared" si="116"/>
        <v>1.0672053592178752</v>
      </c>
      <c r="S111" s="18">
        <f t="shared" si="117"/>
        <v>0.35677860887618862</v>
      </c>
      <c r="T111" s="18" t="str">
        <f t="shared" si="105"/>
        <v>1+0.000534785801601484i</v>
      </c>
      <c r="U111" s="18">
        <f t="shared" si="118"/>
        <v>1.0000001429979166</v>
      </c>
      <c r="V111" s="18">
        <f t="shared" si="119"/>
        <v>5.3478575061931884E-4</v>
      </c>
      <c r="W111" s="32" t="str">
        <f t="shared" si="106"/>
        <v>1-0.000240178948766584i</v>
      </c>
      <c r="X111" s="18">
        <f t="shared" si="120"/>
        <v>1.0000000288429634</v>
      </c>
      <c r="Y111" s="18">
        <f t="shared" si="121"/>
        <v>-2.4017894414826902E-4</v>
      </c>
      <c r="Z111" s="32" t="str">
        <f t="shared" si="107"/>
        <v>0.99999999275564+0.000131084525543274i</v>
      </c>
      <c r="AA111" s="18">
        <f t="shared" si="122"/>
        <v>1.0000000013472166</v>
      </c>
      <c r="AB111" s="18">
        <f t="shared" si="123"/>
        <v>1.3108452574208234E-4</v>
      </c>
      <c r="AC111" s="68" t="str">
        <f t="shared" si="124"/>
        <v>18.5765128802145-6.92055484334868i</v>
      </c>
      <c r="AD111" s="66">
        <f t="shared" si="125"/>
        <v>25.943714541230463</v>
      </c>
      <c r="AE111" s="63">
        <f t="shared" si="126"/>
        <v>-20.432539372612208</v>
      </c>
      <c r="AF111" s="51" t="e">
        <f t="shared" si="127"/>
        <v>#NUM!</v>
      </c>
      <c r="AG111" s="51" t="str">
        <f t="shared" si="108"/>
        <v>1-0.229193914972065i</v>
      </c>
      <c r="AH111" s="51">
        <f t="shared" si="128"/>
        <v>1.025928774652618</v>
      </c>
      <c r="AI111" s="51">
        <f t="shared" si="129"/>
        <v>-0.22530266775968932</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-0.000133283554228113</v>
      </c>
      <c r="AT111" s="32" t="str">
        <f t="shared" si="112"/>
        <v>0.0000326754124778506i</v>
      </c>
      <c r="AU111" s="32">
        <f t="shared" si="137"/>
        <v>3.2675412477850603E-5</v>
      </c>
      <c r="AV111" s="32">
        <f t="shared" si="138"/>
        <v>1.5707963267948966</v>
      </c>
      <c r="AW111" s="32" t="str">
        <f t="shared" si="113"/>
        <v>1+0.00571305369955986i</v>
      </c>
      <c r="AX111" s="32">
        <f t="shared" si="139"/>
        <v>1.0000163193581262</v>
      </c>
      <c r="AY111" s="32">
        <f t="shared" si="140"/>
        <v>5.7129915446903438E-3</v>
      </c>
      <c r="AZ111" s="32" t="str">
        <f t="shared" si="114"/>
        <v>1+0.0851384344007578i</v>
      </c>
      <c r="BA111" s="32">
        <f t="shared" si="141"/>
        <v>1.0036177325118425</v>
      </c>
      <c r="BB111" s="32">
        <f t="shared" si="142"/>
        <v>8.4933614303433505E-2</v>
      </c>
      <c r="BC111" s="60" t="str">
        <f t="shared" si="143"/>
        <v>-0.323966882890695+4.08086757238119i</v>
      </c>
      <c r="BD111" s="51">
        <f t="shared" si="144"/>
        <v>12.24233451070986</v>
      </c>
      <c r="BE111" s="63">
        <f t="shared" si="145"/>
        <v>94.539007334474022</v>
      </c>
      <c r="BF111" s="60" t="str">
        <f t="shared" si="146"/>
        <v>22.2236928703253+78.0503196012626i</v>
      </c>
      <c r="BG111" s="66">
        <f t="shared" si="147"/>
        <v>38.186049051940323</v>
      </c>
      <c r="BH111" s="63">
        <f t="shared" si="148"/>
        <v>74.106467961861796</v>
      </c>
      <c r="BI111" s="60" t="e">
        <f t="shared" si="101"/>
        <v>#NUM!</v>
      </c>
      <c r="BJ111" s="66" t="e">
        <f t="shared" si="149"/>
        <v>#NUM!</v>
      </c>
      <c r="BK111" s="63" t="e">
        <f t="shared" si="102"/>
        <v>#NUM!</v>
      </c>
      <c r="BL111" s="51">
        <f t="shared" si="150"/>
        <v>38.186049051940323</v>
      </c>
      <c r="BM111" s="63">
        <f t="shared" si="151"/>
        <v>74.106467961861796</v>
      </c>
    </row>
    <row r="112" spans="14:65" x14ac:dyDescent="0.3">
      <c r="N112" s="11">
        <v>94</v>
      </c>
      <c r="O112" s="52">
        <f t="shared" si="115"/>
        <v>87.096358995608071</v>
      </c>
      <c r="P112" s="50" t="str">
        <f t="shared" si="103"/>
        <v>21.1560044893378</v>
      </c>
      <c r="Q112" s="18" t="str">
        <f t="shared" si="104"/>
        <v>1+0.381411483407606i</v>
      </c>
      <c r="R112" s="18">
        <f t="shared" si="116"/>
        <v>1.0702685269011654</v>
      </c>
      <c r="S112" s="18">
        <f t="shared" si="117"/>
        <v>0.36437981443846273</v>
      </c>
      <c r="T112" s="18" t="str">
        <f t="shared" si="105"/>
        <v>1+0.000547242563150043i</v>
      </c>
      <c r="U112" s="18">
        <f t="shared" si="118"/>
        <v>1.0000001497372002</v>
      </c>
      <c r="V112" s="18">
        <f t="shared" si="119"/>
        <v>5.4724250852166919E-4</v>
      </c>
      <c r="W112" s="32" t="str">
        <f t="shared" si="106"/>
        <v>1-0.000245773435166203i</v>
      </c>
      <c r="X112" s="18">
        <f t="shared" si="120"/>
        <v>1.0000000302022902</v>
      </c>
      <c r="Y112" s="18">
        <f t="shared" si="121"/>
        <v>-2.4577343021758938E-4</v>
      </c>
      <c r="Z112" s="32" t="str">
        <f t="shared" si="107"/>
        <v>0.999999992414224+0.000134137876384879i</v>
      </c>
      <c r="AA112" s="18">
        <f t="shared" si="122"/>
        <v>1.0000000014107091</v>
      </c>
      <c r="AB112" s="18">
        <f t="shared" si="123"/>
        <v>1.3413787659790596E-4</v>
      </c>
      <c r="AC112" s="68" t="str">
        <f t="shared" si="124"/>
        <v>18.4703842226658-7.04127658520544i</v>
      </c>
      <c r="AD112" s="66">
        <f t="shared" si="125"/>
        <v>25.918819472114269</v>
      </c>
      <c r="AE112" s="63">
        <f t="shared" si="126"/>
        <v>-20.867838135445453</v>
      </c>
      <c r="AF112" s="51" t="e">
        <f t="shared" si="127"/>
        <v>#NUM!</v>
      </c>
      <c r="AG112" s="51" t="str">
        <f t="shared" si="108"/>
        <v>1-0.234532527064304i</v>
      </c>
      <c r="AH112" s="51">
        <f t="shared" si="128"/>
        <v>1.0271346096063401</v>
      </c>
      <c r="AI112" s="51">
        <f t="shared" si="129"/>
        <v>-0.23036890647833666</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-0.000133283554228113</v>
      </c>
      <c r="AT112" s="32" t="str">
        <f t="shared" si="112"/>
        <v>0.0000334365206084676i</v>
      </c>
      <c r="AU112" s="32">
        <f t="shared" si="137"/>
        <v>3.34365206084676E-5</v>
      </c>
      <c r="AV112" s="32">
        <f t="shared" si="138"/>
        <v>1.5707963267948966</v>
      </c>
      <c r="AW112" s="32" t="str">
        <f t="shared" si="113"/>
        <v>1+0.00584612781528323i</v>
      </c>
      <c r="AX112" s="32">
        <f t="shared" si="139"/>
        <v>1.0000170884592086</v>
      </c>
      <c r="AY112" s="32">
        <f t="shared" si="140"/>
        <v>5.8460612152020953E-3</v>
      </c>
      <c r="AZ112" s="32" t="str">
        <f t="shared" si="114"/>
        <v>1+0.0871215632960499i</v>
      </c>
      <c r="BA112" s="32">
        <f t="shared" si="141"/>
        <v>1.0037879092672652</v>
      </c>
      <c r="BB112" s="32">
        <f t="shared" si="142"/>
        <v>8.6902139312513463E-2</v>
      </c>
      <c r="BC112" s="60" t="str">
        <f t="shared" si="143"/>
        <v>-0.323966384572842+3.98806092448221i</v>
      </c>
      <c r="BD112" s="51">
        <f t="shared" si="144"/>
        <v>12.043800513931446</v>
      </c>
      <c r="BE112" s="63">
        <f t="shared" si="145"/>
        <v>94.644171178858741</v>
      </c>
      <c r="BF112" s="60" t="str">
        <f t="shared" si="146"/>
        <v>22.097256409641+75.9421544966726i</v>
      </c>
      <c r="BG112" s="66">
        <f t="shared" si="147"/>
        <v>37.962619986045716</v>
      </c>
      <c r="BH112" s="63">
        <f t="shared" si="148"/>
        <v>73.776333043413331</v>
      </c>
      <c r="BI112" s="60" t="e">
        <f t="shared" si="101"/>
        <v>#NUM!</v>
      </c>
      <c r="BJ112" s="66" t="e">
        <f t="shared" si="149"/>
        <v>#NUM!</v>
      </c>
      <c r="BK112" s="63" t="e">
        <f t="shared" si="102"/>
        <v>#NUM!</v>
      </c>
      <c r="BL112" s="51">
        <f t="shared" si="150"/>
        <v>37.962619986045716</v>
      </c>
      <c r="BM112" s="63">
        <f t="shared" si="151"/>
        <v>73.776333043413331</v>
      </c>
    </row>
    <row r="113" spans="14:65" x14ac:dyDescent="0.3">
      <c r="N113" s="11">
        <v>95</v>
      </c>
      <c r="O113" s="52">
        <f t="shared" si="115"/>
        <v>89.125093813374562</v>
      </c>
      <c r="P113" s="50" t="str">
        <f t="shared" si="103"/>
        <v>21.1560044893378</v>
      </c>
      <c r="Q113" s="18" t="str">
        <f t="shared" si="104"/>
        <v>1+0.390295698146411i</v>
      </c>
      <c r="R113" s="18">
        <f t="shared" si="116"/>
        <v>1.0734666888132087</v>
      </c>
      <c r="S113" s="18">
        <f t="shared" si="117"/>
        <v>0.37211270829372556</v>
      </c>
      <c r="T113" s="18" t="str">
        <f t="shared" si="105"/>
        <v>1+0.000559989479949197i</v>
      </c>
      <c r="U113" s="18">
        <f t="shared" si="118"/>
        <v>1.0000001567940966</v>
      </c>
      <c r="V113" s="18">
        <f t="shared" si="119"/>
        <v>5.5998942141384045E-4</v>
      </c>
      <c r="W113" s="32" t="str">
        <f t="shared" si="106"/>
        <v>1-0.000251498233894344i</v>
      </c>
      <c r="X113" s="18">
        <f t="shared" si="120"/>
        <v>1.0000000316256803</v>
      </c>
      <c r="Y113" s="18">
        <f t="shared" si="121"/>
        <v>-2.5149822859180896E-4</v>
      </c>
      <c r="Z113" s="32" t="str">
        <f t="shared" si="107"/>
        <v>0.999999992056718+0.000137262348904069i</v>
      </c>
      <c r="AA113" s="18">
        <f t="shared" si="122"/>
        <v>1.0000000014771944</v>
      </c>
      <c r="AB113" s="18">
        <f t="shared" si="123"/>
        <v>1.3726234913233142E-4</v>
      </c>
      <c r="AC113" s="68" t="str">
        <f t="shared" si="124"/>
        <v>18.3605464996245-7.16241979557527i</v>
      </c>
      <c r="AD113" s="66">
        <f t="shared" si="125"/>
        <v>25.89290318965153</v>
      </c>
      <c r="AE113" s="63">
        <f t="shared" si="126"/>
        <v>-21.31067699833886</v>
      </c>
      <c r="AF113" s="51" t="e">
        <f t="shared" si="127"/>
        <v>#NUM!</v>
      </c>
      <c r="AG113" s="51" t="str">
        <f t="shared" si="108"/>
        <v>1-0.239995491406799i</v>
      </c>
      <c r="AH113" s="51">
        <f t="shared" si="128"/>
        <v>1.0283957584002332</v>
      </c>
      <c r="AI113" s="51">
        <f t="shared" si="129"/>
        <v>-0.23554071767451892</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-0.000133283554228113</v>
      </c>
      <c r="AT113" s="32" t="str">
        <f t="shared" si="112"/>
        <v>0.000034215357224896i</v>
      </c>
      <c r="AU113" s="32">
        <f t="shared" si="137"/>
        <v>3.4215357224896003E-5</v>
      </c>
      <c r="AV113" s="32">
        <f t="shared" si="138"/>
        <v>1.5707963267948966</v>
      </c>
      <c r="AW113" s="32" t="str">
        <f t="shared" si="113"/>
        <v>1+0.00598230162535692i</v>
      </c>
      <c r="AX113" s="32">
        <f t="shared" si="139"/>
        <v>1.0000178938062743</v>
      </c>
      <c r="AY113" s="32">
        <f t="shared" si="140"/>
        <v>5.9822302621532182E-3</v>
      </c>
      <c r="AZ113" s="32" t="str">
        <f t="shared" si="114"/>
        <v>1+0.089150885197392i</v>
      </c>
      <c r="BA113" s="32">
        <f t="shared" si="141"/>
        <v>1.0039660752891397</v>
      </c>
      <c r="BB113" s="32">
        <f t="shared" si="142"/>
        <v>8.891581829778554E-2</v>
      </c>
      <c r="BC113" s="60" t="str">
        <f t="shared" si="143"/>
        <v>-0.323965862771634+3.89736879899896i</v>
      </c>
      <c r="BD113" s="51">
        <f t="shared" si="144"/>
        <v>11.845335072713148</v>
      </c>
      <c r="BE113" s="63">
        <f t="shared" si="145"/>
        <v>94.751744574318394</v>
      </c>
      <c r="BF113" s="60" t="str">
        <f t="shared" si="146"/>
        <v>21.966401148898+73.8782005688123i</v>
      </c>
      <c r="BG113" s="66">
        <f t="shared" si="147"/>
        <v>37.738238262364675</v>
      </c>
      <c r="BH113" s="63">
        <f t="shared" si="148"/>
        <v>73.441067575979559</v>
      </c>
      <c r="BI113" s="60" t="e">
        <f t="shared" si="101"/>
        <v>#NUM!</v>
      </c>
      <c r="BJ113" s="66" t="e">
        <f t="shared" si="149"/>
        <v>#NUM!</v>
      </c>
      <c r="BK113" s="63" t="e">
        <f t="shared" si="102"/>
        <v>#NUM!</v>
      </c>
      <c r="BL113" s="51">
        <f t="shared" si="150"/>
        <v>37.738238262364675</v>
      </c>
      <c r="BM113" s="63">
        <f t="shared" si="151"/>
        <v>73.441067575979559</v>
      </c>
    </row>
    <row r="114" spans="14:65" x14ac:dyDescent="0.3">
      <c r="N114" s="11">
        <v>96</v>
      </c>
      <c r="O114" s="52">
        <f t="shared" si="115"/>
        <v>91.201083935590972</v>
      </c>
      <c r="P114" s="50" t="str">
        <f t="shared" si="103"/>
        <v>21.1560044893378</v>
      </c>
      <c r="Q114" s="18" t="str">
        <f t="shared" si="104"/>
        <v>1+0.399386852830546i</v>
      </c>
      <c r="R114" s="18">
        <f t="shared" si="116"/>
        <v>1.076805394773767</v>
      </c>
      <c r="S114" s="18">
        <f t="shared" si="117"/>
        <v>0.37997769023523381</v>
      </c>
      <c r="T114" s="18" t="str">
        <f t="shared" si="105"/>
        <v>1+0.000573033310582957i</v>
      </c>
      <c r="U114" s="18">
        <f t="shared" si="118"/>
        <v>1.0000001641835741</v>
      </c>
      <c r="V114" s="18">
        <f t="shared" si="119"/>
        <v>5.7303324786119286E-4</v>
      </c>
      <c r="W114" s="32" t="str">
        <f t="shared" si="106"/>
        <v>1-0.000257356380315068i</v>
      </c>
      <c r="X114" s="18">
        <f t="shared" si="120"/>
        <v>1.0000000331161527</v>
      </c>
      <c r="Y114" s="18">
        <f t="shared" si="121"/>
        <v>-2.5735637463329935E-4</v>
      </c>
      <c r="Z114" s="32" t="str">
        <f t="shared" si="107"/>
        <v>0.999999991682362+0.00014045959973753i</v>
      </c>
      <c r="AA114" s="18">
        <f t="shared" si="122"/>
        <v>1.0000000015468116</v>
      </c>
      <c r="AB114" s="18">
        <f t="shared" si="123"/>
        <v>1.4045959998211765E-4</v>
      </c>
      <c r="AC114" s="68" t="str">
        <f t="shared" si="124"/>
        <v>18.2469244590111-7.28387483539508i</v>
      </c>
      <c r="AD114" s="66">
        <f t="shared" si="125"/>
        <v>25.865930256544189</v>
      </c>
      <c r="AE114" s="63">
        <f t="shared" si="126"/>
        <v>-21.761078749353448</v>
      </c>
      <c r="AF114" s="51" t="e">
        <f t="shared" si="127"/>
        <v>#NUM!</v>
      </c>
      <c r="AG114" s="51" t="str">
        <f t="shared" si="108"/>
        <v>1-0.245585704535553i</v>
      </c>
      <c r="AH114" s="51">
        <f t="shared" si="128"/>
        <v>1.0297146878005694</v>
      </c>
      <c r="AI114" s="51">
        <f t="shared" si="129"/>
        <v>-0.24081973635374218</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-0.000133283554228113</v>
      </c>
      <c r="AT114" s="32" t="str">
        <f t="shared" si="112"/>
        <v>0.0000350123352766187i</v>
      </c>
      <c r="AU114" s="32">
        <f t="shared" si="137"/>
        <v>3.50123352766187E-5</v>
      </c>
      <c r="AV114" s="32">
        <f t="shared" si="138"/>
        <v>1.5707963267948966</v>
      </c>
      <c r="AW114" s="32" t="str">
        <f t="shared" si="113"/>
        <v>1+0.0061216473309375i</v>
      </c>
      <c r="AX114" s="32">
        <f t="shared" si="139"/>
        <v>1.0000187371074825</v>
      </c>
      <c r="AY114" s="32">
        <f t="shared" si="140"/>
        <v>6.121570863964431E-3</v>
      </c>
      <c r="AZ114" s="32" t="str">
        <f t="shared" si="114"/>
        <v>1+0.0912274760781173i</v>
      </c>
      <c r="BA114" s="32">
        <f t="shared" si="141"/>
        <v>1.0041526041352398</v>
      </c>
      <c r="BB114" s="32">
        <f t="shared" si="142"/>
        <v>9.0975653580115057E-2</v>
      </c>
      <c r="BC114" s="60" t="str">
        <f t="shared" si="143"/>
        <v>-0.323965316380495+3.80874310974641i</v>
      </c>
      <c r="BD114" s="51">
        <f t="shared" si="144"/>
        <v>11.646941366775591</v>
      </c>
      <c r="BE114" s="63">
        <f t="shared" si="145"/>
        <v>94.861780814089428</v>
      </c>
      <c r="BF114" s="60" t="str">
        <f t="shared" si="146"/>
        <v>21.8310374362318+71.8575706228465i</v>
      </c>
      <c r="BG114" s="66">
        <f t="shared" si="147"/>
        <v>37.512871623319782</v>
      </c>
      <c r="BH114" s="63">
        <f t="shared" si="148"/>
        <v>73.100702064735955</v>
      </c>
      <c r="BI114" s="60" t="e">
        <f t="shared" ref="BI114:BI177" si="152">IMPRODUCT(AP114,BC114)</f>
        <v>#NUM!</v>
      </c>
      <c r="BJ114" s="66" t="e">
        <f t="shared" si="149"/>
        <v>#NUM!</v>
      </c>
      <c r="BK114" s="63" t="e">
        <f t="shared" ref="BK114:BK177" si="153">(180/PI())*IMARGUMENT(BI114)</f>
        <v>#NUM!</v>
      </c>
      <c r="BL114" s="51">
        <f t="shared" si="150"/>
        <v>37.512871623319782</v>
      </c>
      <c r="BM114" s="63">
        <f t="shared" si="151"/>
        <v>73.100702064735955</v>
      </c>
    </row>
    <row r="115" spans="14:65" x14ac:dyDescent="0.3">
      <c r="N115" s="11">
        <v>97</v>
      </c>
      <c r="O115" s="52">
        <f t="shared" si="115"/>
        <v>93.325430079699174</v>
      </c>
      <c r="P115" s="50" t="str">
        <f t="shared" si="103"/>
        <v>21.1560044893378</v>
      </c>
      <c r="Q115" s="18" t="str">
        <f t="shared" si="104"/>
        <v>1+0.408689767710564i</v>
      </c>
      <c r="R115" s="18">
        <f t="shared" si="116"/>
        <v>1.0802903897708775</v>
      </c>
      <c r="S115" s="18">
        <f t="shared" si="117"/>
        <v>0.38797503725628729</v>
      </c>
      <c r="T115" s="18" t="str">
        <f t="shared" si="105"/>
        <v>1+0.000586380971062982i</v>
      </c>
      <c r="U115" s="18">
        <f t="shared" si="118"/>
        <v>1.0000001719213067</v>
      </c>
      <c r="V115" s="18">
        <f t="shared" si="119"/>
        <v>5.8638090385540161E-4</v>
      </c>
      <c r="W115" s="32" t="str">
        <f t="shared" si="106"/>
        <v>1-0.00026335098049515i</v>
      </c>
      <c r="X115" s="18">
        <f t="shared" si="120"/>
        <v>1.0000000346768689</v>
      </c>
      <c r="Y115" s="18">
        <f t="shared" si="121"/>
        <v>-2.6335097440702521E-4</v>
      </c>
      <c r="Z115" s="32" t="str">
        <f t="shared" si="107"/>
        <v>0.999999991290364+0.000143731324109974i</v>
      </c>
      <c r="AA115" s="18">
        <f t="shared" si="122"/>
        <v>1.0000000016197108</v>
      </c>
      <c r="AB115" s="18">
        <f t="shared" si="123"/>
        <v>1.4373132437205439E-4</v>
      </c>
      <c r="AC115" s="68" t="str">
        <f t="shared" si="124"/>
        <v>18.1294458748156-7.40552578044848i</v>
      </c>
      <c r="AD115" s="66">
        <f t="shared" si="125"/>
        <v>25.837864537755642</v>
      </c>
      <c r="AE115" s="63">
        <f t="shared" si="126"/>
        <v>-22.219059137872637</v>
      </c>
      <c r="AF115" s="51" t="e">
        <f t="shared" si="127"/>
        <v>#NUM!</v>
      </c>
      <c r="AG115" s="51" t="str">
        <f t="shared" si="108"/>
        <v>1-0.251306130455564i</v>
      </c>
      <c r="AH115" s="51">
        <f t="shared" si="128"/>
        <v>1.0310939681738756</v>
      </c>
      <c r="AI115" s="51">
        <f t="shared" si="129"/>
        <v>-0.24620758408240828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-0.000133283554228113</v>
      </c>
      <c r="AT115" s="32" t="str">
        <f t="shared" si="112"/>
        <v>0.0000358278773319482i</v>
      </c>
      <c r="AU115" s="32">
        <f t="shared" si="137"/>
        <v>3.5827877331948201E-5</v>
      </c>
      <c r="AV115" s="32">
        <f t="shared" si="138"/>
        <v>1.5707963267948966</v>
      </c>
      <c r="AW115" s="32" t="str">
        <f t="shared" si="113"/>
        <v>1+0.00626423881496254i</v>
      </c>
      <c r="AX115" s="32">
        <f t="shared" si="139"/>
        <v>1.0000196201514902</v>
      </c>
      <c r="AY115" s="32">
        <f t="shared" si="140"/>
        <v>6.2641568792115064E-3</v>
      </c>
      <c r="AZ115" s="32" t="str">
        <f t="shared" si="114"/>
        <v>1+0.0933524369741977i</v>
      </c>
      <c r="BA115" s="32">
        <f t="shared" si="141"/>
        <v>1.0043478866851971</v>
      </c>
      <c r="BB115" s="32">
        <f t="shared" si="142"/>
        <v>9.3082667354997067E-2</v>
      </c>
      <c r="BC115" s="60" t="str">
        <f t="shared" si="143"/>
        <v>-0.323964744240711+3.72213686618998i</v>
      </c>
      <c r="BD115" s="51">
        <f t="shared" si="144"/>
        <v>11.448622720816253</v>
      </c>
      <c r="BE115" s="63">
        <f t="shared" si="145"/>
        <v>94.974334233874842</v>
      </c>
      <c r="BF115" s="60" t="str">
        <f t="shared" si="146"/>
        <v>21.6910792248672+69.879408119678i</v>
      </c>
      <c r="BG115" s="66">
        <f t="shared" si="147"/>
        <v>37.286487258571896</v>
      </c>
      <c r="BH115" s="63">
        <f t="shared" si="148"/>
        <v>72.755275096002194</v>
      </c>
      <c r="BI115" s="60" t="e">
        <f t="shared" si="152"/>
        <v>#NUM!</v>
      </c>
      <c r="BJ115" s="66" t="e">
        <f t="shared" si="149"/>
        <v>#NUM!</v>
      </c>
      <c r="BK115" s="63" t="e">
        <f t="shared" si="153"/>
        <v>#NUM!</v>
      </c>
      <c r="BL115" s="51">
        <f t="shared" si="150"/>
        <v>37.286487258571896</v>
      </c>
      <c r="BM115" s="63">
        <f t="shared" si="151"/>
        <v>72.755275096002194</v>
      </c>
    </row>
    <row r="116" spans="14:65" x14ac:dyDescent="0.3">
      <c r="N116" s="11">
        <v>98</v>
      </c>
      <c r="O116" s="52">
        <f t="shared" si="115"/>
        <v>95.499258602143655</v>
      </c>
      <c r="P116" s="50" t="str">
        <f t="shared" si="103"/>
        <v>21.1560044893378</v>
      </c>
      <c r="Q116" s="18" t="str">
        <f t="shared" si="104"/>
        <v>1+0.418209375315069i</v>
      </c>
      <c r="R116" s="18">
        <f t="shared" si="116"/>
        <v>1.0839276182482944</v>
      </c>
      <c r="S116" s="18">
        <f t="shared" si="117"/>
        <v>0.39610489668823212</v>
      </c>
      <c r="T116" s="18" t="str">
        <f t="shared" si="105"/>
        <v>1+0.000600039538495533i</v>
      </c>
      <c r="U116" s="18">
        <f t="shared" si="118"/>
        <v>1.0000001800237077</v>
      </c>
      <c r="V116" s="18">
        <f t="shared" si="119"/>
        <v>6.0003946648131377E-4</v>
      </c>
      <c r="W116" s="32" t="str">
        <f t="shared" si="106"/>
        <v>1-0.000269485212850952i</v>
      </c>
      <c r="X116" s="18">
        <f t="shared" si="120"/>
        <v>1.0000000363111394</v>
      </c>
      <c r="Y116" s="18">
        <f t="shared" si="121"/>
        <v>-2.6948520632740874E-4</v>
      </c>
      <c r="Z116" s="32" t="str">
        <f t="shared" si="107"/>
        <v>0.999999990879892+0.00014707925673297i</v>
      </c>
      <c r="AA116" s="18">
        <f t="shared" si="122"/>
        <v>1.000000001696046</v>
      </c>
      <c r="AB116" s="18">
        <f t="shared" si="123"/>
        <v>1.4707925701379414E-4</v>
      </c>
      <c r="AC116" s="68" t="str">
        <f t="shared" si="124"/>
        <v>18.0080419897177-7.52725039236589i</v>
      </c>
      <c r="AD116" s="66">
        <f t="shared" si="125"/>
        <v>25.80866923120864</v>
      </c>
      <c r="AE116" s="63">
        <f t="shared" si="126"/>
        <v>-22.684626481375112</v>
      </c>
      <c r="AF116" s="51" t="e">
        <f t="shared" si="127"/>
        <v>#NUM!</v>
      </c>
      <c r="AG116" s="51" t="str">
        <f t="shared" si="108"/>
        <v>1-0.257159802212372i</v>
      </c>
      <c r="AH116" s="51">
        <f t="shared" si="128"/>
        <v>1.0325362772677318</v>
      </c>
      <c r="AI116" s="51">
        <f t="shared" si="129"/>
        <v>-0.25170586580513649</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-0.000133283554228113</v>
      </c>
      <c r="AT116" s="32" t="str">
        <f t="shared" si="112"/>
        <v>0.0000366624158020771i</v>
      </c>
      <c r="AU116" s="32">
        <f t="shared" si="137"/>
        <v>3.6662415802077098E-5</v>
      </c>
      <c r="AV116" s="32">
        <f t="shared" si="138"/>
        <v>1.5707963267948966</v>
      </c>
      <c r="AW116" s="32" t="str">
        <f t="shared" si="113"/>
        <v>1+0.00641015168132426i</v>
      </c>
      <c r="AX116" s="32">
        <f t="shared" si="139"/>
        <v>1.000020544811244</v>
      </c>
      <c r="AY116" s="32">
        <f t="shared" si="140"/>
        <v>6.4100638856826545E-3</v>
      </c>
      <c r="AZ116" s="32" t="str">
        <f t="shared" si="114"/>
        <v>1+0.0955268945680273i</v>
      </c>
      <c r="BA116" s="32">
        <f t="shared" si="141"/>
        <v>1.0045523319299055</v>
      </c>
      <c r="BB116" s="32">
        <f t="shared" si="142"/>
        <v>9.5237901914875439E-2</v>
      </c>
      <c r="BC116" s="60" t="str">
        <f t="shared" si="143"/>
        <v>-0.323964145138974+3.63750414853042i</v>
      </c>
      <c r="BD116" s="51">
        <f t="shared" si="144"/>
        <v>11.250382610880209</v>
      </c>
      <c r="BE116" s="63">
        <f t="shared" si="145"/>
        <v>95.089460222344414</v>
      </c>
      <c r="BF116" s="60" t="str">
        <f t="shared" si="146"/>
        <v>21.5464446004325+67.942886683118i</v>
      </c>
      <c r="BG116" s="66">
        <f t="shared" si="147"/>
        <v>37.059051842088856</v>
      </c>
      <c r="BH116" s="63">
        <f t="shared" si="148"/>
        <v>72.404833740969337</v>
      </c>
      <c r="BI116" s="60" t="e">
        <f t="shared" si="152"/>
        <v>#NUM!</v>
      </c>
      <c r="BJ116" s="66" t="e">
        <f t="shared" si="149"/>
        <v>#NUM!</v>
      </c>
      <c r="BK116" s="63" t="e">
        <f t="shared" si="153"/>
        <v>#NUM!</v>
      </c>
      <c r="BL116" s="51">
        <f t="shared" si="150"/>
        <v>37.059051842088856</v>
      </c>
      <c r="BM116" s="63">
        <f t="shared" si="151"/>
        <v>72.404833740969337</v>
      </c>
    </row>
    <row r="117" spans="14:65" x14ac:dyDescent="0.3">
      <c r="N117" s="11">
        <v>99</v>
      </c>
      <c r="O117" s="52">
        <f t="shared" si="115"/>
        <v>97.723722095581124</v>
      </c>
      <c r="P117" s="50" t="str">
        <f t="shared" si="103"/>
        <v>21.1560044893378</v>
      </c>
      <c r="Q117" s="18" t="str">
        <f t="shared" si="104"/>
        <v>1+0.427950723066021i</v>
      </c>
      <c r="R117" s="18">
        <f t="shared" si="116"/>
        <v>1.0877232282951075</v>
      </c>
      <c r="S117" s="18">
        <f t="shared" si="117"/>
        <v>0.40436727932254163</v>
      </c>
      <c r="T117" s="18" t="str">
        <f t="shared" si="105"/>
        <v>1+0.000614016254833856i</v>
      </c>
      <c r="U117" s="18">
        <f t="shared" si="118"/>
        <v>1.0000001885079628</v>
      </c>
      <c r="V117" s="18">
        <f t="shared" si="119"/>
        <v>6.1401617766923056E-4</v>
      </c>
      <c r="W117" s="32" t="str">
        <f t="shared" si="106"/>
        <v>1-0.000275762329833667i</v>
      </c>
      <c r="X117" s="18">
        <f t="shared" si="120"/>
        <v>1.0000000380224305</v>
      </c>
      <c r="Y117" s="18">
        <f t="shared" si="121"/>
        <v>-2.7576232284356447E-4</v>
      </c>
      <c r="Z117" s="32" t="str">
        <f t="shared" si="107"/>
        <v>0.999999990450074+0.00015050517272471i</v>
      </c>
      <c r="AA117" s="18">
        <f t="shared" si="122"/>
        <v>1.0000000017759778</v>
      </c>
      <c r="AB117" s="18">
        <f t="shared" si="123"/>
        <v>1.5050517302561854E-4</v>
      </c>
      <c r="AC117" s="68" t="str">
        <f t="shared" si="124"/>
        <v>17.8826479758661-7.64892011878258i</v>
      </c>
      <c r="AD117" s="66">
        <f t="shared" si="125"/>
        <v>25.778306902757219</v>
      </c>
      <c r="AE117" s="63">
        <f t="shared" si="126"/>
        <v>-23.157781271292997</v>
      </c>
      <c r="AF117" s="51" t="e">
        <f t="shared" si="127"/>
        <v>#NUM!</v>
      </c>
      <c r="AG117" s="51" t="str">
        <f t="shared" si="108"/>
        <v>1-0.263149823500224i</v>
      </c>
      <c r="AH117" s="51">
        <f t="shared" si="128"/>
        <v>1.0340444040795342</v>
      </c>
      <c r="AI117" s="51">
        <f t="shared" si="129"/>
        <v>-0.25731616646796163</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-0.000133283554228113</v>
      </c>
      <c r="AT117" s="32" t="str">
        <f t="shared" si="112"/>
        <v>0.0000375163931703486i</v>
      </c>
      <c r="AU117" s="32">
        <f t="shared" si="137"/>
        <v>3.7516393170348598E-5</v>
      </c>
      <c r="AV117" s="32">
        <f t="shared" si="138"/>
        <v>1.5707963267948966</v>
      </c>
      <c r="AW117" s="32" t="str">
        <f t="shared" si="113"/>
        <v>1+0.0065594632949558i</v>
      </c>
      <c r="AX117" s="32">
        <f t="shared" si="139"/>
        <v>1.0000215130479533</v>
      </c>
      <c r="AY117" s="32">
        <f t="shared" si="140"/>
        <v>6.5593692203402059E-3</v>
      </c>
      <c r="AZ117" s="32" t="str">
        <f t="shared" si="114"/>
        <v>1+0.0977520017858046i</v>
      </c>
      <c r="BA117" s="32">
        <f t="shared" si="141"/>
        <v>1.0047663677955845</v>
      </c>
      <c r="BB117" s="32">
        <f t="shared" si="142"/>
        <v>9.7442419860354845E-2</v>
      </c>
      <c r="BC117" s="60" t="str">
        <f t="shared" si="143"/>
        <v>-0.323963517804818+3.55480008335642i</v>
      </c>
      <c r="BD117" s="51">
        <f t="shared" si="144"/>
        <v>11.052224670987986</v>
      </c>
      <c r="BE117" s="63">
        <f t="shared" si="145"/>
        <v>95.207215230946559</v>
      </c>
      <c r="BF117" s="60" t="str">
        <f t="shared" si="146"/>
        <v>21.3970563299081+66.0472095843312i</v>
      </c>
      <c r="BG117" s="66">
        <f t="shared" si="147"/>
        <v>36.830531573745205</v>
      </c>
      <c r="BH117" s="63">
        <f t="shared" si="148"/>
        <v>72.049433959653598</v>
      </c>
      <c r="BI117" s="60" t="e">
        <f t="shared" si="152"/>
        <v>#NUM!</v>
      </c>
      <c r="BJ117" s="66" t="e">
        <f t="shared" si="149"/>
        <v>#NUM!</v>
      </c>
      <c r="BK117" s="63" t="e">
        <f t="shared" si="153"/>
        <v>#NUM!</v>
      </c>
      <c r="BL117" s="51">
        <f t="shared" si="150"/>
        <v>36.830531573745205</v>
      </c>
      <c r="BM117" s="63">
        <f t="shared" si="151"/>
        <v>72.049433959653598</v>
      </c>
    </row>
    <row r="118" spans="14:65" x14ac:dyDescent="0.3">
      <c r="N118" s="11">
        <v>100</v>
      </c>
      <c r="O118" s="52">
        <f t="shared" si="115"/>
        <v>100</v>
      </c>
      <c r="P118" s="50" t="str">
        <f t="shared" si="103"/>
        <v>21.1560044893378</v>
      </c>
      <c r="Q118" s="18" t="str">
        <f t="shared" si="104"/>
        <v>1+0.437918975954942i</v>
      </c>
      <c r="R118" s="18">
        <f t="shared" si="116"/>
        <v>1.0916835757221159</v>
      </c>
      <c r="S118" s="18">
        <f t="shared" si="117"/>
        <v>0.41276205255015175</v>
      </c>
      <c r="T118" s="18" t="str">
        <f t="shared" si="105"/>
        <v>1+0.000628318530717959i</v>
      </c>
      <c r="U118" s="18">
        <f t="shared" si="118"/>
        <v>1.0000001973920685</v>
      </c>
      <c r="V118" s="18">
        <f t="shared" si="119"/>
        <v>6.2831844803457417E-4</v>
      </c>
      <c r="W118" s="32" t="str">
        <f t="shared" si="106"/>
        <v>1-0.000282185659653805i</v>
      </c>
      <c r="X118" s="18">
        <f t="shared" si="120"/>
        <v>1.0000000398143725</v>
      </c>
      <c r="Y118" s="18">
        <f t="shared" si="121"/>
        <v>-2.8218565216377525E-4</v>
      </c>
      <c r="Z118" s="32" t="str">
        <f t="shared" si="107"/>
        <v>0.99999999+0.000154010888551201i</v>
      </c>
      <c r="AA118" s="18">
        <f t="shared" si="122"/>
        <v>1.0000000018596769</v>
      </c>
      <c r="AB118" s="18">
        <f t="shared" si="123"/>
        <v>1.5401088887363032E-4</v>
      </c>
      <c r="AC118" s="68" t="str">
        <f t="shared" si="124"/>
        <v>17.7532034122392-7.77040012534906i</v>
      </c>
      <c r="AD118" s="66">
        <f t="shared" si="125"/>
        <v>25.746739525595508</v>
      </c>
      <c r="AE118" s="63">
        <f t="shared" si="126"/>
        <v>-23.638515779857826</v>
      </c>
      <c r="AF118" s="51" t="e">
        <f t="shared" si="127"/>
        <v>#NUM!</v>
      </c>
      <c r="AG118" s="51" t="str">
        <f t="shared" si="108"/>
        <v>1-0.269279370307697i</v>
      </c>
      <c r="AH118" s="51">
        <f t="shared" si="128"/>
        <v>1.0356212528107511</v>
      </c>
      <c r="AI118" s="51">
        <f t="shared" si="129"/>
        <v>-0.26304004744249859</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-0.000133283554228113</v>
      </c>
      <c r="AT118" s="32" t="str">
        <f t="shared" si="112"/>
        <v>0.0000383902622268673i</v>
      </c>
      <c r="AU118" s="32">
        <f t="shared" si="137"/>
        <v>3.8390262226867299E-5</v>
      </c>
      <c r="AV118" s="32">
        <f t="shared" si="138"/>
        <v>1.5707963267948966</v>
      </c>
      <c r="AW118" s="32" t="str">
        <f t="shared" si="113"/>
        <v>1+0.0067122528228511i</v>
      </c>
      <c r="AX118" s="32">
        <f t="shared" si="139"/>
        <v>1.0000225269152478</v>
      </c>
      <c r="AY118" s="32">
        <f t="shared" si="140"/>
        <v>6.7121520202069974E-3</v>
      </c>
      <c r="AZ118" s="32" t="str">
        <f t="shared" si="114"/>
        <v>1+0.10002893840883i</v>
      </c>
      <c r="BA118" s="32">
        <f t="shared" si="141"/>
        <v>1.0049904420039015</v>
      </c>
      <c r="BB118" s="32">
        <f t="shared" si="142"/>
        <v>9.9697304298992026E-2</v>
      </c>
      <c r="BC118" s="60" t="str">
        <f t="shared" si="143"/>
        <v>-0.323962860907919+3.473980819852i</v>
      </c>
      <c r="BD118" s="51">
        <f t="shared" si="144"/>
        <v>10.854152700028459</v>
      </c>
      <c r="BE118" s="63">
        <f t="shared" si="145"/>
        <v>95.327656782955629</v>
      </c>
      <c r="BF118" s="60" t="str">
        <f t="shared" si="146"/>
        <v>21.242842430329+64.1916092000574i</v>
      </c>
      <c r="BG118" s="66">
        <f t="shared" si="147"/>
        <v>36.600892225623973</v>
      </c>
      <c r="BH118" s="63">
        <f t="shared" si="148"/>
        <v>71.689141003097774</v>
      </c>
      <c r="BI118" s="60" t="e">
        <f t="shared" si="152"/>
        <v>#NUM!</v>
      </c>
      <c r="BJ118" s="66" t="e">
        <f t="shared" si="149"/>
        <v>#NUM!</v>
      </c>
      <c r="BK118" s="63" t="e">
        <f t="shared" si="153"/>
        <v>#NUM!</v>
      </c>
      <c r="BL118" s="51">
        <f t="shared" si="150"/>
        <v>36.600892225623973</v>
      </c>
      <c r="BM118" s="63">
        <f t="shared" si="151"/>
        <v>71.689141003097774</v>
      </c>
    </row>
    <row r="119" spans="14:65" x14ac:dyDescent="0.3">
      <c r="N119" s="11">
        <v>1</v>
      </c>
      <c r="O119" s="52">
        <f>10^(2+(N119/100))</f>
        <v>102.32929922807544</v>
      </c>
      <c r="P119" s="50" t="str">
        <f t="shared" si="103"/>
        <v>21.1560044893378</v>
      </c>
      <c r="Q119" s="18" t="str">
        <f t="shared" si="104"/>
        <v>1+0.448119419281456i</v>
      </c>
      <c r="R119" s="18">
        <f t="shared" si="116"/>
        <v>1.0958152280093343</v>
      </c>
      <c r="S119" s="18">
        <f t="shared" si="117"/>
        <v>0.42128893355420705</v>
      </c>
      <c r="T119" s="18" t="str">
        <f t="shared" si="105"/>
        <v>1+0.000642953949403827i</v>
      </c>
      <c r="U119" s="18">
        <f t="shared" si="118"/>
        <v>1.0000002066948692</v>
      </c>
      <c r="V119" s="18">
        <f t="shared" si="119"/>
        <v>6.4295386080698486E-4</v>
      </c>
      <c r="W119" s="32" t="str">
        <f t="shared" si="106"/>
        <v>1-0.000288758608045861i</v>
      </c>
      <c r="X119" s="18">
        <f t="shared" si="120"/>
        <v>1.000000041690766</v>
      </c>
      <c r="Y119" s="18">
        <f t="shared" si="121"/>
        <v>-2.8875860002014958E-4</v>
      </c>
      <c r="Z119" s="32" t="str">
        <f t="shared" si="107"/>
        <v>0.999999989528714+0.000157598262989376i</v>
      </c>
      <c r="AA119" s="18">
        <f t="shared" si="122"/>
        <v>1.0000000019473203</v>
      </c>
      <c r="AB119" s="18">
        <f t="shared" si="123"/>
        <v>1.5759826333486528E-4</v>
      </c>
      <c r="AC119" s="68" t="str">
        <f t="shared" si="124"/>
        <v>17.6196527766915-7.891549362273i</v>
      </c>
      <c r="AD119" s="66">
        <f t="shared" si="125"/>
        <v>25.713928524253511</v>
      </c>
      <c r="AE119" s="63">
        <f t="shared" si="126"/>
        <v>-24.12681367000447</v>
      </c>
      <c r="AF119" s="51" t="e">
        <f t="shared" si="127"/>
        <v>#NUM!</v>
      </c>
      <c r="AG119" s="51" t="str">
        <f t="shared" si="108"/>
        <v>1-0.275551692601641i</v>
      </c>
      <c r="AH119" s="51">
        <f t="shared" si="128"/>
        <v>1.0372698469037021</v>
      </c>
      <c r="AI119" s="51">
        <f t="shared" si="129"/>
        <v>-0.26887904274670188</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-0.000133283554228113</v>
      </c>
      <c r="AT119" s="32" t="str">
        <f t="shared" si="112"/>
        <v>0.0000392844863085738i</v>
      </c>
      <c r="AU119" s="32">
        <f t="shared" si="137"/>
        <v>3.9284486308573799E-5</v>
      </c>
      <c r="AV119" s="32">
        <f t="shared" si="138"/>
        <v>1.5707963267948966</v>
      </c>
      <c r="AW119" s="32" t="str">
        <f t="shared" si="113"/>
        <v>1+0.00686860127604024i</v>
      </c>
      <c r="AX119" s="32">
        <f t="shared" si="139"/>
        <v>1.0000235885635345</v>
      </c>
      <c r="AY119" s="32">
        <f t="shared" si="140"/>
        <v>6.868493264198668E-3</v>
      </c>
      <c r="AZ119" s="32" t="str">
        <f t="shared" si="114"/>
        <v>1+0.102358911699039i</v>
      </c>
      <c r="BA119" s="32">
        <f t="shared" si="141"/>
        <v>1.0052250229695894</v>
      </c>
      <c r="BB119" s="32">
        <f t="shared" si="142"/>
        <v>0.10200365903025452</v>
      </c>
      <c r="BC119" s="60" t="str">
        <f t="shared" si="143"/>
        <v>-0.323962173055279+3.39500350654614i</v>
      </c>
      <c r="BD119" s="51">
        <f t="shared" si="144"/>
        <v>10.656170668925192</v>
      </c>
      <c r="BE119" s="63">
        <f t="shared" si="145"/>
        <v>95.450843481672464</v>
      </c>
      <c r="BF119" s="60" t="str">
        <f t="shared" si="146"/>
        <v>21.0837367549823+62.375346441168i</v>
      </c>
      <c r="BG119" s="66">
        <f t="shared" si="147"/>
        <v>36.370099193178696</v>
      </c>
      <c r="BH119" s="63">
        <f t="shared" si="148"/>
        <v>71.324029811668012</v>
      </c>
      <c r="BI119" s="60" t="e">
        <f t="shared" si="152"/>
        <v>#NUM!</v>
      </c>
      <c r="BJ119" s="66" t="e">
        <f t="shared" si="149"/>
        <v>#NUM!</v>
      </c>
      <c r="BK119" s="63" t="e">
        <f t="shared" si="153"/>
        <v>#NUM!</v>
      </c>
      <c r="BL119" s="51">
        <f t="shared" si="150"/>
        <v>36.370099193178696</v>
      </c>
      <c r="BM119" s="63">
        <f t="shared" si="151"/>
        <v>71.324029811668012</v>
      </c>
    </row>
    <row r="120" spans="14:65" x14ac:dyDescent="0.3">
      <c r="N120" s="11">
        <v>2</v>
      </c>
      <c r="O120" s="52">
        <f t="shared" ref="O120:O183" si="154">10^(2+(N120/100))</f>
        <v>104.71285480508998</v>
      </c>
      <c r="P120" s="50" t="str">
        <f t="shared" si="103"/>
        <v>21.1560044893378</v>
      </c>
      <c r="Q120" s="18" t="str">
        <f t="shared" si="104"/>
        <v>1+0.458557461455635i</v>
      </c>
      <c r="R120" s="18">
        <f t="shared" si="116"/>
        <v>1.1001249681089127</v>
      </c>
      <c r="S120" s="18">
        <f t="shared" si="117"/>
        <v>0.42994748259526994</v>
      </c>
      <c r="T120" s="18" t="str">
        <f t="shared" si="105"/>
        <v>1+0.000657930270784171i</v>
      </c>
      <c r="U120" s="18">
        <f t="shared" si="118"/>
        <v>1.0000002164360973</v>
      </c>
      <c r="V120" s="18">
        <f t="shared" si="119"/>
        <v>6.5793017585094528E-4</v>
      </c>
      <c r="W120" s="32" t="str">
        <f t="shared" si="106"/>
        <v>1-0.000295484660074074i</v>
      </c>
      <c r="X120" s="18">
        <f t="shared" si="120"/>
        <v>1.0000000436555911</v>
      </c>
      <c r="Y120" s="18">
        <f t="shared" si="121"/>
        <v>-2.9548465147436923E-4</v>
      </c>
      <c r="Z120" s="32" t="str">
        <f t="shared" si="107"/>
        <v>0.999999989035218+0.000161269198112648i</v>
      </c>
      <c r="AA120" s="18">
        <f t="shared" si="122"/>
        <v>1.0000000020390951</v>
      </c>
      <c r="AB120" s="18">
        <f t="shared" si="123"/>
        <v>1.6126919848284636E-4</v>
      </c>
      <c r="AC120" s="68" t="str">
        <f t="shared" si="124"/>
        <v>17.4819459504403-8.01222066801516i</v>
      </c>
      <c r="AD120" s="66">
        <f t="shared" si="125"/>
        <v>25.679834823305924</v>
      </c>
      <c r="AE120" s="63">
        <f t="shared" si="126"/>
        <v>-24.622649610571678</v>
      </c>
      <c r="AF120" s="51" t="e">
        <f t="shared" si="127"/>
        <v>#NUM!</v>
      </c>
      <c r="AG120" s="51" t="str">
        <f t="shared" si="108"/>
        <v>1-0.281970116050359i</v>
      </c>
      <c r="AH120" s="51">
        <f t="shared" si="128"/>
        <v>1.0389933331573658</v>
      </c>
      <c r="AI120" s="51">
        <f t="shared" si="129"/>
        <v>-0.27483465505851745</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-0.000133283554228113</v>
      </c>
      <c r="AT120" s="32" t="str">
        <f t="shared" si="112"/>
        <v>0.0000401995395449128i</v>
      </c>
      <c r="AU120" s="32">
        <f t="shared" si="137"/>
        <v>4.0199539544912802E-5</v>
      </c>
      <c r="AV120" s="32">
        <f t="shared" si="138"/>
        <v>1.5707963267948966</v>
      </c>
      <c r="AW120" s="32" t="str">
        <f t="shared" si="113"/>
        <v>1+0.00702859155254262i</v>
      </c>
      <c r="AX120" s="32">
        <f t="shared" si="139"/>
        <v>1.0000247002445553</v>
      </c>
      <c r="AY120" s="32">
        <f t="shared" si="140"/>
        <v>7.0284758159235737E-3</v>
      </c>
      <c r="AZ120" s="32" t="str">
        <f t="shared" si="114"/>
        <v>1+0.104743157039111i</v>
      </c>
      <c r="BA120" s="32">
        <f t="shared" si="141"/>
        <v>1.005470600737048</v>
      </c>
      <c r="BB120" s="32">
        <f t="shared" si="142"/>
        <v>0.10436260871514934</v>
      </c>
      <c r="BC120" s="60" t="str">
        <f t="shared" si="143"/>
        <v>-0.32396145278827+3.31782626859221i</v>
      </c>
      <c r="BD120" s="51">
        <f t="shared" si="144"/>
        <v>10.458282728084068</v>
      </c>
      <c r="BE120" s="63">
        <f t="shared" si="145"/>
        <v>95.576835017691053</v>
      </c>
      <c r="BF120" s="60" t="str">
        <f t="shared" si="146"/>
        <v>20.9196795944275+60.5977101481504i</v>
      </c>
      <c r="BG120" s="66">
        <f t="shared" si="147"/>
        <v>36.138117551389989</v>
      </c>
      <c r="BH120" s="63">
        <f t="shared" si="148"/>
        <v>70.954185407119368</v>
      </c>
      <c r="BI120" s="60" t="e">
        <f t="shared" si="152"/>
        <v>#NUM!</v>
      </c>
      <c r="BJ120" s="66" t="e">
        <f t="shared" si="149"/>
        <v>#NUM!</v>
      </c>
      <c r="BK120" s="63" t="e">
        <f t="shared" si="153"/>
        <v>#NUM!</v>
      </c>
      <c r="BL120" s="51">
        <f t="shared" si="150"/>
        <v>36.138117551389989</v>
      </c>
      <c r="BM120" s="63">
        <f t="shared" si="151"/>
        <v>70.954185407119368</v>
      </c>
    </row>
    <row r="121" spans="14:65" x14ac:dyDescent="0.3">
      <c r="N121" s="11">
        <v>3</v>
      </c>
      <c r="O121" s="52">
        <f t="shared" si="154"/>
        <v>107.15193052376065</v>
      </c>
      <c r="P121" s="50" t="str">
        <f t="shared" si="103"/>
        <v>21.1560044893378</v>
      </c>
      <c r="Q121" s="18" t="str">
        <f t="shared" si="104"/>
        <v>1+0.469238636865603i</v>
      </c>
      <c r="R121" s="18">
        <f t="shared" si="116"/>
        <v>1.1046197980877805</v>
      </c>
      <c r="S121" s="18">
        <f t="shared" si="117"/>
        <v>0.43873709643080866</v>
      </c>
      <c r="T121" s="18" t="str">
        <f t="shared" si="105"/>
        <v>1+0.000673255435502821i</v>
      </c>
      <c r="U121" s="18">
        <f t="shared" si="118"/>
        <v>1.000000226636415</v>
      </c>
      <c r="V121" s="18">
        <f t="shared" si="119"/>
        <v>6.7325533378003821E-4</v>
      </c>
      <c r="W121" s="32" t="str">
        <f t="shared" si="106"/>
        <v>1-0.000302367381980261i</v>
      </c>
      <c r="X121" s="18">
        <f t="shared" si="120"/>
        <v>1.0000000457130158</v>
      </c>
      <c r="Y121" s="18">
        <f t="shared" si="121"/>
        <v>-3.0236737276551138E-4</v>
      </c>
      <c r="Z121" s="32" t="str">
        <f t="shared" si="107"/>
        <v>0.999999988518464+0.000165025640299409i</v>
      </c>
      <c r="AA121" s="18">
        <f t="shared" si="122"/>
        <v>1.0000000021351951</v>
      </c>
      <c r="AB121" s="18">
        <f t="shared" si="123"/>
        <v>1.6502564069608366E-4</v>
      </c>
      <c r="AC121" s="68" t="str">
        <f t="shared" si="124"/>
        <v>17.3400387324057-8.13226091267187i</v>
      </c>
      <c r="AD121" s="66">
        <f t="shared" si="125"/>
        <v>25.644418900902419</v>
      </c>
      <c r="AE121" s="63">
        <f t="shared" si="126"/>
        <v>-25.125988899194489</v>
      </c>
      <c r="AF121" s="51" t="e">
        <f t="shared" si="127"/>
        <v>#NUM!</v>
      </c>
      <c r="AG121" s="51" t="str">
        <f t="shared" si="108"/>
        <v>1-0.288538043786924i</v>
      </c>
      <c r="AH121" s="51">
        <f t="shared" si="128"/>
        <v>1.0407949859181609</v>
      </c>
      <c r="AI121" s="51">
        <f t="shared" si="129"/>
        <v>-0.28090835151942689</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-0.000133283554228113</v>
      </c>
      <c r="AT121" s="32" t="str">
        <f t="shared" si="112"/>
        <v>0.0000411359071092224i</v>
      </c>
      <c r="AU121" s="32">
        <f t="shared" si="137"/>
        <v>4.1135907109222398E-5</v>
      </c>
      <c r="AV121" s="32">
        <f t="shared" si="138"/>
        <v>1.5707963267948966</v>
      </c>
      <c r="AW121" s="32" t="str">
        <f t="shared" si="113"/>
        <v>1+0.00719230848132057i</v>
      </c>
      <c r="AX121" s="32">
        <f t="shared" si="139"/>
        <v>1.0000258643161639</v>
      </c>
      <c r="AY121" s="32">
        <f t="shared" si="140"/>
        <v>7.1921844674721685E-3</v>
      </c>
      <c r="AZ121" s="32" t="str">
        <f t="shared" si="114"/>
        <v>1+0.107182938587485i</v>
      </c>
      <c r="BA121" s="32">
        <f t="shared" si="141"/>
        <v>1.0057276879574553</v>
      </c>
      <c r="BB121" s="32">
        <f t="shared" si="142"/>
        <v>0.10677529902890369</v>
      </c>
      <c r="BC121" s="60" t="str">
        <f t="shared" si="143"/>
        <v>-0.323960698579558+3.24240818556523i</v>
      </c>
      <c r="BD121" s="51">
        <f t="shared" si="144"/>
        <v>10.26049321513057</v>
      </c>
      <c r="BE121" s="63">
        <f t="shared" si="145"/>
        <v>95.705692175137798</v>
      </c>
      <c r="BF121" s="60" t="str">
        <f t="shared" si="146"/>
        <v>20.7506182892527+58.8580164502708i</v>
      </c>
      <c r="BG121" s="66">
        <f t="shared" si="147"/>
        <v>35.904912116032989</v>
      </c>
      <c r="BH121" s="63">
        <f t="shared" si="148"/>
        <v>70.579703275943302</v>
      </c>
      <c r="BI121" s="60" t="e">
        <f t="shared" si="152"/>
        <v>#NUM!</v>
      </c>
      <c r="BJ121" s="66" t="e">
        <f t="shared" si="149"/>
        <v>#NUM!</v>
      </c>
      <c r="BK121" s="63" t="e">
        <f t="shared" si="153"/>
        <v>#NUM!</v>
      </c>
      <c r="BL121" s="51">
        <f t="shared" si="150"/>
        <v>35.904912116032989</v>
      </c>
      <c r="BM121" s="63">
        <f t="shared" si="151"/>
        <v>70.579703275943302</v>
      </c>
    </row>
    <row r="122" spans="14:65" x14ac:dyDescent="0.3">
      <c r="N122" s="11">
        <v>4</v>
      </c>
      <c r="O122" s="52">
        <f t="shared" si="154"/>
        <v>109.64781961431861</v>
      </c>
      <c r="P122" s="50" t="str">
        <f t="shared" si="103"/>
        <v>21.1560044893378</v>
      </c>
      <c r="Q122" s="18" t="str">
        <f t="shared" si="104"/>
        <v>1+0.480168608811945i</v>
      </c>
      <c r="R122" s="18">
        <f t="shared" si="116"/>
        <v>1.1093069425945186</v>
      </c>
      <c r="S122" s="18">
        <f t="shared" si="117"/>
        <v>0.44765700191351643</v>
      </c>
      <c r="T122" s="18" t="str">
        <f t="shared" si="105"/>
        <v>1+0.000688937569164964i</v>
      </c>
      <c r="U122" s="18">
        <f t="shared" si="118"/>
        <v>1.000000237317459</v>
      </c>
      <c r="V122" s="18">
        <f t="shared" si="119"/>
        <v>6.8893746016703992E-4</v>
      </c>
      <c r="W122" s="32" t="str">
        <f t="shared" si="106"/>
        <v>1-0.000309410423074679i</v>
      </c>
      <c r="X122" s="18">
        <f t="shared" si="120"/>
        <v>1.0000000478674038</v>
      </c>
      <c r="Y122" s="18">
        <f t="shared" si="121"/>
        <v>-3.0941041320089687E-4</v>
      </c>
      <c r="Z122" s="32" t="str">
        <f t="shared" si="107"/>
        <v>0.999999987977356+0.00016886958126503i</v>
      </c>
      <c r="AA122" s="18">
        <f t="shared" si="122"/>
        <v>1.0000000022358237</v>
      </c>
      <c r="AB122" s="18">
        <f t="shared" si="123"/>
        <v>1.6886958169007451E-4</v>
      </c>
      <c r="AC122" s="68" t="str">
        <f t="shared" si="124"/>
        <v>17.1938933604463-8.25151118343732i</v>
      </c>
      <c r="AD122" s="66">
        <f t="shared" si="125"/>
        <v>25.607640847196315</v>
      </c>
      <c r="AE122" s="63">
        <f t="shared" si="126"/>
        <v>-25.636787095441132</v>
      </c>
      <c r="AF122" s="51" t="e">
        <f t="shared" si="127"/>
        <v>#NUM!</v>
      </c>
      <c r="AG122" s="51" t="str">
        <f t="shared" si="108"/>
        <v>1-0.295258958213556i</v>
      </c>
      <c r="AH122" s="51">
        <f t="shared" si="128"/>
        <v>1.0426782113410418</v>
      </c>
      <c r="AI122" s="51">
        <f t="shared" si="129"/>
        <v>-0.28710155932574116</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-0.000133283554228113</v>
      </c>
      <c r="AT122" s="32" t="str">
        <f t="shared" si="112"/>
        <v>0.0000420940854759793i</v>
      </c>
      <c r="AU122" s="32">
        <f t="shared" si="137"/>
        <v>4.2094085475979302E-5</v>
      </c>
      <c r="AV122" s="32">
        <f t="shared" si="138"/>
        <v>1.5707963267948966</v>
      </c>
      <c r="AW122" s="32" t="str">
        <f t="shared" si="113"/>
        <v>1+0.00735983886725677i</v>
      </c>
      <c r="AX122" s="32">
        <f t="shared" si="139"/>
        <v>1.0000270832473248</v>
      </c>
      <c r="AY122" s="32">
        <f t="shared" si="140"/>
        <v>7.3597059842184587E-3</v>
      </c>
      <c r="AZ122" s="32" t="str">
        <f t="shared" si="114"/>
        <v>1+0.109679549948631i</v>
      </c>
      <c r="BA122" s="32">
        <f t="shared" si="141"/>
        <v>1.0059968209079659</v>
      </c>
      <c r="BB122" s="32">
        <f t="shared" si="142"/>
        <v>0.10924289679497944</v>
      </c>
      <c r="BC122" s="60" t="str">
        <f t="shared" si="143"/>
        <v>-0.323959908829845+3.16870926976518i</v>
      </c>
      <c r="BD122" s="51">
        <f t="shared" si="144"/>
        <v>10.062806662944663</v>
      </c>
      <c r="BE122" s="63">
        <f t="shared" si="145"/>
        <v>95.83747683678267</v>
      </c>
      <c r="BF122" s="60" t="str">
        <f t="shared" si="146"/>
        <v>20.5765078510486+57.155608085295i</v>
      </c>
      <c r="BG122" s="66">
        <f t="shared" si="147"/>
        <v>35.670447510140981</v>
      </c>
      <c r="BH122" s="63">
        <f t="shared" si="148"/>
        <v>70.200689741341577</v>
      </c>
      <c r="BI122" s="60" t="e">
        <f t="shared" si="152"/>
        <v>#NUM!</v>
      </c>
      <c r="BJ122" s="66" t="e">
        <f t="shared" si="149"/>
        <v>#NUM!</v>
      </c>
      <c r="BK122" s="63" t="e">
        <f t="shared" si="153"/>
        <v>#NUM!</v>
      </c>
      <c r="BL122" s="51">
        <f t="shared" si="150"/>
        <v>35.670447510140981</v>
      </c>
      <c r="BM122" s="63">
        <f t="shared" si="151"/>
        <v>70.200689741341577</v>
      </c>
    </row>
    <row r="123" spans="14:65" x14ac:dyDescent="0.3">
      <c r="N123" s="11">
        <v>5</v>
      </c>
      <c r="O123" s="52">
        <f t="shared" si="154"/>
        <v>112.20184543019634</v>
      </c>
      <c r="P123" s="50" t="str">
        <f t="shared" si="103"/>
        <v>21.1560044893378</v>
      </c>
      <c r="Q123" s="18" t="str">
        <f t="shared" si="104"/>
        <v>1+0.491353172510462i</v>
      </c>
      <c r="R123" s="18">
        <f t="shared" si="116"/>
        <v>1.1141938521352988</v>
      </c>
      <c r="S123" s="18">
        <f t="shared" si="117"/>
        <v>0.45670624981549413</v>
      </c>
      <c r="T123" s="18" t="str">
        <f t="shared" si="105"/>
        <v>1+0.000704984986645445i</v>
      </c>
      <c r="U123" s="18">
        <f t="shared" si="118"/>
        <v>1.0000002485018848</v>
      </c>
      <c r="V123" s="18">
        <f t="shared" si="119"/>
        <v>7.0498486985206665E-4</v>
      </c>
      <c r="W123" s="32" t="str">
        <f t="shared" si="106"/>
        <v>1-0.000316617517670943i</v>
      </c>
      <c r="X123" s="18">
        <f t="shared" si="120"/>
        <v>1.000000050123325</v>
      </c>
      <c r="Y123" s="18">
        <f t="shared" si="121"/>
        <v>-3.1661750709099489E-4</v>
      </c>
      <c r="Z123" s="32" t="str">
        <f t="shared" si="107"/>
        <v>0.999999987410746+0.00017280305911789i</v>
      </c>
      <c r="AA123" s="18">
        <f t="shared" si="122"/>
        <v>1.0000000023411948</v>
      </c>
      <c r="AB123" s="18">
        <f t="shared" si="123"/>
        <v>1.7280305957333345E-4</v>
      </c>
      <c r="AC123" s="68" t="str">
        <f t="shared" si="124"/>
        <v>17.0434790361793-8.36980701436039i</v>
      </c>
      <c r="AD123" s="66">
        <f t="shared" si="125"/>
        <v>25.56946042772374</v>
      </c>
      <c r="AE123" s="63">
        <f t="shared" si="126"/>
        <v>-26.154989666888905</v>
      </c>
      <c r="AF123" s="51" t="e">
        <f t="shared" si="127"/>
        <v>#NUM!</v>
      </c>
      <c r="AG123" s="51" t="str">
        <f t="shared" si="108"/>
        <v>1-0.302136422848048i</v>
      </c>
      <c r="AH123" s="51">
        <f t="shared" si="128"/>
        <v>1.0446465517156578</v>
      </c>
      <c r="AI123" s="51">
        <f t="shared" si="129"/>
        <v>-0.29341566110651213</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-0.000133283554228113</v>
      </c>
      <c r="AT123" s="32" t="str">
        <f t="shared" si="112"/>
        <v>0.0000430745826840367i</v>
      </c>
      <c r="AU123" s="32">
        <f t="shared" si="137"/>
        <v>4.3074582684036703E-5</v>
      </c>
      <c r="AV123" s="32">
        <f t="shared" si="138"/>
        <v>1.5707963267948966</v>
      </c>
      <c r="AW123" s="32" t="str">
        <f t="shared" si="113"/>
        <v>1+0.00753127153717938i</v>
      </c>
      <c r="AX123" s="32">
        <f t="shared" si="139"/>
        <v>1.0000283596233492</v>
      </c>
      <c r="AY123" s="32">
        <f t="shared" si="140"/>
        <v>7.5311291506565733E-3</v>
      </c>
      <c r="AZ123" s="32" t="str">
        <f t="shared" si="114"/>
        <v>1+0.112234314858941i</v>
      </c>
      <c r="BA123" s="32">
        <f t="shared" si="141"/>
        <v>1.006278560554609</v>
      </c>
      <c r="BB123" s="32">
        <f t="shared" si="142"/>
        <v>0.11176659009859571</v>
      </c>
      <c r="BC123" s="60" t="str">
        <f t="shared" si="143"/>
        <v>-0.323959081864504+3.09669044501482i</v>
      </c>
      <c r="BD123" s="51">
        <f t="shared" si="144"/>
        <v>9.8652278080011655</v>
      </c>
      <c r="BE123" s="63">
        <f t="shared" si="145"/>
        <v>95.972251987917616</v>
      </c>
      <c r="BF123" s="60" t="str">
        <f t="shared" si="146"/>
        <v>20.3973115876503+55.4898536769021i</v>
      </c>
      <c r="BG123" s="66">
        <f t="shared" si="147"/>
        <v>35.434688235724906</v>
      </c>
      <c r="BH123" s="63">
        <f t="shared" si="148"/>
        <v>69.817262321028679</v>
      </c>
      <c r="BI123" s="60" t="e">
        <f t="shared" si="152"/>
        <v>#NUM!</v>
      </c>
      <c r="BJ123" s="66" t="e">
        <f t="shared" si="149"/>
        <v>#NUM!</v>
      </c>
      <c r="BK123" s="63" t="e">
        <f t="shared" si="153"/>
        <v>#NUM!</v>
      </c>
      <c r="BL123" s="51">
        <f t="shared" si="150"/>
        <v>35.434688235724906</v>
      </c>
      <c r="BM123" s="63">
        <f t="shared" si="151"/>
        <v>69.817262321028679</v>
      </c>
    </row>
    <row r="124" spans="14:65" x14ac:dyDescent="0.3">
      <c r="N124" s="11">
        <v>6</v>
      </c>
      <c r="O124" s="52">
        <f t="shared" si="154"/>
        <v>114.81536214968835</v>
      </c>
      <c r="P124" s="50" t="str">
        <f t="shared" si="103"/>
        <v>21.1560044893378</v>
      </c>
      <c r="Q124" s="18" t="str">
        <f t="shared" si="104"/>
        <v>1+0.502798258164873i</v>
      </c>
      <c r="R124" s="18">
        <f t="shared" si="116"/>
        <v>1.1192882061442577</v>
      </c>
      <c r="S124" s="18">
        <f t="shared" si="117"/>
        <v>0.4658837089276347</v>
      </c>
      <c r="T124" s="18" t="str">
        <f t="shared" si="105"/>
        <v>1+0.000721406196497425i</v>
      </c>
      <c r="U124" s="18">
        <f t="shared" si="118"/>
        <v>1.0000002602134164</v>
      </c>
      <c r="V124" s="18">
        <f t="shared" si="119"/>
        <v>7.2140607135106716E-4</v>
      </c>
      <c r="W124" s="32" t="str">
        <f t="shared" si="106"/>
        <v>1-0.000323992487066003i</v>
      </c>
      <c r="X124" s="18">
        <f t="shared" si="120"/>
        <v>1.0000000524855643</v>
      </c>
      <c r="Y124" s="18">
        <f t="shared" si="121"/>
        <v>-3.2399247572938438E-4</v>
      </c>
      <c r="Z124" s="32" t="str">
        <f t="shared" si="107"/>
        <v>0.999999986817433+0.000176828159440014i</v>
      </c>
      <c r="AA124" s="18">
        <f t="shared" si="122"/>
        <v>1.0000000024515319</v>
      </c>
      <c r="AB124" s="18">
        <f t="shared" si="123"/>
        <v>1.7682815992803042E-4</v>
      </c>
      <c r="AC124" s="68" t="str">
        <f t="shared" si="124"/>
        <v>16.8887724497051-8.48697866237681i</v>
      </c>
      <c r="AD124" s="66">
        <f t="shared" si="125"/>
        <v>25.529837151748112</v>
      </c>
      <c r="AE124" s="63">
        <f t="shared" si="126"/>
        <v>-26.680531650967467</v>
      </c>
      <c r="AF124" s="51" t="e">
        <f t="shared" si="127"/>
        <v>#NUM!</v>
      </c>
      <c r="AG124" s="51" t="str">
        <f t="shared" si="108"/>
        <v>1-0.309174084213183i</v>
      </c>
      <c r="AH124" s="51">
        <f t="shared" si="128"/>
        <v>1.0467036898516506</v>
      </c>
      <c r="AI124" s="51">
        <f t="shared" si="129"/>
        <v>-0.29985199008796798</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-0.000133283554228113</v>
      </c>
      <c r="AT124" s="32" t="str">
        <f t="shared" si="112"/>
        <v>0.0000440779186059927i</v>
      </c>
      <c r="AU124" s="32">
        <f t="shared" si="137"/>
        <v>4.4077918605992703E-5</v>
      </c>
      <c r="AV124" s="32">
        <f t="shared" si="138"/>
        <v>1.5707963267948966</v>
      </c>
      <c r="AW124" s="32" t="str">
        <f t="shared" si="113"/>
        <v>1+0.00770669738695916i</v>
      </c>
      <c r="AX124" s="32">
        <f t="shared" si="139"/>
        <v>1.0000296961513764</v>
      </c>
      <c r="AY124" s="32">
        <f t="shared" si="140"/>
        <v>7.7065448172958595E-3</v>
      </c>
      <c r="AZ124" s="32" t="str">
        <f t="shared" si="114"/>
        <v>1+0.114848587888586i</v>
      </c>
      <c r="BA124" s="32">
        <f t="shared" si="141"/>
        <v>1.0065734936605484</v>
      </c>
      <c r="BB124" s="32">
        <f t="shared" si="142"/>
        <v>0.11434758837778661</v>
      </c>
      <c r="BC124" s="60" t="str">
        <f t="shared" si="143"/>
        <v>-0.323958215930012+3.02631352594078i</v>
      </c>
      <c r="BD124" s="51">
        <f t="shared" si="144"/>
        <v>9.6677615990233718</v>
      </c>
      <c r="BE124" s="63">
        <f t="shared" si="145"/>
        <v>96.110081718886875</v>
      </c>
      <c r="BF124" s="60" t="str">
        <f t="shared" si="146"/>
        <v>20.2130017282673+53.8601469671782i</v>
      </c>
      <c r="BG124" s="66">
        <f t="shared" si="147"/>
        <v>35.197598750771476</v>
      </c>
      <c r="BH124" s="63">
        <f t="shared" si="148"/>
        <v>69.429550067919436</v>
      </c>
      <c r="BI124" s="60" t="e">
        <f t="shared" si="152"/>
        <v>#NUM!</v>
      </c>
      <c r="BJ124" s="66" t="e">
        <f t="shared" si="149"/>
        <v>#NUM!</v>
      </c>
      <c r="BK124" s="63" t="e">
        <f t="shared" si="153"/>
        <v>#NUM!</v>
      </c>
      <c r="BL124" s="51">
        <f t="shared" si="150"/>
        <v>35.197598750771476</v>
      </c>
      <c r="BM124" s="63">
        <f t="shared" si="151"/>
        <v>69.429550067919436</v>
      </c>
    </row>
    <row r="125" spans="14:65" x14ac:dyDescent="0.3">
      <c r="N125" s="11">
        <v>7</v>
      </c>
      <c r="O125" s="52">
        <f t="shared" si="154"/>
        <v>117.48975549395293</v>
      </c>
      <c r="P125" s="50" t="str">
        <f t="shared" si="103"/>
        <v>21.1560044893378</v>
      </c>
      <c r="Q125" s="18" t="str">
        <f t="shared" si="104"/>
        <v>1+0.514509934111083i</v>
      </c>
      <c r="R125" s="18">
        <f t="shared" si="116"/>
        <v>1.1245979158343622</v>
      </c>
      <c r="S125" s="18">
        <f t="shared" si="117"/>
        <v>0.47518806048554363</v>
      </c>
      <c r="T125" s="18" t="str">
        <f t="shared" si="105"/>
        <v>1+0.000738209905463727i</v>
      </c>
      <c r="U125" s="18">
        <f t="shared" si="118"/>
        <v>1.000000272476895</v>
      </c>
      <c r="V125" s="18">
        <f t="shared" si="119"/>
        <v>7.3820977136699055E-4</v>
      </c>
      <c r="W125" s="32" t="str">
        <f t="shared" si="106"/>
        <v>1-0.000331539241566254i</v>
      </c>
      <c r="X125" s="18">
        <f t="shared" si="120"/>
        <v>1.0000000549591328</v>
      </c>
      <c r="Y125" s="18">
        <f t="shared" si="121"/>
        <v>-3.3153922941884828E-4</v>
      </c>
      <c r="Z125" s="32" t="str">
        <f t="shared" si="107"/>
        <v>0.999999986196157+0.00018094701639287i</v>
      </c>
      <c r="AA125" s="18">
        <f t="shared" si="122"/>
        <v>1.0000000025670686</v>
      </c>
      <c r="AB125" s="18">
        <f t="shared" si="123"/>
        <v>1.8094701691578915E-4</v>
      </c>
      <c r="AC125" s="68" t="str">
        <f t="shared" si="124"/>
        <v>16.729758300212-8.60285143131664i</v>
      </c>
      <c r="AD125" s="66">
        <f t="shared" si="125"/>
        <v>25.488730345551851</v>
      </c>
      <c r="AE125" s="63">
        <f t="shared" si="126"/>
        <v>-27.213337335507717</v>
      </c>
      <c r="AF125" s="51" t="e">
        <f t="shared" si="127"/>
        <v>#NUM!</v>
      </c>
      <c r="AG125" s="51" t="str">
        <f t="shared" si="108"/>
        <v>1-0.316375673770169i</v>
      </c>
      <c r="AH125" s="51">
        <f t="shared" si="128"/>
        <v>1.0488534535165188</v>
      </c>
      <c r="AI125" s="51">
        <f t="shared" si="129"/>
        <v>-0.30641182504566683</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-0.000133283554228113</v>
      </c>
      <c r="AT125" s="32" t="str">
        <f t="shared" si="112"/>
        <v>0.0000451046252238337i</v>
      </c>
      <c r="AU125" s="32">
        <f t="shared" si="137"/>
        <v>4.5104625223833698E-5</v>
      </c>
      <c r="AV125" s="32">
        <f t="shared" si="138"/>
        <v>1.5707963267948966</v>
      </c>
      <c r="AW125" s="32" t="str">
        <f t="shared" si="113"/>
        <v>1+0.0078862094297037i</v>
      </c>
      <c r="AX125" s="32">
        <f t="shared" si="139"/>
        <v>1.0000310956661143</v>
      </c>
      <c r="AY125" s="32">
        <f t="shared" si="140"/>
        <v>7.8860459486386272E-3</v>
      </c>
      <c r="AZ125" s="32" t="str">
        <f t="shared" si="114"/>
        <v>1+0.117523755159731i</v>
      </c>
      <c r="BA125" s="32">
        <f t="shared" si="141"/>
        <v>1.0068822339414101</v>
      </c>
      <c r="BB125" s="32">
        <f t="shared" si="142"/>
        <v>0.11698712248993165</v>
      </c>
      <c r="BC125" s="60" t="str">
        <f t="shared" si="143"/>
        <v>-0.32395730919025+2.95754119772703i</v>
      </c>
      <c r="BD125" s="51">
        <f t="shared" si="144"/>
        <v>9.4704132059577404</v>
      </c>
      <c r="BE125" s="63">
        <f t="shared" si="145"/>
        <v>96.251031226149863</v>
      </c>
      <c r="BF125" s="60" t="str">
        <f t="shared" si="146"/>
        <v>20.023560043704+52.2659060019456i</v>
      </c>
      <c r="BG125" s="66">
        <f t="shared" si="147"/>
        <v>34.959143551509598</v>
      </c>
      <c r="BH125" s="63">
        <f t="shared" si="148"/>
        <v>69.03769389064216</v>
      </c>
      <c r="BI125" s="60" t="e">
        <f t="shared" si="152"/>
        <v>#NUM!</v>
      </c>
      <c r="BJ125" s="66" t="e">
        <f t="shared" si="149"/>
        <v>#NUM!</v>
      </c>
      <c r="BK125" s="63" t="e">
        <f t="shared" si="153"/>
        <v>#NUM!</v>
      </c>
      <c r="BL125" s="51">
        <f t="shared" si="150"/>
        <v>34.959143551509598</v>
      </c>
      <c r="BM125" s="63">
        <f t="shared" si="151"/>
        <v>69.03769389064216</v>
      </c>
    </row>
    <row r="126" spans="14:65" x14ac:dyDescent="0.3">
      <c r="N126" s="11">
        <v>8</v>
      </c>
      <c r="O126" s="52">
        <f t="shared" si="154"/>
        <v>120.22644346174135</v>
      </c>
      <c r="P126" s="50" t="str">
        <f t="shared" si="103"/>
        <v>21.1560044893378</v>
      </c>
      <c r="Q126" s="18" t="str">
        <f t="shared" si="104"/>
        <v>1+0.526494410034705i</v>
      </c>
      <c r="R126" s="18">
        <f t="shared" si="116"/>
        <v>1.1301311268157301</v>
      </c>
      <c r="S126" s="18">
        <f t="shared" si="117"/>
        <v>0.48461779297502489</v>
      </c>
      <c r="T126" s="18" t="str">
        <f t="shared" si="105"/>
        <v>1+0.000755405023093271i</v>
      </c>
      <c r="U126" s="18">
        <f t="shared" si="118"/>
        <v>1.0000002853183338</v>
      </c>
      <c r="V126" s="18">
        <f t="shared" si="119"/>
        <v>7.5540487940603139E-4</v>
      </c>
      <c r="W126" s="32" t="str">
        <f t="shared" si="106"/>
        <v>1-0.000339261782560824i</v>
      </c>
      <c r="X126" s="18">
        <f t="shared" si="120"/>
        <v>1.0000000575492769</v>
      </c>
      <c r="Y126" s="18">
        <f t="shared" si="121"/>
        <v>-3.3926176954464436E-4</v>
      </c>
      <c r="Z126" s="32" t="str">
        <f t="shared" si="107"/>
        <v>0.999999985545602+0.000185161813848935i</v>
      </c>
      <c r="AA126" s="18">
        <f t="shared" si="122"/>
        <v>1.0000000026880507</v>
      </c>
      <c r="AB126" s="18">
        <f t="shared" si="123"/>
        <v>1.8516181440925294E-4</v>
      </c>
      <c r="AC126" s="68" t="str">
        <f t="shared" si="124"/>
        <v>16.5664298080947-8.71724604525174i</v>
      </c>
      <c r="AD126" s="66">
        <f t="shared" si="125"/>
        <v>25.446099230614863</v>
      </c>
      <c r="AE126" s="63">
        <f t="shared" si="126"/>
        <v>-27.753319961037704</v>
      </c>
      <c r="AF126" s="51" t="e">
        <f t="shared" si="127"/>
        <v>#NUM!</v>
      </c>
      <c r="AG126" s="51" t="str">
        <f t="shared" si="108"/>
        <v>1-0.323745009897117i</v>
      </c>
      <c r="AH126" s="51">
        <f t="shared" si="128"/>
        <v>1.0510998199187767</v>
      </c>
      <c r="AI126" s="51">
        <f t="shared" si="129"/>
        <v>-0.31309638504691417</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-0.000133283554228113</v>
      </c>
      <c r="AT126" s="32" t="str">
        <f t="shared" si="112"/>
        <v>0.0000461552469109988i</v>
      </c>
      <c r="AU126" s="32">
        <f t="shared" si="137"/>
        <v>4.6155246910998803E-5</v>
      </c>
      <c r="AV126" s="32">
        <f t="shared" si="138"/>
        <v>1.5707963267948966</v>
      </c>
      <c r="AW126" s="32" t="str">
        <f t="shared" si="113"/>
        <v>1+0.00806990284507422i</v>
      </c>
      <c r="AX126" s="32">
        <f t="shared" si="139"/>
        <v>1.0000325611358507</v>
      </c>
      <c r="AY126" s="32">
        <f t="shared" si="140"/>
        <v>8.0697276722649994E-3</v>
      </c>
      <c r="AZ126" s="32" t="str">
        <f t="shared" si="114"/>
        <v>1+0.120261235081472i</v>
      </c>
      <c r="BA126" s="32">
        <f t="shared" si="141"/>
        <v>1.0072054232694148</v>
      </c>
      <c r="BB126" s="32">
        <f t="shared" si="142"/>
        <v>0.11968644475152659</v>
      </c>
      <c r="BC126" s="60" t="str">
        <f t="shared" si="143"/>
        <v>-0.323956359722596+2.89033699632987i</v>
      </c>
      <c r="BD126" s="51">
        <f t="shared" si="144"/>
        <v>9.2731880292765645</v>
      </c>
      <c r="BE126" s="63">
        <f t="shared" si="145"/>
        <v>96.395166811747458</v>
      </c>
      <c r="BF126" s="60" t="str">
        <f t="shared" si="146"/>
        <v>19.8289784564711+50.706572267064i</v>
      </c>
      <c r="BG126" s="66">
        <f t="shared" si="147"/>
        <v>34.719287259891431</v>
      </c>
      <c r="BH126" s="63">
        <f t="shared" si="148"/>
        <v>68.64184685070974</v>
      </c>
      <c r="BI126" s="60" t="e">
        <f t="shared" si="152"/>
        <v>#NUM!</v>
      </c>
      <c r="BJ126" s="66" t="e">
        <f t="shared" si="149"/>
        <v>#NUM!</v>
      </c>
      <c r="BK126" s="63" t="e">
        <f t="shared" si="153"/>
        <v>#NUM!</v>
      </c>
      <c r="BL126" s="51">
        <f t="shared" si="150"/>
        <v>34.719287259891431</v>
      </c>
      <c r="BM126" s="63">
        <f t="shared" si="151"/>
        <v>68.64184685070974</v>
      </c>
    </row>
    <row r="127" spans="14:65" x14ac:dyDescent="0.3">
      <c r="N127" s="11">
        <v>9</v>
      </c>
      <c r="O127" s="52">
        <f t="shared" si="154"/>
        <v>123.02687708123821</v>
      </c>
      <c r="P127" s="50" t="str">
        <f t="shared" si="103"/>
        <v>21.1560044893378</v>
      </c>
      <c r="Q127" s="18" t="str">
        <f t="shared" si="104"/>
        <v>1+0.538758040263503i</v>
      </c>
      <c r="R127" s="18">
        <f t="shared" si="116"/>
        <v>1.1358962214694486</v>
      </c>
      <c r="S127" s="18">
        <f t="shared" si="117"/>
        <v>0.49417119737139631</v>
      </c>
      <c r="T127" s="18" t="str">
        <f t="shared" si="105"/>
        <v>1+0.000773000666465025i</v>
      </c>
      <c r="U127" s="18">
        <f t="shared" si="118"/>
        <v>1.0000002987649705</v>
      </c>
      <c r="V127" s="18">
        <f t="shared" si="119"/>
        <v>7.7300051250137633E-4</v>
      </c>
      <c r="W127" s="32" t="str">
        <f t="shared" si="106"/>
        <v>1-0.000347164204643168i</v>
      </c>
      <c r="X127" s="18">
        <f t="shared" si="120"/>
        <v>1.0000000602614907</v>
      </c>
      <c r="Y127" s="18">
        <f t="shared" si="121"/>
        <v>-3.4716419069608025E-4</v>
      </c>
      <c r="Z127" s="32" t="str">
        <f t="shared" si="107"/>
        <v>0.999999984864388+0.000189474786549608i</v>
      </c>
      <c r="AA127" s="18">
        <f t="shared" si="122"/>
        <v>1.0000000028147353</v>
      </c>
      <c r="AB127" s="18">
        <f t="shared" si="123"/>
        <v>1.8947478714999937E-4</v>
      </c>
      <c r="AC127" s="68" t="str">
        <f t="shared" si="124"/>
        <v>16.3987892139121-8.8299790721586i</v>
      </c>
      <c r="AD127" s="66">
        <f t="shared" si="125"/>
        <v>25.401903006578422</v>
      </c>
      <c r="AE127" s="63">
        <f t="shared" si="126"/>
        <v>-28.300381447932381</v>
      </c>
      <c r="AF127" s="51" t="e">
        <f t="shared" si="127"/>
        <v>#NUM!</v>
      </c>
      <c r="AG127" s="51" t="str">
        <f t="shared" si="108"/>
        <v>1-0.331285999913583i</v>
      </c>
      <c r="AH127" s="51">
        <f t="shared" si="128"/>
        <v>1.0534469202284196</v>
      </c>
      <c r="AI127" s="51">
        <f t="shared" si="129"/>
        <v>-0.31990682398747811</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-0.000133283554228113</v>
      </c>
      <c r="AT127" s="32" t="str">
        <f t="shared" si="112"/>
        <v>0.000047230340721013i</v>
      </c>
      <c r="AU127" s="32">
        <f t="shared" si="137"/>
        <v>4.7230340721013002E-5</v>
      </c>
      <c r="AV127" s="32">
        <f t="shared" si="138"/>
        <v>1.5707963267948966</v>
      </c>
      <c r="AW127" s="32" t="str">
        <f t="shared" si="113"/>
        <v>1+0.00825787502975096i</v>
      </c>
      <c r="AX127" s="32">
        <f t="shared" si="139"/>
        <v>1.0000340956687461</v>
      </c>
      <c r="AY127" s="32">
        <f t="shared" si="140"/>
        <v>8.2576873290497593E-3</v>
      </c>
      <c r="AZ127" s="32" t="str">
        <f t="shared" si="114"/>
        <v>1+0.123062479101898i</v>
      </c>
      <c r="BA127" s="32">
        <f t="shared" si="141"/>
        <v>1.0075437329281072</v>
      </c>
      <c r="BB127" s="32">
        <f t="shared" si="142"/>
        <v>0.12244682894885345</v>
      </c>
      <c r="BC127" s="60" t="str">
        <f t="shared" si="143"/>
        <v>-0.323955365513874+2.82466528914394i</v>
      </c>
      <c r="BD127" s="51">
        <f t="shared" si="144"/>
        <v>9.0760917096155982</v>
      </c>
      <c r="BE127" s="63">
        <f t="shared" si="145"/>
        <v>96.542555881036407</v>
      </c>
      <c r="BF127" s="60" t="str">
        <f t="shared" si="146"/>
        <v>19.6292596352159+49.1816097743265i</v>
      </c>
      <c r="BG127" s="66">
        <f t="shared" si="147"/>
        <v>34.477994716194011</v>
      </c>
      <c r="BH127" s="63">
        <f t="shared" si="148"/>
        <v>68.242174433104054</v>
      </c>
      <c r="BI127" s="60" t="e">
        <f t="shared" si="152"/>
        <v>#NUM!</v>
      </c>
      <c r="BJ127" s="66" t="e">
        <f t="shared" si="149"/>
        <v>#NUM!</v>
      </c>
      <c r="BK127" s="63" t="e">
        <f t="shared" si="153"/>
        <v>#NUM!</v>
      </c>
      <c r="BL127" s="51">
        <f t="shared" si="150"/>
        <v>34.477994716194011</v>
      </c>
      <c r="BM127" s="63">
        <f t="shared" si="151"/>
        <v>68.242174433104054</v>
      </c>
    </row>
    <row r="128" spans="14:65" x14ac:dyDescent="0.3">
      <c r="N128" s="11">
        <v>10</v>
      </c>
      <c r="O128" s="52">
        <f t="shared" si="154"/>
        <v>125.89254117941677</v>
      </c>
      <c r="P128" s="50" t="str">
        <f t="shared" si="103"/>
        <v>21.1560044893378</v>
      </c>
      <c r="Q128" s="18" t="str">
        <f t="shared" si="104"/>
        <v>1+0.551307327136555i</v>
      </c>
      <c r="R128" s="18">
        <f t="shared" si="116"/>
        <v>1.141901821066265</v>
      </c>
      <c r="S128" s="18">
        <f t="shared" si="117"/>
        <v>0.50384636286779449</v>
      </c>
      <c r="T128" s="18" t="str">
        <f t="shared" si="105"/>
        <v>1+0.000791006165022012i</v>
      </c>
      <c r="U128" s="18">
        <f t="shared" si="118"/>
        <v>1.0000003128453276</v>
      </c>
      <c r="V128" s="18">
        <f t="shared" si="119"/>
        <v>7.9100600004699292E-4</v>
      </c>
      <c r="W128" s="32" t="str">
        <f t="shared" si="106"/>
        <v>1-0.000355250697782075i</v>
      </c>
      <c r="X128" s="18">
        <f t="shared" si="120"/>
        <v>1.0000000631015271</v>
      </c>
      <c r="Y128" s="18">
        <f t="shared" si="121"/>
        <v>-3.5525068283750132E-4</v>
      </c>
      <c r="Z128" s="32" t="str">
        <f t="shared" si="107"/>
        <v>0.999999984151068+0.000193888221290106i</v>
      </c>
      <c r="AA128" s="18">
        <f t="shared" si="122"/>
        <v>1.0000000029473894</v>
      </c>
      <c r="AB128" s="18">
        <f t="shared" si="123"/>
        <v>1.9388822193343704E-4</v>
      </c>
      <c r="AC128" s="68" t="str">
        <f t="shared" si="124"/>
        <v>16.2268482592243-8.94086339843123i</v>
      </c>
      <c r="AD128" s="66">
        <f t="shared" si="125"/>
        <v>25.356100938846101</v>
      </c>
      <c r="AE128" s="63">
        <f t="shared" si="126"/>
        <v>-28.854412151579297</v>
      </c>
      <c r="AF128" s="51" t="e">
        <f t="shared" si="127"/>
        <v>#NUM!</v>
      </c>
      <c r="AG128" s="51" t="str">
        <f t="shared" si="108"/>
        <v>1-0.339002642152291i</v>
      </c>
      <c r="AH128" s="51">
        <f t="shared" si="128"/>
        <v>1.0558990441260161</v>
      </c>
      <c r="AI128" s="51">
        <f t="shared" si="129"/>
        <v>-0.32684422492836712</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-0.000133283554228113</v>
      </c>
      <c r="AT128" s="32" t="str">
        <f t="shared" si="112"/>
        <v>0.000048330476682845i</v>
      </c>
      <c r="AU128" s="32">
        <f t="shared" si="137"/>
        <v>4.8330476682844997E-5</v>
      </c>
      <c r="AV128" s="32">
        <f t="shared" si="138"/>
        <v>1.5707963267948966</v>
      </c>
      <c r="AW128" s="32" t="str">
        <f t="shared" si="113"/>
        <v>1+0.00845022564907438i</v>
      </c>
      <c r="AX128" s="32">
        <f t="shared" si="139"/>
        <v>1.0000357025194253</v>
      </c>
      <c r="AY128" s="32">
        <f t="shared" si="140"/>
        <v>8.4500245245372422E-3</v>
      </c>
      <c r="AZ128" s="32" t="str">
        <f t="shared" si="114"/>
        <v>1+0.125928972477669i</v>
      </c>
      <c r="BA128" s="32">
        <f t="shared" si="141"/>
        <v>1.0078978649194974</v>
      </c>
      <c r="BB128" s="32">
        <f t="shared" si="142"/>
        <v>0.12526957031704219</v>
      </c>
      <c r="BC128" s="60" t="str">
        <f t="shared" si="143"/>
        <v>-0.323954324456081+2.76049125610918i</v>
      </c>
      <c r="BD128" s="51">
        <f t="shared" si="144"/>
        <v>8.8791301377536254</v>
      </c>
      <c r="BE128" s="63">
        <f t="shared" si="145"/>
        <v>96.69326693854579</v>
      </c>
      <c r="BF128" s="60" t="str">
        <f t="shared" si="146"/>
        <v>19.4244175675677+47.690504096092i</v>
      </c>
      <c r="BG128" s="66">
        <f t="shared" si="147"/>
        <v>34.235231076599717</v>
      </c>
      <c r="BH128" s="63">
        <f t="shared" si="148"/>
        <v>67.838854786966451</v>
      </c>
      <c r="BI128" s="60" t="e">
        <f t="shared" si="152"/>
        <v>#NUM!</v>
      </c>
      <c r="BJ128" s="66" t="e">
        <f t="shared" si="149"/>
        <v>#NUM!</v>
      </c>
      <c r="BK128" s="63" t="e">
        <f t="shared" si="153"/>
        <v>#NUM!</v>
      </c>
      <c r="BL128" s="51">
        <f t="shared" si="150"/>
        <v>34.235231076599717</v>
      </c>
      <c r="BM128" s="63">
        <f t="shared" si="151"/>
        <v>67.838854786966451</v>
      </c>
    </row>
    <row r="129" spans="14:65" x14ac:dyDescent="0.3">
      <c r="N129" s="11">
        <v>11</v>
      </c>
      <c r="O129" s="52">
        <f t="shared" si="154"/>
        <v>128.82495516931343</v>
      </c>
      <c r="P129" s="50" t="str">
        <f t="shared" si="103"/>
        <v>21.1560044893378</v>
      </c>
      <c r="Q129" s="18" t="str">
        <f t="shared" si="104"/>
        <v>1+0.56414892445187i</v>
      </c>
      <c r="R129" s="18">
        <f t="shared" si="116"/>
        <v>1.1481567876210121</v>
      </c>
      <c r="S129" s="18">
        <f t="shared" si="117"/>
        <v>0.51364117314786828</v>
      </c>
      <c r="T129" s="18" t="str">
        <f t="shared" si="105"/>
        <v>1+0.000809431065517899i</v>
      </c>
      <c r="U129" s="18">
        <f t="shared" si="118"/>
        <v>1.0000003275892713</v>
      </c>
      <c r="V129" s="18">
        <f t="shared" si="119"/>
        <v>8.0943088874398431E-4</v>
      </c>
      <c r="W129" s="32" t="str">
        <f t="shared" si="106"/>
        <v>1-0.000363525549543246i</v>
      </c>
      <c r="X129" s="18">
        <f t="shared" si="120"/>
        <v>1.0000000660754105</v>
      </c>
      <c r="Y129" s="18">
        <f t="shared" si="121"/>
        <v>-3.6352553352984683E-4</v>
      </c>
      <c r="Z129" s="32" t="str">
        <f t="shared" si="107"/>
        <v>0.999999983404131+0.000198404458131945i</v>
      </c>
      <c r="AA129" s="18">
        <f t="shared" si="122"/>
        <v>1.0000000030862957</v>
      </c>
      <c r="AB129" s="18">
        <f t="shared" si="123"/>
        <v>1.9840445882128661E-4</v>
      </c>
      <c r="AC129" s="68" t="str">
        <f t="shared" si="124"/>
        <v>16.0506286441104-9.04970875428442i</v>
      </c>
      <c r="AD129" s="66">
        <f t="shared" si="125"/>
        <v>25.308652450626571</v>
      </c>
      <c r="AE129" s="63">
        <f t="shared" si="126"/>
        <v>-29.41529064873226</v>
      </c>
      <c r="AF129" s="51" t="e">
        <f t="shared" si="127"/>
        <v>#NUM!</v>
      </c>
      <c r="AG129" s="51" t="str">
        <f t="shared" si="108"/>
        <v>1-0.3468990280791i</v>
      </c>
      <c r="AH129" s="51">
        <f t="shared" si="128"/>
        <v>1.0584606443709772</v>
      </c>
      <c r="AI129" s="51">
        <f t="shared" si="129"/>
        <v>-0.33390959424017636</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-0.000133283554228113</v>
      </c>
      <c r="AT129" s="32" t="str">
        <f t="shared" si="112"/>
        <v>0.0000494562381031436i</v>
      </c>
      <c r="AU129" s="32">
        <f t="shared" si="137"/>
        <v>4.9456238103143602E-5</v>
      </c>
      <c r="AV129" s="32">
        <f t="shared" si="138"/>
        <v>1.5707963267948966</v>
      </c>
      <c r="AW129" s="32" t="str">
        <f t="shared" si="113"/>
        <v>1+0.0086470566898889i</v>
      </c>
      <c r="AX129" s="32">
        <f t="shared" si="139"/>
        <v>1.0000373850958764</v>
      </c>
      <c r="AY129" s="32">
        <f t="shared" si="140"/>
        <v>8.6468411814997204E-3</v>
      </c>
      <c r="AZ129" s="32" t="str">
        <f t="shared" si="114"/>
        <v>1+0.128862235061515i</v>
      </c>
      <c r="BA129" s="32">
        <f t="shared" si="141"/>
        <v>1.0082685533254765</v>
      </c>
      <c r="BB129" s="32">
        <f t="shared" si="142"/>
        <v>0.12815598548487017</v>
      </c>
      <c r="BC129" s="60" t="str">
        <f t="shared" si="143"/>
        <v>-0.323953234341918+2.69778087124848i</v>
      </c>
      <c r="BD129" s="51">
        <f t="shared" si="144"/>
        <v>8.682309464939415</v>
      </c>
      <c r="BE129" s="63">
        <f t="shared" si="145"/>
        <v>96.847369581803022</v>
      </c>
      <c r="BF129" s="60" t="str">
        <f t="shared" si="146"/>
        <v>19.2144781051978+46.2327613483968i</v>
      </c>
      <c r="BG129" s="66">
        <f t="shared" si="147"/>
        <v>33.99096191556599</v>
      </c>
      <c r="BH129" s="63">
        <f t="shared" si="148"/>
        <v>67.432078933070812</v>
      </c>
      <c r="BI129" s="60" t="e">
        <f t="shared" si="152"/>
        <v>#NUM!</v>
      </c>
      <c r="BJ129" s="66" t="e">
        <f t="shared" si="149"/>
        <v>#NUM!</v>
      </c>
      <c r="BK129" s="63" t="e">
        <f t="shared" si="153"/>
        <v>#NUM!</v>
      </c>
      <c r="BL129" s="51">
        <f t="shared" si="150"/>
        <v>33.99096191556599</v>
      </c>
      <c r="BM129" s="63">
        <f t="shared" si="151"/>
        <v>67.432078933070812</v>
      </c>
    </row>
    <row r="130" spans="14:65" x14ac:dyDescent="0.3">
      <c r="N130" s="11">
        <v>12</v>
      </c>
      <c r="O130" s="52">
        <f t="shared" si="154"/>
        <v>131.82567385564084</v>
      </c>
      <c r="P130" s="50" t="str">
        <f t="shared" si="103"/>
        <v>21.1560044893378</v>
      </c>
      <c r="Q130" s="18" t="str">
        <f t="shared" si="104"/>
        <v>1+0.577289640994324i</v>
      </c>
      <c r="R130" s="18">
        <f t="shared" si="116"/>
        <v>1.154670225475376</v>
      </c>
      <c r="S130" s="18">
        <f t="shared" si="117"/>
        <v>0.52355330325807858</v>
      </c>
      <c r="T130" s="18" t="str">
        <f t="shared" si="105"/>
        <v>1+0.000828285137078811i</v>
      </c>
      <c r="U130" s="18">
        <f t="shared" si="118"/>
        <v>1.0000003430280753</v>
      </c>
      <c r="V130" s="18">
        <f t="shared" si="119"/>
        <v>8.2828494766215219E-4</v>
      </c>
      <c r="W130" s="32" t="str">
        <f t="shared" si="106"/>
        <v>1-0.000371993147362614i</v>
      </c>
      <c r="X130" s="18">
        <f t="shared" si="120"/>
        <v>1.0000000691894484</v>
      </c>
      <c r="Y130" s="18">
        <f t="shared" si="121"/>
        <v>-3.7199313020394771E-4</v>
      </c>
      <c r="Z130" s="32" t="str">
        <f t="shared" si="107"/>
        <v>0.999999982621992+0.00020302589164368i</v>
      </c>
      <c r="AA130" s="18">
        <f t="shared" si="122"/>
        <v>1.0000000032317484</v>
      </c>
      <c r="AB130" s="18">
        <f t="shared" si="123"/>
        <v>2.0302589238232278E-4</v>
      </c>
      <c r="AC130" s="68" t="str">
        <f t="shared" si="124"/>
        <v>15.8701624559706-9.15632228954686i</v>
      </c>
      <c r="AD130" s="66">
        <f t="shared" si="125"/>
        <v>25.259517219171812</v>
      </c>
      <c r="AE130" s="63">
        <f t="shared" si="126"/>
        <v>-29.98288355821947</v>
      </c>
      <c r="AF130" s="51" t="e">
        <f t="shared" si="127"/>
        <v>#NUM!</v>
      </c>
      <c r="AG130" s="51" t="str">
        <f t="shared" si="108"/>
        <v>1-0.354979344462348i</v>
      </c>
      <c r="AH130" s="51">
        <f t="shared" si="128"/>
        <v>1.0611363413788628</v>
      </c>
      <c r="AI130" s="51">
        <f t="shared" si="129"/>
        <v>-0.34110385556451245</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-0.000133283554228113</v>
      </c>
      <c r="AT130" s="32" t="str">
        <f t="shared" si="112"/>
        <v>0.0000506082218755153i</v>
      </c>
      <c r="AU130" s="32">
        <f t="shared" si="137"/>
        <v>5.0608221875515303E-5</v>
      </c>
      <c r="AV130" s="32">
        <f t="shared" si="138"/>
        <v>1.5707963267948966</v>
      </c>
      <c r="AW130" s="32" t="str">
        <f t="shared" si="113"/>
        <v>1+0.00884847251461774i</v>
      </c>
      <c r="AX130" s="32">
        <f t="shared" si="139"/>
        <v>1.0000391469666785</v>
      </c>
      <c r="AY130" s="32">
        <f t="shared" si="140"/>
        <v>8.8482415937065056E-3</v>
      </c>
      <c r="AZ130" s="32" t="str">
        <f t="shared" si="114"/>
        <v>1+0.131863822108084i</v>
      </c>
      <c r="BA130" s="32">
        <f t="shared" si="141"/>
        <v>1.0086565657253972</v>
      </c>
      <c r="BB130" s="32">
        <f t="shared" si="142"/>
        <v>0.13110741238250012</v>
      </c>
      <c r="BC130" s="60" t="str">
        <f t="shared" si="143"/>
        <v>-0.32395209286012+2.63650088462638i</v>
      </c>
      <c r="BD130" s="51">
        <f t="shared" si="144"/>
        <v>8.4856361135718927</v>
      </c>
      <c r="BE130" s="63">
        <f t="shared" si="145"/>
        <v>97.00493449296701</v>
      </c>
      <c r="BF130" s="60" t="str">
        <f t="shared" si="146"/>
        <v>18.9994794746728+44.8079071229313i</v>
      </c>
      <c r="BG130" s="66">
        <f t="shared" si="147"/>
        <v>33.745153332743705</v>
      </c>
      <c r="BH130" s="63">
        <f t="shared" si="148"/>
        <v>67.022050934747497</v>
      </c>
      <c r="BI130" s="60" t="e">
        <f t="shared" si="152"/>
        <v>#NUM!</v>
      </c>
      <c r="BJ130" s="66" t="e">
        <f t="shared" si="149"/>
        <v>#NUM!</v>
      </c>
      <c r="BK130" s="63" t="e">
        <f t="shared" si="153"/>
        <v>#NUM!</v>
      </c>
      <c r="BL130" s="51">
        <f t="shared" si="150"/>
        <v>33.745153332743705</v>
      </c>
      <c r="BM130" s="63">
        <f t="shared" si="151"/>
        <v>67.022050934747497</v>
      </c>
    </row>
    <row r="131" spans="14:65" x14ac:dyDescent="0.3">
      <c r="N131" s="11">
        <v>13</v>
      </c>
      <c r="O131" s="52">
        <f t="shared" si="154"/>
        <v>134.89628825916537</v>
      </c>
      <c r="P131" s="50" t="str">
        <f t="shared" si="103"/>
        <v>21.1560044893378</v>
      </c>
      <c r="Q131" s="18" t="str">
        <f t="shared" si="104"/>
        <v>1+0.590736444145763i</v>
      </c>
      <c r="R131" s="18">
        <f t="shared" si="116"/>
        <v>1.1614514826035482</v>
      </c>
      <c r="S131" s="18">
        <f t="shared" si="117"/>
        <v>0.53358021713391945</v>
      </c>
      <c r="T131" s="18" t="str">
        <f t="shared" si="105"/>
        <v>1+0.00084757837638305i</v>
      </c>
      <c r="U131" s="18">
        <f t="shared" si="118"/>
        <v>1.0000003591944875</v>
      </c>
      <c r="V131" s="18">
        <f t="shared" si="119"/>
        <v>8.475781734194474E-4</v>
      </c>
      <c r="W131" s="32" t="str">
        <f t="shared" si="106"/>
        <v>1-0.000380657980872624i</v>
      </c>
      <c r="X131" s="18">
        <f t="shared" si="120"/>
        <v>1.0000000724502467</v>
      </c>
      <c r="Y131" s="18">
        <f t="shared" si="121"/>
        <v>-3.8065796248678191E-4</v>
      </c>
      <c r="Z131" s="32" t="str">
        <f t="shared" si="107"/>
        <v>0.999999981802991+0.000207754972170529i</v>
      </c>
      <c r="AA131" s="18">
        <f t="shared" si="122"/>
        <v>1.0000000033840553</v>
      </c>
      <c r="AB131" s="18">
        <f t="shared" si="123"/>
        <v>2.0775497296199913E-4</v>
      </c>
      <c r="AC131" s="68" t="str">
        <f t="shared" si="124"/>
        <v>15.685492564082-9.26050919875588i</v>
      </c>
      <c r="AD131" s="66">
        <f t="shared" si="125"/>
        <v>25.208655275913433</v>
      </c>
      <c r="AE131" s="63">
        <f t="shared" si="126"/>
        <v>-30.557045399115399</v>
      </c>
      <c r="AF131" s="51" t="e">
        <f t="shared" si="127"/>
        <v>#NUM!</v>
      </c>
      <c r="AG131" s="51" t="str">
        <f t="shared" si="108"/>
        <v>1-0.363247875592736i</v>
      </c>
      <c r="AH131" s="51">
        <f t="shared" si="128"/>
        <v>1.0639309277968358</v>
      </c>
      <c r="AI131" s="51">
        <f t="shared" si="129"/>
        <v>-0.34842784360412637</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-0.000133283554228113</v>
      </c>
      <c r="AT131" s="32" t="str">
        <f t="shared" si="112"/>
        <v>0.0000517870387970044i</v>
      </c>
      <c r="AU131" s="32">
        <f t="shared" si="137"/>
        <v>5.1787038797004398E-5</v>
      </c>
      <c r="AV131" s="32">
        <f t="shared" si="138"/>
        <v>1.5707963267948966</v>
      </c>
      <c r="AW131" s="32" t="str">
        <f t="shared" si="113"/>
        <v>1+0.00905457991659718i</v>
      </c>
      <c r="AX131" s="32">
        <f t="shared" si="139"/>
        <v>1.0000409918685664</v>
      </c>
      <c r="AY131" s="32">
        <f t="shared" si="140"/>
        <v>9.0543324809305888E-3</v>
      </c>
      <c r="AZ131" s="32" t="str">
        <f t="shared" si="114"/>
        <v>1+0.134935325098558i</v>
      </c>
      <c r="BA131" s="32">
        <f t="shared" si="141"/>
        <v>1.0090627046717431</v>
      </c>
      <c r="BB131" s="32">
        <f t="shared" si="142"/>
        <v>0.13412521010917722</v>
      </c>
      <c r="BC131" s="60" t="str">
        <f t="shared" si="143"/>
        <v>-0.323950897590562+2.57661880471934i</v>
      </c>
      <c r="BD131" s="51">
        <f t="shared" si="144"/>
        <v>8.2891167882387649</v>
      </c>
      <c r="BE131" s="63">
        <f t="shared" si="145"/>
        <v>97.166033428095716</v>
      </c>
      <c r="BF131" s="60" t="str">
        <f t="shared" si="146"/>
        <v>18.7794727475064+43.4154853689817i</v>
      </c>
      <c r="BG131" s="66">
        <f t="shared" si="147"/>
        <v>33.497772064152194</v>
      </c>
      <c r="BH131" s="63">
        <f t="shared" si="148"/>
        <v>66.608988028980306</v>
      </c>
      <c r="BI131" s="60" t="e">
        <f t="shared" si="152"/>
        <v>#NUM!</v>
      </c>
      <c r="BJ131" s="66" t="e">
        <f t="shared" si="149"/>
        <v>#NUM!</v>
      </c>
      <c r="BK131" s="63" t="e">
        <f t="shared" si="153"/>
        <v>#NUM!</v>
      </c>
      <c r="BL131" s="51">
        <f t="shared" si="150"/>
        <v>33.497772064152194</v>
      </c>
      <c r="BM131" s="63">
        <f t="shared" si="151"/>
        <v>66.608988028980306</v>
      </c>
    </row>
    <row r="132" spans="14:65" x14ac:dyDescent="0.3">
      <c r="N132" s="11">
        <v>14</v>
      </c>
      <c r="O132" s="52">
        <f t="shared" si="154"/>
        <v>138.0384264602886</v>
      </c>
      <c r="P132" s="50" t="str">
        <f t="shared" si="103"/>
        <v>21.1560044893378</v>
      </c>
      <c r="Q132" s="18" t="str">
        <f t="shared" si="104"/>
        <v>1+0.604496463579211i</v>
      </c>
      <c r="R132" s="18">
        <f t="shared" si="116"/>
        <v>1.1685101516374483</v>
      </c>
      <c r="S132" s="18">
        <f t="shared" si="117"/>
        <v>0.5437191658328856</v>
      </c>
      <c r="T132" s="18" t="str">
        <f t="shared" si="105"/>
        <v>1+0.000867321012961475i</v>
      </c>
      <c r="U132" s="18">
        <f t="shared" si="118"/>
        <v>1.0000003761227989</v>
      </c>
      <c r="V132" s="18">
        <f t="shared" si="119"/>
        <v>8.6732079548206085E-4</v>
      </c>
      <c r="W132" s="32" t="str">
        <f t="shared" si="106"/>
        <v>1-0.000389524644282698i</v>
      </c>
      <c r="X132" s="18">
        <f t="shared" si="120"/>
        <v>1.0000000758647214</v>
      </c>
      <c r="Y132" s="18">
        <f t="shared" si="121"/>
        <v>-3.8952462458191335E-4</v>
      </c>
      <c r="Z132" s="32" t="str">
        <f t="shared" si="107"/>
        <v>0.999999980945393+0.000212594207133586i</v>
      </c>
      <c r="AA132" s="18">
        <f t="shared" si="122"/>
        <v>1.0000000035435417</v>
      </c>
      <c r="AB132" s="18">
        <f t="shared" si="123"/>
        <v>2.1259420798166144E-4</v>
      </c>
      <c r="AC132" s="68" t="str">
        <f t="shared" si="124"/>
        <v>15.4966729743022-9.36207339384083i</v>
      </c>
      <c r="AD132" s="66">
        <f t="shared" si="125"/>
        <v>25.156027110146496</v>
      </c>
      <c r="AE132" s="63">
        <f t="shared" si="126"/>
        <v>-31.137618489404186</v>
      </c>
      <c r="AF132" s="51" t="e">
        <f t="shared" si="127"/>
        <v>#NUM!</v>
      </c>
      <c r="AG132" s="51" t="str">
        <f t="shared" si="108"/>
        <v>1-0.371709005554918i</v>
      </c>
      <c r="AH132" s="51">
        <f t="shared" si="128"/>
        <v>1.0668493730656761</v>
      </c>
      <c r="AI132" s="51">
        <f t="shared" si="129"/>
        <v>-0.35588229775561914</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-0.000133283554228113</v>
      </c>
      <c r="AT132" s="32" t="str">
        <f t="shared" si="112"/>
        <v>0.0000529933138919461i</v>
      </c>
      <c r="AU132" s="32">
        <f t="shared" si="137"/>
        <v>5.2993313891946099E-5</v>
      </c>
      <c r="AV132" s="32">
        <f t="shared" si="138"/>
        <v>1.5707963267948966</v>
      </c>
      <c r="AW132" s="32" t="str">
        <f t="shared" si="113"/>
        <v>1+0.00926548817669996i</v>
      </c>
      <c r="AX132" s="32">
        <f t="shared" si="139"/>
        <v>1.0000429237143538</v>
      </c>
      <c r="AY132" s="32">
        <f t="shared" si="140"/>
        <v>9.2652230452210192E-3</v>
      </c>
      <c r="AZ132" s="32" t="str">
        <f t="shared" si="114"/>
        <v>1+0.13807837258448i</v>
      </c>
      <c r="BA132" s="32">
        <f t="shared" si="141"/>
        <v>1.0094878092258364</v>
      </c>
      <c r="BB132" s="32">
        <f t="shared" si="142"/>
        <v>0.13721075875774849</v>
      </c>
      <c r="BC132" s="60" t="str">
        <f t="shared" si="143"/>
        <v>-0.323949645999142+2.51810288118786i</v>
      </c>
      <c r="BD132" s="51">
        <f t="shared" si="144"/>
        <v>8.0927584871163614</v>
      </c>
      <c r="BE132" s="63">
        <f t="shared" si="145"/>
        <v>97.330739203868163</v>
      </c>
      <c r="BF132" s="60" t="str">
        <f t="shared" si="146"/>
        <v>18.5545222627331+42.0550572271691i</v>
      </c>
      <c r="BG132" s="66">
        <f t="shared" si="147"/>
        <v>33.248785597262852</v>
      </c>
      <c r="BH132" s="63">
        <f t="shared" si="148"/>
        <v>66.193120714463987</v>
      </c>
      <c r="BI132" s="60" t="e">
        <f t="shared" si="152"/>
        <v>#NUM!</v>
      </c>
      <c r="BJ132" s="66" t="e">
        <f t="shared" si="149"/>
        <v>#NUM!</v>
      </c>
      <c r="BK132" s="63" t="e">
        <f t="shared" si="153"/>
        <v>#NUM!</v>
      </c>
      <c r="BL132" s="51">
        <f t="shared" si="150"/>
        <v>33.248785597262852</v>
      </c>
      <c r="BM132" s="63">
        <f t="shared" si="151"/>
        <v>66.193120714463987</v>
      </c>
    </row>
    <row r="133" spans="14:65" x14ac:dyDescent="0.3">
      <c r="N133" s="11">
        <v>15</v>
      </c>
      <c r="O133" s="52">
        <f t="shared" si="154"/>
        <v>141.25375446227542</v>
      </c>
      <c r="P133" s="50" t="str">
        <f t="shared" si="103"/>
        <v>21.1560044893378</v>
      </c>
      <c r="Q133" s="18" t="str">
        <f t="shared" si="104"/>
        <v>1+0.618576995039104i</v>
      </c>
      <c r="R133" s="18">
        <f t="shared" si="116"/>
        <v>1.1758560706105181</v>
      </c>
      <c r="S133" s="18">
        <f t="shared" si="117"/>
        <v>0.5539671865247463</v>
      </c>
      <c r="T133" s="18" t="str">
        <f t="shared" si="105"/>
        <v>1+0.000887523514621322i</v>
      </c>
      <c r="U133" s="18">
        <f t="shared" si="118"/>
        <v>1.000000393848917</v>
      </c>
      <c r="V133" s="18">
        <f t="shared" si="119"/>
        <v>8.8752328158793622E-4</v>
      </c>
      <c r="W133" s="32" t="str">
        <f t="shared" si="106"/>
        <v>1-0.000398597838815138i</v>
      </c>
      <c r="X133" s="18">
        <f t="shared" si="120"/>
        <v>1.0000000794401154</v>
      </c>
      <c r="Y133" s="18">
        <f t="shared" si="121"/>
        <v>-3.9859781770536695E-4</v>
      </c>
      <c r="Z133" s="32" t="str">
        <f t="shared" si="107"/>
        <v>0.999999980047377+0.000217546162359282i</v>
      </c>
      <c r="AA133" s="18">
        <f t="shared" si="122"/>
        <v>1.0000000037105434</v>
      </c>
      <c r="AB133" s="18">
        <f t="shared" si="123"/>
        <v>2.1754616326801119E-4</v>
      </c>
      <c r="AC133" s="68" t="str">
        <f t="shared" si="124"/>
        <v>15.3037691383165-9.46081822202435i</v>
      </c>
      <c r="AD133" s="66">
        <f t="shared" si="125"/>
        <v>25.101593775857616</v>
      </c>
      <c r="AE133" s="63">
        <f t="shared" si="126"/>
        <v>-31.724432888031952</v>
      </c>
      <c r="AF133" s="51" t="e">
        <f t="shared" si="127"/>
        <v>#NUM!</v>
      </c>
      <c r="AG133" s="51" t="str">
        <f t="shared" si="108"/>
        <v>1-0.380367220551996i</v>
      </c>
      <c r="AH133" s="51">
        <f t="shared" si="128"/>
        <v>1.0698968279560654</v>
      </c>
      <c r="AI133" s="51">
        <f t="shared" si="129"/>
        <v>-0.36346785560099121</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-0.000133283554228113</v>
      </c>
      <c r="AT133" s="32" t="str">
        <f t="shared" si="112"/>
        <v>0.0000542276867433628i</v>
      </c>
      <c r="AU133" s="32">
        <f t="shared" si="137"/>
        <v>5.42276867433628E-5</v>
      </c>
      <c r="AV133" s="32">
        <f t="shared" si="138"/>
        <v>1.5707963267948966</v>
      </c>
      <c r="AW133" s="32" t="str">
        <f t="shared" si="113"/>
        <v>1+0.00948130912127724i</v>
      </c>
      <c r="AX133" s="32">
        <f t="shared" si="139"/>
        <v>1.000044946601228</v>
      </c>
      <c r="AY133" s="32">
        <f t="shared" si="140"/>
        <v>9.4810250284687349E-3</v>
      </c>
      <c r="AZ133" s="32" t="str">
        <f t="shared" si="114"/>
        <v>1+0.141294631051229i</v>
      </c>
      <c r="BA133" s="32">
        <f t="shared" si="141"/>
        <v>1.0099327565555554</v>
      </c>
      <c r="BB133" s="32">
        <f t="shared" si="142"/>
        <v>0.14036545919267734</v>
      </c>
      <c r="BC133" s="60" t="str">
        <f t="shared" si="143"/>
        <v>-0.323948335432397+2.46092208804174i</v>
      </c>
      <c r="BD133" s="51">
        <f t="shared" si="144"/>
        <v>7.8965685137353319</v>
      </c>
      <c r="BE133" s="63">
        <f t="shared" si="145"/>
        <v>97.499125681567008</v>
      </c>
      <c r="BF133" s="60" t="str">
        <f t="shared" si="146"/>
        <v>18.3247059953282+40.7261998176279i</v>
      </c>
      <c r="BG133" s="66">
        <f t="shared" si="147"/>
        <v>32.998162289592955</v>
      </c>
      <c r="BH133" s="63">
        <f t="shared" si="148"/>
        <v>65.774692793535081</v>
      </c>
      <c r="BI133" s="60" t="e">
        <f t="shared" si="152"/>
        <v>#NUM!</v>
      </c>
      <c r="BJ133" s="66" t="e">
        <f t="shared" si="149"/>
        <v>#NUM!</v>
      </c>
      <c r="BK133" s="63" t="e">
        <f t="shared" si="153"/>
        <v>#NUM!</v>
      </c>
      <c r="BL133" s="51">
        <f t="shared" si="150"/>
        <v>32.998162289592955</v>
      </c>
      <c r="BM133" s="63">
        <f t="shared" si="151"/>
        <v>65.774692793535081</v>
      </c>
    </row>
    <row r="134" spans="14:65" x14ac:dyDescent="0.3">
      <c r="N134" s="11">
        <v>16</v>
      </c>
      <c r="O134" s="52">
        <f t="shared" si="154"/>
        <v>144.54397707459285</v>
      </c>
      <c r="P134" s="50" t="str">
        <f t="shared" si="103"/>
        <v>21.1560044893378</v>
      </c>
      <c r="Q134" s="18" t="str">
        <f t="shared" si="104"/>
        <v>1+0.632985504209603i</v>
      </c>
      <c r="R134" s="18">
        <f t="shared" si="116"/>
        <v>1.1834993234216424</v>
      </c>
      <c r="S134" s="18">
        <f t="shared" si="117"/>
        <v>0.56432110228679999</v>
      </c>
      <c r="T134" s="18" t="str">
        <f t="shared" si="105"/>
        <v>1+0.000908196592996385i</v>
      </c>
      <c r="U134" s="18">
        <f t="shared" si="118"/>
        <v>1.0000004124104407</v>
      </c>
      <c r="V134" s="18">
        <f t="shared" si="119"/>
        <v>9.0819634329661889E-4</v>
      </c>
      <c r="W134" s="32" t="str">
        <f t="shared" si="106"/>
        <v>1-0.000407882375197785i</v>
      </c>
      <c r="X134" s="18">
        <f t="shared" si="120"/>
        <v>1.0000000831840126</v>
      </c>
      <c r="Y134" s="18">
        <f t="shared" si="121"/>
        <v>-4.0788235257825791E-4</v>
      </c>
      <c r="Z134" s="32" t="str">
        <f t="shared" si="107"/>
        <v>0.999999979107039+0.000222613463439824i</v>
      </c>
      <c r="AA134" s="18">
        <f t="shared" si="122"/>
        <v>1.0000000038854162</v>
      </c>
      <c r="AB134" s="18">
        <f t="shared" si="123"/>
        <v>2.2261346441354487E-4</v>
      </c>
      <c r="AC134" s="68" t="str">
        <f t="shared" si="124"/>
        <v>15.1068582119036-9.5565472258903i</v>
      </c>
      <c r="AD134" s="66">
        <f t="shared" si="125"/>
        <v>25.04531700124101</v>
      </c>
      <c r="AE134" s="63">
        <f t="shared" si="126"/>
        <v>-32.317306383078275</v>
      </c>
      <c r="AF134" s="51" t="e">
        <f t="shared" si="127"/>
        <v>#NUM!</v>
      </c>
      <c r="AG134" s="51" t="str">
        <f t="shared" si="108"/>
        <v>1-0.389227111284166i</v>
      </c>
      <c r="AH134" s="51">
        <f t="shared" si="128"/>
        <v>1.07307862906621</v>
      </c>
      <c r="AI134" s="51">
        <f t="shared" si="129"/>
        <v>-0.37118504627685311</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-0.000133283554228113</v>
      </c>
      <c r="AT134" s="32" t="str">
        <f t="shared" si="112"/>
        <v>0.0000554908118320791i</v>
      </c>
      <c r="AU134" s="32">
        <f t="shared" si="137"/>
        <v>5.54908118320791E-5</v>
      </c>
      <c r="AV134" s="32">
        <f t="shared" si="138"/>
        <v>1.5707963267948966</v>
      </c>
      <c r="AW134" s="32" t="str">
        <f t="shared" si="113"/>
        <v>1+0.0097021571814506i</v>
      </c>
      <c r="AX134" s="32">
        <f t="shared" si="139"/>
        <v>1.0000470648194382</v>
      </c>
      <c r="AY134" s="32">
        <f t="shared" si="140"/>
        <v>9.7018527712955539E-3</v>
      </c>
      <c r="AZ134" s="32" t="str">
        <f t="shared" si="114"/>
        <v>1+0.144585805801617i</v>
      </c>
      <c r="BA134" s="32">
        <f t="shared" si="141"/>
        <v>1.0103984635970618</v>
      </c>
      <c r="BB134" s="32">
        <f t="shared" si="142"/>
        <v>0.14359073277807247</v>
      </c>
      <c r="BC134" s="60" t="str">
        <f t="shared" si="143"/>
        <v>-0.323946963111913+2.40504610718944i</v>
      </c>
      <c r="BD134" s="51">
        <f t="shared" si="144"/>
        <v>7.7005544891140234</v>
      </c>
      <c r="BE134" s="63">
        <f t="shared" si="145"/>
        <v>97.671267748121835</v>
      </c>
      <c r="BF134" s="60" t="str">
        <f t="shared" si="146"/>
        <v>18.0901158638911+39.4285049860643i</v>
      </c>
      <c r="BG134" s="66">
        <f t="shared" si="147"/>
        <v>32.745871490355036</v>
      </c>
      <c r="BH134" s="63">
        <f t="shared" si="148"/>
        <v>65.353961365043531</v>
      </c>
      <c r="BI134" s="60" t="e">
        <f t="shared" si="152"/>
        <v>#NUM!</v>
      </c>
      <c r="BJ134" s="66" t="e">
        <f t="shared" si="149"/>
        <v>#NUM!</v>
      </c>
      <c r="BK134" s="63" t="e">
        <f t="shared" si="153"/>
        <v>#NUM!</v>
      </c>
      <c r="BL134" s="51">
        <f t="shared" si="150"/>
        <v>32.745871490355036</v>
      </c>
      <c r="BM134" s="63">
        <f t="shared" si="151"/>
        <v>65.353961365043531</v>
      </c>
    </row>
    <row r="135" spans="14:65" x14ac:dyDescent="0.3">
      <c r="N135" s="11">
        <v>17</v>
      </c>
      <c r="O135" s="52">
        <f t="shared" si="154"/>
        <v>147.91083881682084</v>
      </c>
      <c r="P135" s="50" t="str">
        <f t="shared" si="103"/>
        <v>21.1560044893378</v>
      </c>
      <c r="Q135" s="18" t="str">
        <f t="shared" si="104"/>
        <v>1+0.647729630672986i</v>
      </c>
      <c r="R135" s="18">
        <f t="shared" si="116"/>
        <v>1.1914502400233771</v>
      </c>
      <c r="S135" s="18">
        <f t="shared" si="117"/>
        <v>0.57477752274800753</v>
      </c>
      <c r="T135" s="18" t="str">
        <f t="shared" si="105"/>
        <v>1+0.000929351209226457i</v>
      </c>
      <c r="U135" s="18">
        <f t="shared" si="118"/>
        <v>1.0000004318467419</v>
      </c>
      <c r="V135" s="18">
        <f t="shared" si="119"/>
        <v>9.2935094166834346E-4</v>
      </c>
      <c r="W135" s="32" t="str">
        <f t="shared" si="106"/>
        <v>1-0.000417383176214723i</v>
      </c>
      <c r="X135" s="18">
        <f t="shared" si="120"/>
        <v>1.0000000871043542</v>
      </c>
      <c r="Y135" s="18">
        <f t="shared" si="121"/>
        <v>-4.1738315197746318E-4</v>
      </c>
      <c r="Z135" s="32" t="str">
        <f t="shared" si="107"/>
        <v>0.999999978122384+0.00022779879712532i</v>
      </c>
      <c r="AA135" s="18">
        <f t="shared" si="122"/>
        <v>1.0000000040685302</v>
      </c>
      <c r="AB135" s="18">
        <f t="shared" si="123"/>
        <v>2.2779879816868067E-4</v>
      </c>
      <c r="AC135" s="68" t="str">
        <f t="shared" si="124"/>
        <v>14.9060292568619-9.64906494187302i</v>
      </c>
      <c r="AD135" s="66">
        <f t="shared" si="125"/>
        <v>24.987159300395184</v>
      </c>
      <c r="AE135" s="63">
        <f t="shared" si="126"/>
        <v>-32.916044528562821</v>
      </c>
      <c r="AF135" s="51" t="e">
        <f t="shared" si="127"/>
        <v>#NUM!</v>
      </c>
      <c r="AG135" s="51" t="str">
        <f t="shared" si="108"/>
        <v>1-0.398293375382768i</v>
      </c>
      <c r="AH135" s="51">
        <f t="shared" si="128"/>
        <v>1.0764003032672365</v>
      </c>
      <c r="AI135" s="51">
        <f t="shared" si="129"/>
        <v>-0.37903428374274434</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-0.000133283554228113</v>
      </c>
      <c r="AT135" s="32" t="str">
        <f t="shared" si="112"/>
        <v>0.0000567833588837365i</v>
      </c>
      <c r="AU135" s="32">
        <f t="shared" si="137"/>
        <v>5.6783358883736499E-5</v>
      </c>
      <c r="AV135" s="32">
        <f t="shared" si="138"/>
        <v>1.5707963267948966</v>
      </c>
      <c r="AW135" s="32" t="str">
        <f t="shared" si="113"/>
        <v>1+0.00992814945378479i</v>
      </c>
      <c r="AX135" s="32">
        <f t="shared" si="139"/>
        <v>1.0000492828613881</v>
      </c>
      <c r="AY135" s="32">
        <f t="shared" si="140"/>
        <v>9.9278232732950989E-3</v>
      </c>
      <c r="AZ135" s="32" t="str">
        <f t="shared" si="114"/>
        <v>1+0.147953641860061i</v>
      </c>
      <c r="BA135" s="32">
        <f t="shared" si="141"/>
        <v>1.0108858887825347</v>
      </c>
      <c r="BB135" s="32">
        <f t="shared" si="142"/>
        <v>0.14688802105203258</v>
      </c>
      <c r="BC135" s="60" t="str">
        <f t="shared" si="143"/>
        <v>-0.323945526128417+2.35044531236253i</v>
      </c>
      <c r="BD135" s="51">
        <f t="shared" si="144"/>
        <v>7.5047243642596682</v>
      </c>
      <c r="BE135" s="63">
        <f t="shared" si="145"/>
        <v>97.847241293998636</v>
      </c>
      <c r="BF135" s="60" t="str">
        <f t="shared" si="146"/>
        <v>17.8508579712074+38.1615780119721i</v>
      </c>
      <c r="BG135" s="66">
        <f t="shared" si="147"/>
        <v>32.491883664654857</v>
      </c>
      <c r="BH135" s="63">
        <f t="shared" si="148"/>
        <v>64.931196765435786</v>
      </c>
      <c r="BI135" s="60" t="e">
        <f t="shared" si="152"/>
        <v>#NUM!</v>
      </c>
      <c r="BJ135" s="66" t="e">
        <f t="shared" si="149"/>
        <v>#NUM!</v>
      </c>
      <c r="BK135" s="63" t="e">
        <f t="shared" si="153"/>
        <v>#NUM!</v>
      </c>
      <c r="BL135" s="51">
        <f t="shared" si="150"/>
        <v>32.491883664654857</v>
      </c>
      <c r="BM135" s="63">
        <f t="shared" si="151"/>
        <v>64.931196765435786</v>
      </c>
    </row>
    <row r="136" spans="14:65" x14ac:dyDescent="0.3">
      <c r="N136" s="11">
        <v>18</v>
      </c>
      <c r="O136" s="52">
        <f t="shared" si="154"/>
        <v>151.3561248436209</v>
      </c>
      <c r="P136" s="50" t="str">
        <f t="shared" si="103"/>
        <v>21.1560044893378</v>
      </c>
      <c r="Q136" s="18" t="str">
        <f t="shared" si="104"/>
        <v>1+0.662817191960267i</v>
      </c>
      <c r="R136" s="18">
        <f t="shared" si="116"/>
        <v>1.1997193963415336</v>
      </c>
      <c r="S136" s="18">
        <f t="shared" si="117"/>
        <v>0.58533284562152321</v>
      </c>
      <c r="T136" s="18" t="str">
        <f t="shared" si="105"/>
        <v>1+0.000950998579769078i</v>
      </c>
      <c r="U136" s="18">
        <f t="shared" si="118"/>
        <v>1.0000004521990471</v>
      </c>
      <c r="V136" s="18">
        <f t="shared" si="119"/>
        <v>9.5099829307540107E-4</v>
      </c>
      <c r="W136" s="32" t="str">
        <f t="shared" si="106"/>
        <v>1-0.000427105279316408i</v>
      </c>
      <c r="X136" s="18">
        <f t="shared" si="120"/>
        <v>1.0000000912094555</v>
      </c>
      <c r="Y136" s="18">
        <f t="shared" si="121"/>
        <v>-4.2710525334571631E-4</v>
      </c>
      <c r="Z136" s="32" t="str">
        <f t="shared" si="107"/>
        <v>0.999999977091323+0.000233104912748325i</v>
      </c>
      <c r="AA136" s="18">
        <f t="shared" si="122"/>
        <v>1.0000000042602735</v>
      </c>
      <c r="AB136" s="18">
        <f t="shared" si="123"/>
        <v>2.3310491386630629E-4</v>
      </c>
      <c r="AC136" s="68" t="str">
        <f t="shared" si="124"/>
        <v>14.701383381493-9.73817773272624i</v>
      </c>
      <c r="AD136" s="66">
        <f t="shared" si="125"/>
        <v>24.9270840866421</v>
      </c>
      <c r="AE136" s="63">
        <f t="shared" si="126"/>
        <v>-33.520440732151421</v>
      </c>
      <c r="AF136" s="51" t="e">
        <f t="shared" si="127"/>
        <v>#NUM!</v>
      </c>
      <c r="AG136" s="51" t="str">
        <f t="shared" si="108"/>
        <v>1-0.407570819901034i</v>
      </c>
      <c r="AH136" s="51">
        <f t="shared" si="128"/>
        <v>1.0798675720822444</v>
      </c>
      <c r="AI136" s="51">
        <f t="shared" si="129"/>
        <v>-0.38701585997276799</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-0.000133283554228113</v>
      </c>
      <c r="AT136" s="32" t="str">
        <f t="shared" si="112"/>
        <v>0.0000581060132238907i</v>
      </c>
      <c r="AU136" s="32">
        <f t="shared" si="137"/>
        <v>5.8106013223890701E-5</v>
      </c>
      <c r="AV136" s="32">
        <f t="shared" si="138"/>
        <v>1.5707963267948966</v>
      </c>
      <c r="AW136" s="32" t="str">
        <f t="shared" si="113"/>
        <v>1+0.010159405762374i</v>
      </c>
      <c r="AX136" s="32">
        <f t="shared" si="139"/>
        <v>1.0000516054311621</v>
      </c>
      <c r="AY136" s="32">
        <f t="shared" si="140"/>
        <v>1.0159056254656381E-2</v>
      </c>
      <c r="AZ136" s="32" t="str">
        <f t="shared" si="114"/>
        <v>1+0.151399924897817i</v>
      </c>
      <c r="BA136" s="32">
        <f t="shared" si="141"/>
        <v>1.0113960338359373</v>
      </c>
      <c r="BB136" s="32">
        <f t="shared" si="142"/>
        <v>0.15025878534344242</v>
      </c>
      <c r="BC136" s="60" t="str">
        <f t="shared" si="143"/>
        <v>-0.323944021435641+2.2970907534071i</v>
      </c>
      <c r="BD136" s="51">
        <f t="shared" si="144"/>
        <v>7.3090864330384751</v>
      </c>
      <c r="BE136" s="63">
        <f t="shared" si="145"/>
        <v>98.027123187713642</v>
      </c>
      <c r="BF136" s="60" t="str">
        <f t="shared" si="146"/>
        <v>17.6070527716124+36.9250362841147i</v>
      </c>
      <c r="BG136" s="66">
        <f t="shared" si="147"/>
        <v>32.236170519680563</v>
      </c>
      <c r="BH136" s="63">
        <f t="shared" si="148"/>
        <v>64.506682455562228</v>
      </c>
      <c r="BI136" s="60" t="e">
        <f t="shared" si="152"/>
        <v>#NUM!</v>
      </c>
      <c r="BJ136" s="66" t="e">
        <f t="shared" si="149"/>
        <v>#NUM!</v>
      </c>
      <c r="BK136" s="63" t="e">
        <f t="shared" si="153"/>
        <v>#NUM!</v>
      </c>
      <c r="BL136" s="51">
        <f t="shared" si="150"/>
        <v>32.236170519680563</v>
      </c>
      <c r="BM136" s="63">
        <f t="shared" si="151"/>
        <v>64.506682455562228</v>
      </c>
    </row>
    <row r="137" spans="14:65" x14ac:dyDescent="0.3">
      <c r="N137" s="11">
        <v>19</v>
      </c>
      <c r="O137" s="52">
        <f t="shared" si="154"/>
        <v>154.8816618912482</v>
      </c>
      <c r="P137" s="50" t="str">
        <f t="shared" si="103"/>
        <v>21.1560044893378</v>
      </c>
      <c r="Q137" s="18" t="str">
        <f t="shared" si="104"/>
        <v>1+0.678256187696149i</v>
      </c>
      <c r="R137" s="18">
        <f t="shared" si="116"/>
        <v>1.2083176139360519</v>
      </c>
      <c r="S137" s="18">
        <f t="shared" si="117"/>
        <v>0.59598325915986206</v>
      </c>
      <c r="T137" s="18" t="str">
        <f t="shared" si="105"/>
        <v>1+0.000973150182346647i</v>
      </c>
      <c r="U137" s="18">
        <f t="shared" si="118"/>
        <v>1.0000004735105266</v>
      </c>
      <c r="V137" s="18">
        <f t="shared" si="119"/>
        <v>9.7314987514884529E-4</v>
      </c>
      <c r="W137" s="32" t="str">
        <f t="shared" si="106"/>
        <v>1-0.000437053839290595i</v>
      </c>
      <c r="X137" s="18">
        <f t="shared" si="120"/>
        <v>1.0000000955080246</v>
      </c>
      <c r="Y137" s="18">
        <f t="shared" si="121"/>
        <v>-4.3705381146249764E-4</v>
      </c>
      <c r="Z137" s="32" t="str">
        <f t="shared" si="107"/>
        <v>0.999999976011671+0.000238534623681578i</v>
      </c>
      <c r="AA137" s="18">
        <f t="shared" si="122"/>
        <v>1.0000000044610546</v>
      </c>
      <c r="AB137" s="18">
        <f t="shared" si="123"/>
        <v>2.3853462487951634E-4</v>
      </c>
      <c r="AC137" s="68" t="str">
        <f t="shared" si="124"/>
        <v>14.4930338148957-9.82369464884615i</v>
      </c>
      <c r="AD137" s="66">
        <f t="shared" si="125"/>
        <v>24.865055786866375</v>
      </c>
      <c r="AE137" s="63">
        <f t="shared" si="126"/>
        <v>-34.130276395722127</v>
      </c>
      <c r="AF137" s="51" t="e">
        <f t="shared" si="127"/>
        <v>#NUM!</v>
      </c>
      <c r="AG137" s="51" t="str">
        <f t="shared" si="108"/>
        <v>1-0.417064363862849i</v>
      </c>
      <c r="AH137" s="51">
        <f t="shared" si="128"/>
        <v>1.0834863559843857</v>
      </c>
      <c r="AI137" s="51">
        <f t="shared" si="129"/>
        <v>-0.39512993809757935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-0.000133283554228113</v>
      </c>
      <c r="AT137" s="32" t="str">
        <f t="shared" si="112"/>
        <v>0.0000594594761413801i</v>
      </c>
      <c r="AU137" s="32">
        <f t="shared" si="137"/>
        <v>5.9459476141380102E-5</v>
      </c>
      <c r="AV137" s="32">
        <f t="shared" si="138"/>
        <v>1.5707963267948966</v>
      </c>
      <c r="AW137" s="32" t="str">
        <f t="shared" si="113"/>
        <v>1+0.010396048722374i</v>
      </c>
      <c r="AX137" s="32">
        <f t="shared" si="139"/>
        <v>1.0000540374544957</v>
      </c>
      <c r="AY137" s="32">
        <f t="shared" si="140"/>
        <v>1.0395674219200166E-2</v>
      </c>
      <c r="AZ137" s="32" t="str">
        <f t="shared" si="114"/>
        <v>1+0.154926482179768i</v>
      </c>
      <c r="BA137" s="32">
        <f t="shared" si="141"/>
        <v>1.0119299456388264</v>
      </c>
      <c r="BB137" s="32">
        <f t="shared" si="142"/>
        <v>0.1537045063271546</v>
      </c>
      <c r="BC137" s="60" t="str">
        <f t="shared" si="143"/>
        <v>-0.323942445843858+2.24495414093361i</v>
      </c>
      <c r="BD137" s="51">
        <f t="shared" si="144"/>
        <v>7.1136493454124405</v>
      </c>
      <c r="BE137" s="63">
        <f t="shared" si="145"/>
        <v>98.21099124673465</v>
      </c>
      <c r="BF137" s="60" t="str">
        <f t="shared" si="146"/>
        <v>17.3588351594995+35.7185079492114i</v>
      </c>
      <c r="BG137" s="66">
        <f t="shared" si="147"/>
        <v>31.978705132278826</v>
      </c>
      <c r="BH137" s="63">
        <f t="shared" si="148"/>
        <v>64.080714851012488</v>
      </c>
      <c r="BI137" s="60" t="e">
        <f t="shared" si="152"/>
        <v>#NUM!</v>
      </c>
      <c r="BJ137" s="66" t="e">
        <f t="shared" si="149"/>
        <v>#NUM!</v>
      </c>
      <c r="BK137" s="63" t="e">
        <f t="shared" si="153"/>
        <v>#NUM!</v>
      </c>
      <c r="BL137" s="51">
        <f t="shared" si="150"/>
        <v>31.978705132278826</v>
      </c>
      <c r="BM137" s="63">
        <f t="shared" si="151"/>
        <v>64.080714851012488</v>
      </c>
    </row>
    <row r="138" spans="14:65" x14ac:dyDescent="0.3">
      <c r="N138" s="11">
        <v>20</v>
      </c>
      <c r="O138" s="52">
        <f t="shared" si="154"/>
        <v>158.48931924611153</v>
      </c>
      <c r="P138" s="50" t="str">
        <f t="shared" si="103"/>
        <v>21.1560044893378</v>
      </c>
      <c r="Q138" s="18" t="str">
        <f t="shared" si="104"/>
        <v>1+0.69405480384053i</v>
      </c>
      <c r="R138" s="18">
        <f t="shared" si="116"/>
        <v>1.2172559594161436</v>
      </c>
      <c r="S138" s="18">
        <f t="shared" si="117"/>
        <v>0.6067247455610445</v>
      </c>
      <c r="T138" s="18" t="str">
        <f t="shared" si="105"/>
        <v>1+0.000995817762032063i</v>
      </c>
      <c r="U138" s="18">
        <f t="shared" si="118"/>
        <v>1.0000004958263846</v>
      </c>
      <c r="V138" s="18">
        <f t="shared" si="119"/>
        <v>9.958174328636969E-4</v>
      </c>
      <c r="W138" s="32" t="str">
        <f t="shared" si="106"/>
        <v>1-0.000447234130995465i</v>
      </c>
      <c r="X138" s="18">
        <f t="shared" si="120"/>
        <v>1.0000001000091789</v>
      </c>
      <c r="Y138" s="18">
        <f t="shared" si="121"/>
        <v>-4.4723410117712155E-4</v>
      </c>
      <c r="Z138" s="32" t="str">
        <f t="shared" si="107"/>
        <v>0.999999974881136+0.000244090808829685i</v>
      </c>
      <c r="AA138" s="18">
        <f t="shared" si="122"/>
        <v>1.0000000046712978</v>
      </c>
      <c r="AB138" s="18">
        <f t="shared" si="123"/>
        <v>2.4409081011329906E-4</v>
      </c>
      <c r="AC138" s="68" t="str">
        <f t="shared" si="124"/>
        <v>14.2811059107655-9.90542831266017i</v>
      </c>
      <c r="AD138" s="66">
        <f t="shared" si="125"/>
        <v>24.801039956226528</v>
      </c>
      <c r="AE138" s="63">
        <f t="shared" si="126"/>
        <v>-34.745321110417152</v>
      </c>
      <c r="AF138" s="51" t="e">
        <f t="shared" si="127"/>
        <v>#NUM!</v>
      </c>
      <c r="AG138" s="51" t="str">
        <f t="shared" si="108"/>
        <v>1-0.426779040870885i</v>
      </c>
      <c r="AH138" s="51">
        <f t="shared" si="128"/>
        <v>1.0872627785989331</v>
      </c>
      <c r="AI138" s="51">
        <f t="shared" si="129"/>
        <v>-0.40337654552667135</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-0.000133283554228113</v>
      </c>
      <c r="AT138" s="32" t="str">
        <f t="shared" si="112"/>
        <v>0.000060844465260159i</v>
      </c>
      <c r="AU138" s="32">
        <f t="shared" si="137"/>
        <v>6.0844465260159001E-5</v>
      </c>
      <c r="AV138" s="32">
        <f t="shared" si="138"/>
        <v>1.5707963267948966</v>
      </c>
      <c r="AW138" s="32" t="str">
        <f t="shared" si="113"/>
        <v>1+0.0106382038050146i</v>
      </c>
      <c r="AX138" s="32">
        <f t="shared" si="139"/>
        <v>1.0000565840892188</v>
      </c>
      <c r="AY138" s="32">
        <f t="shared" si="140"/>
        <v>1.0637802518860236E-2</v>
      </c>
      <c r="AZ138" s="32" t="str">
        <f t="shared" si="114"/>
        <v>1+0.158535183533266i</v>
      </c>
      <c r="BA138" s="32">
        <f t="shared" si="141"/>
        <v>1.0124887181682205</v>
      </c>
      <c r="BB138" s="32">
        <f t="shared" si="142"/>
        <v>0.15722668351329272</v>
      </c>
      <c r="BC138" s="60" t="str">
        <f t="shared" si="143"/>
        <v>-0.323940796013152+2.19400783131695i</v>
      </c>
      <c r="BD138" s="51">
        <f t="shared" si="144"/>
        <v>6.9184221210393551</v>
      </c>
      <c r="BE138" s="63">
        <f t="shared" si="145"/>
        <v>98.39892420452648</v>
      </c>
      <c r="BF138" s="60" t="str">
        <f t="shared" si="146"/>
        <v>17.1063544738436+34.5416305405406i</v>
      </c>
      <c r="BG138" s="66">
        <f t="shared" si="147"/>
        <v>31.719462077265881</v>
      </c>
      <c r="BH138" s="63">
        <f t="shared" si="148"/>
        <v>63.653603094109236</v>
      </c>
      <c r="BI138" s="60" t="e">
        <f t="shared" si="152"/>
        <v>#NUM!</v>
      </c>
      <c r="BJ138" s="66" t="e">
        <f t="shared" si="149"/>
        <v>#NUM!</v>
      </c>
      <c r="BK138" s="63" t="e">
        <f t="shared" si="153"/>
        <v>#NUM!</v>
      </c>
      <c r="BL138" s="51">
        <f t="shared" si="150"/>
        <v>31.719462077265881</v>
      </c>
      <c r="BM138" s="63">
        <f t="shared" si="151"/>
        <v>63.653603094109236</v>
      </c>
    </row>
    <row r="139" spans="14:65" x14ac:dyDescent="0.3">
      <c r="N139" s="11">
        <v>21</v>
      </c>
      <c r="O139" s="52">
        <f t="shared" si="154"/>
        <v>162.18100973589304</v>
      </c>
      <c r="P139" s="50" t="str">
        <f t="shared" si="103"/>
        <v>21.1560044893378</v>
      </c>
      <c r="Q139" s="18" t="str">
        <f t="shared" si="104"/>
        <v>1+0.710221417028805i</v>
      </c>
      <c r="R139" s="18">
        <f t="shared" si="116"/>
        <v>1.2265457436257337</v>
      </c>
      <c r="S139" s="18">
        <f t="shared" si="117"/>
        <v>0.61755308534739495</v>
      </c>
      <c r="T139" s="18" t="str">
        <f t="shared" si="105"/>
        <v>1+0.00101901333747611i</v>
      </c>
      <c r="U139" s="18">
        <f t="shared" si="118"/>
        <v>1.0000005191939561</v>
      </c>
      <c r="V139" s="18">
        <f t="shared" si="119"/>
        <v>1.0190129847658608E-3</v>
      </c>
      <c r="W139" s="32" t="str">
        <f t="shared" si="106"/>
        <v>1-0.000457651552156431i</v>
      </c>
      <c r="X139" s="18">
        <f t="shared" si="120"/>
        <v>1.000000104722466</v>
      </c>
      <c r="Y139" s="18">
        <f t="shared" si="121"/>
        <v>-4.5765152020550053E-4</v>
      </c>
      <c r="Z139" s="32" t="str">
        <f t="shared" si="107"/>
        <v>0.99999997369732+0.000249776414155557i</v>
      </c>
      <c r="AA139" s="18">
        <f t="shared" si="122"/>
        <v>1.0000000048914488</v>
      </c>
      <c r="AB139" s="18">
        <f t="shared" si="123"/>
        <v>2.4977641553097432E-4</v>
      </c>
      <c r="AC139" s="68" t="str">
        <f t="shared" si="124"/>
        <v>14.0657370769427-9.98319581967091i</v>
      </c>
      <c r="AD139" s="66">
        <f t="shared" si="125"/>
        <v>24.735003392554109</v>
      </c>
      <c r="AE139" s="63">
        <f t="shared" si="126"/>
        <v>-35.365332907419351</v>
      </c>
      <c r="AF139" s="51" t="e">
        <f t="shared" si="127"/>
        <v>#NUM!</v>
      </c>
      <c r="AG139" s="51" t="str">
        <f t="shared" si="108"/>
        <v>1-0.436720001775476i</v>
      </c>
      <c r="AH139" s="51">
        <f t="shared" si="128"/>
        <v>1.0912031707939507</v>
      </c>
      <c r="AI139" s="51">
        <f t="shared" si="129"/>
        <v>-0.41175556708381178</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-0.000133283554228113</v>
      </c>
      <c r="AT139" s="32" t="str">
        <f t="shared" si="112"/>
        <v>0.0000622617149197905i</v>
      </c>
      <c r="AU139" s="32">
        <f t="shared" si="137"/>
        <v>6.2261714919790501E-5</v>
      </c>
      <c r="AV139" s="32">
        <f t="shared" si="138"/>
        <v>1.5707963267948966</v>
      </c>
      <c r="AW139" s="32" t="str">
        <f t="shared" si="113"/>
        <v>1+0.0108859994041259i</v>
      </c>
      <c r="AX139" s="32">
        <f t="shared" si="139"/>
        <v>1.0000592507361885</v>
      </c>
      <c r="AY139" s="32">
        <f t="shared" si="140"/>
        <v>1.0885569419640464E-2</v>
      </c>
      <c r="AZ139" s="32" t="str">
        <f t="shared" si="114"/>
        <v>1+0.162227942339534i</v>
      </c>
      <c r="BA139" s="32">
        <f t="shared" si="141"/>
        <v>1.0130734945085274</v>
      </c>
      <c r="BB139" s="32">
        <f t="shared" si="142"/>
        <v>0.16082683466620529</v>
      </c>
      <c r="BC139" s="60" t="str">
        <f t="shared" si="143"/>
        <v>-0.323939068446331+2.14422481203903i</v>
      </c>
      <c r="BD139" s="51">
        <f t="shared" si="144"/>
        <v>6.7234141632319648</v>
      </c>
      <c r="BE139" s="63">
        <f t="shared" si="145"/>
        <v>98.591001673479781</v>
      </c>
      <c r="BF139" s="60" t="str">
        <f t="shared" si="146"/>
        <v>16.8497744142668+33.3940495939394i</v>
      </c>
      <c r="BG139" s="66">
        <f t="shared" si="147"/>
        <v>31.458417555786077</v>
      </c>
      <c r="BH139" s="63">
        <f t="shared" si="148"/>
        <v>63.225668766060522</v>
      </c>
      <c r="BI139" s="60" t="e">
        <f t="shared" si="152"/>
        <v>#NUM!</v>
      </c>
      <c r="BJ139" s="66" t="e">
        <f t="shared" si="149"/>
        <v>#NUM!</v>
      </c>
      <c r="BK139" s="63" t="e">
        <f t="shared" si="153"/>
        <v>#NUM!</v>
      </c>
      <c r="BL139" s="51">
        <f t="shared" si="150"/>
        <v>31.458417555786077</v>
      </c>
      <c r="BM139" s="63">
        <f t="shared" si="151"/>
        <v>63.225668766060522</v>
      </c>
    </row>
    <row r="140" spans="14:65" x14ac:dyDescent="0.3">
      <c r="N140" s="11">
        <v>22</v>
      </c>
      <c r="O140" s="52">
        <f t="shared" si="154"/>
        <v>165.95869074375622</v>
      </c>
      <c r="P140" s="50" t="str">
        <f t="shared" si="103"/>
        <v>21.1560044893378</v>
      </c>
      <c r="Q140" s="18" t="str">
        <f t="shared" si="104"/>
        <v>1+0.726764599013286i</v>
      </c>
      <c r="R140" s="18">
        <f t="shared" si="116"/>
        <v>1.2361985206183279</v>
      </c>
      <c r="S140" s="18">
        <f t="shared" si="117"/>
        <v>0.62846386273138966</v>
      </c>
      <c r="T140" s="18" t="str">
        <f t="shared" si="105"/>
        <v>1+0.00104274920727993i</v>
      </c>
      <c r="U140" s="18">
        <f t="shared" si="118"/>
        <v>1.0000005436628068</v>
      </c>
      <c r="V140" s="18">
        <f t="shared" si="119"/>
        <v>1.0427488293440999E-3</v>
      </c>
      <c r="W140" s="32" t="str">
        <f t="shared" si="106"/>
        <v>1-0.000468311626228087i</v>
      </c>
      <c r="X140" s="18">
        <f t="shared" si="120"/>
        <v>1.0000001096578837</v>
      </c>
      <c r="Y140" s="18">
        <f t="shared" si="121"/>
        <v>-4.6831159199204838E-4</v>
      </c>
      <c r="Z140" s="32" t="str">
        <f t="shared" si="107"/>
        <v>0.999999972457713+0.000255594454242398i</v>
      </c>
      <c r="AA140" s="18">
        <f t="shared" si="122"/>
        <v>1.0000000051219757</v>
      </c>
      <c r="AB140" s="18">
        <f t="shared" si="123"/>
        <v>2.5559445571618418E-4</v>
      </c>
      <c r="AC140" s="68" t="str">
        <f t="shared" si="124"/>
        <v>13.8470766275844-10.0568196491748i</v>
      </c>
      <c r="AD140" s="66">
        <f t="shared" si="125"/>
        <v>24.666914249722574</v>
      </c>
      <c r="AE140" s="63">
        <f t="shared" si="126"/>
        <v>-35.990058565281664</v>
      </c>
      <c r="AF140" s="51" t="e">
        <f t="shared" si="127"/>
        <v>#NUM!</v>
      </c>
      <c r="AG140" s="51" t="str">
        <f t="shared" si="108"/>
        <v>1-0.446892517405685i</v>
      </c>
      <c r="AH140" s="51">
        <f t="shared" si="128"/>
        <v>1.0953140746439765</v>
      </c>
      <c r="AI140" s="51">
        <f t="shared" si="129"/>
        <v>-0.42026673819145982</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-0.000133283554228113</v>
      </c>
      <c r="AT140" s="32" t="str">
        <f t="shared" si="112"/>
        <v>0.0000637119765648037i</v>
      </c>
      <c r="AU140" s="32">
        <f t="shared" si="137"/>
        <v>6.3711976564803701E-5</v>
      </c>
      <c r="AV140" s="32">
        <f t="shared" si="138"/>
        <v>1.5707963267948966</v>
      </c>
      <c r="AW140" s="32" t="str">
        <f t="shared" si="113"/>
        <v>1+0.0111395669042145i</v>
      </c>
      <c r="AX140" s="32">
        <f t="shared" si="139"/>
        <v>1.0000620430507368</v>
      </c>
      <c r="AY140" s="32">
        <f t="shared" si="140"/>
        <v>1.1139106169081165E-2</v>
      </c>
      <c r="AZ140" s="32" t="str">
        <f t="shared" si="114"/>
        <v>1+0.166006716548172i</v>
      </c>
      <c r="BA140" s="32">
        <f t="shared" si="141"/>
        <v>1.0136854689395054</v>
      </c>
      <c r="BB140" s="32">
        <f t="shared" si="142"/>
        <v>0.1645064951484258</v>
      </c>
      <c r="BC140" s="60" t="str">
        <f t="shared" si="143"/>
        <v>-0.323937259481545+2.09557868736574i</v>
      </c>
      <c r="BD140" s="51">
        <f t="shared" si="144"/>
        <v>6.5286352732680761</v>
      </c>
      <c r="BE140" s="63">
        <f t="shared" si="145"/>
        <v>98.787304103457686</v>
      </c>
      <c r="BF140" s="60" t="str">
        <f t="shared" si="146"/>
        <v>16.5892728649211+32.27541725934i</v>
      </c>
      <c r="BG140" s="66">
        <f t="shared" si="147"/>
        <v>31.195549522990657</v>
      </c>
      <c r="BH140" s="63">
        <f t="shared" si="148"/>
        <v>62.797245538176007</v>
      </c>
      <c r="BI140" s="60" t="e">
        <f t="shared" si="152"/>
        <v>#NUM!</v>
      </c>
      <c r="BJ140" s="66" t="e">
        <f t="shared" si="149"/>
        <v>#NUM!</v>
      </c>
      <c r="BK140" s="63" t="e">
        <f t="shared" si="153"/>
        <v>#NUM!</v>
      </c>
      <c r="BL140" s="51">
        <f t="shared" si="150"/>
        <v>31.195549522990657</v>
      </c>
      <c r="BM140" s="63">
        <f t="shared" si="151"/>
        <v>62.797245538176007</v>
      </c>
    </row>
    <row r="141" spans="14:65" x14ac:dyDescent="0.3">
      <c r="N141" s="11">
        <v>23</v>
      </c>
      <c r="O141" s="52">
        <f t="shared" si="154"/>
        <v>169.82436524617444</v>
      </c>
      <c r="P141" s="50" t="str">
        <f t="shared" si="103"/>
        <v>21.1560044893378</v>
      </c>
      <c r="Q141" s="18" t="str">
        <f t="shared" si="104"/>
        <v>1+0.743693121208025i</v>
      </c>
      <c r="R141" s="18">
        <f t="shared" si="116"/>
        <v>1.2462260864434407</v>
      </c>
      <c r="S141" s="18">
        <f t="shared" si="117"/>
        <v>0.63945247197501187</v>
      </c>
      <c r="T141" s="18" t="str">
        <f t="shared" si="105"/>
        <v>1+0.00106703795651586i</v>
      </c>
      <c r="U141" s="18">
        <f t="shared" si="118"/>
        <v>1.0000005692848384</v>
      </c>
      <c r="V141" s="18">
        <f t="shared" si="119"/>
        <v>1.0670375515503345E-3</v>
      </c>
      <c r="W141" s="32" t="str">
        <f t="shared" si="106"/>
        <v>1-0.000479220005322804i</v>
      </c>
      <c r="X141" s="18">
        <f t="shared" si="120"/>
        <v>1.0000001148259001</v>
      </c>
      <c r="Y141" s="18">
        <f t="shared" si="121"/>
        <v>-4.7921996863822792E-4</v>
      </c>
      <c r="Z141" s="32" t="str">
        <f t="shared" si="107"/>
        <v>0.999999971159685+0.000261548013892069i</v>
      </c>
      <c r="AA141" s="18">
        <f t="shared" si="122"/>
        <v>1.0000000053633673</v>
      </c>
      <c r="AB141" s="18">
        <f t="shared" si="123"/>
        <v>2.6154801547125932E-4</v>
      </c>
      <c r="AC141" s="68" t="str">
        <f t="shared" si="124"/>
        <v>13.6252855555629-10.1261285771711i</v>
      </c>
      <c r="AD141" s="66">
        <f t="shared" si="125"/>
        <v>24.596742149242591</v>
      </c>
      <c r="AE141" s="63">
        <f t="shared" si="126"/>
        <v>-36.619233974177952</v>
      </c>
      <c r="AF141" s="51" t="e">
        <f t="shared" si="127"/>
        <v>#NUM!</v>
      </c>
      <c r="AG141" s="51" t="str">
        <f t="shared" si="108"/>
        <v>1-0.457301981363941i</v>
      </c>
      <c r="AH141" s="51">
        <f t="shared" si="128"/>
        <v>1.0996022472509712</v>
      </c>
      <c r="AI141" s="51">
        <f t="shared" si="129"/>
        <v>-0.42890963814279592</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-0.000133283554228113</v>
      </c>
      <c r="AT141" s="32" t="str">
        <f t="shared" si="112"/>
        <v>0.0000651960191431192i</v>
      </c>
      <c r="AU141" s="32">
        <f t="shared" si="137"/>
        <v>6.5196019143119196E-5</v>
      </c>
      <c r="AV141" s="32">
        <f t="shared" si="138"/>
        <v>1.5707963267948966</v>
      </c>
      <c r="AW141" s="32" t="str">
        <f t="shared" si="113"/>
        <v>1+0.0113990407501253i</v>
      </c>
      <c r="AX141" s="32">
        <f t="shared" si="139"/>
        <v>1.0000649669546589</v>
      </c>
      <c r="AY141" s="32">
        <f t="shared" si="140"/>
        <v>1.1398547065267444E-2</v>
      </c>
      <c r="AZ141" s="32" t="str">
        <f t="shared" si="114"/>
        <v>1+0.169873509715281i</v>
      </c>
      <c r="BA141" s="32">
        <f t="shared" si="141"/>
        <v>1.0143258891022093</v>
      </c>
      <c r="BB141" s="32">
        <f t="shared" si="142"/>
        <v>0.1682672171847516</v>
      </c>
      <c r="BC141" s="60" t="str">
        <f t="shared" si="143"/>
        <v>-0.323935365284525+2.04804366435111i</v>
      </c>
      <c r="BD141" s="51">
        <f t="shared" si="144"/>
        <v>6.3340956650440496</v>
      </c>
      <c r="BE141" s="63">
        <f t="shared" si="145"/>
        <v>98.987912735676446</v>
      </c>
      <c r="BF141" s="60" t="str">
        <f t="shared" si="146"/>
        <v>16.3250416233328+31.1853909166093i</v>
      </c>
      <c r="BG141" s="66">
        <f t="shared" si="147"/>
        <v>30.930837814286647</v>
      </c>
      <c r="BH141" s="63">
        <f t="shared" si="148"/>
        <v>62.368678761498465</v>
      </c>
      <c r="BI141" s="60" t="e">
        <f t="shared" si="152"/>
        <v>#NUM!</v>
      </c>
      <c r="BJ141" s="66" t="e">
        <f t="shared" si="149"/>
        <v>#NUM!</v>
      </c>
      <c r="BK141" s="63" t="e">
        <f t="shared" si="153"/>
        <v>#NUM!</v>
      </c>
      <c r="BL141" s="51">
        <f t="shared" si="150"/>
        <v>30.930837814286647</v>
      </c>
      <c r="BM141" s="63">
        <f t="shared" si="151"/>
        <v>62.368678761498465</v>
      </c>
    </row>
    <row r="142" spans="14:65" x14ac:dyDescent="0.3">
      <c r="N142" s="11">
        <v>24</v>
      </c>
      <c r="O142" s="52">
        <f t="shared" si="154"/>
        <v>173.78008287493768</v>
      </c>
      <c r="P142" s="50" t="str">
        <f t="shared" si="103"/>
        <v>21.1560044893378</v>
      </c>
      <c r="Q142" s="18" t="str">
        <f t="shared" si="104"/>
        <v>1+0.761015959339576i</v>
      </c>
      <c r="R142" s="18">
        <f t="shared" si="116"/>
        <v>1.2566404777698095</v>
      </c>
      <c r="S142" s="18">
        <f t="shared" si="117"/>
        <v>0.65051412474081094</v>
      </c>
      <c r="T142" s="18" t="str">
        <f t="shared" si="105"/>
        <v>1+0.00109189246340026i</v>
      </c>
      <c r="U142" s="18">
        <f t="shared" si="118"/>
        <v>1.0000005961143981</v>
      </c>
      <c r="V142" s="18">
        <f t="shared" si="119"/>
        <v>1.0918920294718953E-3</v>
      </c>
      <c r="W142" s="32" t="str">
        <f t="shared" si="106"/>
        <v>1-0.000490382473207573i</v>
      </c>
      <c r="X142" s="18">
        <f t="shared" si="120"/>
        <v>1.0000001202374778</v>
      </c>
      <c r="Y142" s="18">
        <f t="shared" si="121"/>
        <v>-4.9038243389934184E-4</v>
      </c>
      <c r="Z142" s="32" t="str">
        <f t="shared" si="107"/>
        <v>0.999999969800483+0.000267640249760705i</v>
      </c>
      <c r="AA142" s="18">
        <f t="shared" si="122"/>
        <v>1.0000000056161351</v>
      </c>
      <c r="AB142" s="18">
        <f t="shared" si="123"/>
        <v>2.6764025145283791E-4</v>
      </c>
      <c r="AC142" s="68" t="str">
        <f t="shared" si="124"/>
        <v>13.4005362234955-10.1909585835562i</v>
      </c>
      <c r="AD142" s="66">
        <f t="shared" si="125"/>
        <v>24.524458289320869</v>
      </c>
      <c r="AE142" s="63">
        <f t="shared" si="126"/>
        <v>-37.252584556968451</v>
      </c>
      <c r="AF142" s="51" t="e">
        <f t="shared" si="127"/>
        <v>#NUM!</v>
      </c>
      <c r="AG142" s="51" t="str">
        <f t="shared" si="108"/>
        <v>1-0.467953912885826i</v>
      </c>
      <c r="AH142" s="51">
        <f t="shared" si="128"/>
        <v>1.1040746644068757</v>
      </c>
      <c r="AI142" s="51">
        <f t="shared" si="129"/>
        <v>-0.43768368350296416</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-0.000133283554228113</v>
      </c>
      <c r="AT142" s="32" t="str">
        <f t="shared" si="112"/>
        <v>0.0000667146295137558i</v>
      </c>
      <c r="AU142" s="32">
        <f t="shared" si="137"/>
        <v>6.6714629513755805E-5</v>
      </c>
      <c r="AV142" s="32">
        <f t="shared" si="138"/>
        <v>1.5707963267948966</v>
      </c>
      <c r="AW142" s="32" t="str">
        <f t="shared" si="113"/>
        <v>1+0.011664558518326i</v>
      </c>
      <c r="AX142" s="32">
        <f t="shared" si="139"/>
        <v>1.0000680286487651</v>
      </c>
      <c r="AY142" s="32">
        <f t="shared" si="140"/>
        <v>1.1664029527413553E-2</v>
      </c>
      <c r="AZ142" s="32" t="str">
        <f t="shared" si="114"/>
        <v>1+0.173830372065785i</v>
      </c>
      <c r="BA142" s="32">
        <f t="shared" si="141"/>
        <v>1.0149960582448236</v>
      </c>
      <c r="BB142" s="32">
        <f t="shared" si="142"/>
        <v>0.17211056904140776</v>
      </c>
      <c r="BC142" s="60" t="str">
        <f t="shared" si="143"/>
        <v>-0.323933381840498+2.00159453916094i</v>
      </c>
      <c r="BD142" s="51">
        <f t="shared" si="144"/>
        <v>6.1398059800591733</v>
      </c>
      <c r="BE142" s="63">
        <f t="shared" si="145"/>
        <v>99.192909551630834</v>
      </c>
      <c r="BF142" s="60" t="str">
        <f t="shared" si="146"/>
        <v>16.0572860323084+30.1236318049448i</v>
      </c>
      <c r="BG142" s="66">
        <f t="shared" si="147"/>
        <v>30.664264269380045</v>
      </c>
      <c r="BH142" s="63">
        <f t="shared" si="148"/>
        <v>61.940324994662433</v>
      </c>
      <c r="BI142" s="60" t="e">
        <f t="shared" si="152"/>
        <v>#NUM!</v>
      </c>
      <c r="BJ142" s="66" t="e">
        <f t="shared" si="149"/>
        <v>#NUM!</v>
      </c>
      <c r="BK142" s="63" t="e">
        <f t="shared" si="153"/>
        <v>#NUM!</v>
      </c>
      <c r="BL142" s="51">
        <f t="shared" si="150"/>
        <v>30.664264269380045</v>
      </c>
      <c r="BM142" s="63">
        <f t="shared" si="151"/>
        <v>61.940324994662433</v>
      </c>
    </row>
    <row r="143" spans="14:65" x14ac:dyDescent="0.3">
      <c r="N143" s="11">
        <v>25</v>
      </c>
      <c r="O143" s="52">
        <f t="shared" si="154"/>
        <v>177.82794100389242</v>
      </c>
      <c r="P143" s="50" t="str">
        <f t="shared" si="103"/>
        <v>21.1560044893378</v>
      </c>
      <c r="Q143" s="18" t="str">
        <f t="shared" si="104"/>
        <v>1+0.778742298206007i</v>
      </c>
      <c r="R143" s="18">
        <f t="shared" si="116"/>
        <v>1.2674539703733518</v>
      </c>
      <c r="S143" s="18">
        <f t="shared" si="117"/>
        <v>0.66164385842388618</v>
      </c>
      <c r="T143" s="18" t="str">
        <f t="shared" si="105"/>
        <v>1+0.00111732590612166i</v>
      </c>
      <c r="U143" s="18">
        <f t="shared" si="118"/>
        <v>1.0000006242083954</v>
      </c>
      <c r="V143" s="18">
        <f t="shared" si="119"/>
        <v>1.1173254411590559E-3</v>
      </c>
      <c r="W143" s="32" t="str">
        <f t="shared" si="106"/>
        <v>1-0.000501804948370615i</v>
      </c>
      <c r="X143" s="18">
        <f t="shared" si="120"/>
        <v>1.0000001259040951</v>
      </c>
      <c r="Y143" s="18">
        <f t="shared" si="121"/>
        <v>-5.0180490625108677E-4</v>
      </c>
      <c r="Z143" s="32" t="str">
        <f t="shared" si="107"/>
        <v>0.999999968377223+0.000273874392032401i</v>
      </c>
      <c r="AA143" s="18">
        <f t="shared" si="122"/>
        <v>1.0000000058808147</v>
      </c>
      <c r="AB143" s="18">
        <f t="shared" si="123"/>
        <v>2.7387439384555427E-4</v>
      </c>
      <c r="AC143" s="68" t="str">
        <f t="shared" si="124"/>
        <v>13.1730119726863-10.2511537453723i</v>
      </c>
      <c r="AD143" s="66">
        <f t="shared" si="125"/>
        <v>24.450035550608934</v>
      </c>
      <c r="AE143" s="63">
        <f t="shared" si="126"/>
        <v>-37.889825746470244</v>
      </c>
      <c r="AF143" s="51" t="e">
        <f t="shared" si="127"/>
        <v>#NUM!</v>
      </c>
      <c r="AG143" s="51" t="str">
        <f t="shared" si="108"/>
        <v>1-0.478853959766426i</v>
      </c>
      <c r="AH143" s="51">
        <f t="shared" si="128"/>
        <v>1.1087385240822047</v>
      </c>
      <c r="AI143" s="51">
        <f t="shared" si="129"/>
        <v>-0.44658812168365958</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-0.000133283554228113</v>
      </c>
      <c r="AT143" s="32" t="str">
        <f t="shared" si="112"/>
        <v>0.0000682686128640331i</v>
      </c>
      <c r="AU143" s="32">
        <f t="shared" si="137"/>
        <v>6.82686128640331E-5</v>
      </c>
      <c r="AV143" s="32">
        <f t="shared" si="138"/>
        <v>1.5707963267948966</v>
      </c>
      <c r="AW143" s="32" t="str">
        <f t="shared" si="113"/>
        <v>1+0.0119362609898518i</v>
      </c>
      <c r="AX143" s="32">
        <f t="shared" si="139"/>
        <v>1.000071234626023</v>
      </c>
      <c r="AY143" s="32">
        <f t="shared" si="140"/>
        <v>1.1935694168057384E-2</v>
      </c>
      <c r="AZ143" s="32" t="str">
        <f t="shared" si="114"/>
        <v>1+0.177879401580474i</v>
      </c>
      <c r="BA143" s="32">
        <f t="shared" si="141"/>
        <v>1.0156973375502307</v>
      </c>
      <c r="BB143" s="32">
        <f t="shared" si="142"/>
        <v>0.17603813411499658</v>
      </c>
      <c r="BC143" s="60" t="str">
        <f t="shared" si="143"/>
        <v>-0.323931304945663+1.95620668370864i</v>
      </c>
      <c r="BD143" s="51">
        <f t="shared" si="144"/>
        <v>5.9457773027167251</v>
      </c>
      <c r="BE143" s="63">
        <f t="shared" si="145"/>
        <v>99.40237721675868</v>
      </c>
      <c r="BF143" s="60" t="str">
        <f t="shared" si="146"/>
        <v>15.786224514045+29.0898036754799i</v>
      </c>
      <c r="BG143" s="66">
        <f t="shared" si="147"/>
        <v>30.395812853325648</v>
      </c>
      <c r="BH143" s="63">
        <f t="shared" si="148"/>
        <v>61.512551470288457</v>
      </c>
      <c r="BI143" s="60" t="e">
        <f t="shared" si="152"/>
        <v>#NUM!</v>
      </c>
      <c r="BJ143" s="66" t="e">
        <f t="shared" si="149"/>
        <v>#NUM!</v>
      </c>
      <c r="BK143" s="63" t="e">
        <f t="shared" si="153"/>
        <v>#NUM!</v>
      </c>
      <c r="BL143" s="51">
        <f t="shared" si="150"/>
        <v>30.395812853325648</v>
      </c>
      <c r="BM143" s="63">
        <f t="shared" si="151"/>
        <v>61.512551470288457</v>
      </c>
    </row>
    <row r="144" spans="14:65" x14ac:dyDescent="0.3">
      <c r="N144" s="11">
        <v>26</v>
      </c>
      <c r="O144" s="52">
        <f t="shared" si="154"/>
        <v>181.9700858609983</v>
      </c>
      <c r="P144" s="50" t="str">
        <f t="shared" si="103"/>
        <v>21.1560044893378</v>
      </c>
      <c r="Q144" s="18" t="str">
        <f t="shared" si="104"/>
        <v>1+0.79688153654681i</v>
      </c>
      <c r="R144" s="18">
        <f t="shared" si="116"/>
        <v>1.2786790775207066</v>
      </c>
      <c r="S144" s="18">
        <f t="shared" si="117"/>
        <v>0.67283654544510541</v>
      </c>
      <c r="T144" s="18" t="str">
        <f t="shared" si="105"/>
        <v>1+0.00114335176982803i</v>
      </c>
      <c r="U144" s="18">
        <f t="shared" si="118"/>
        <v>1.0000006536264212</v>
      </c>
      <c r="V144" s="18">
        <f t="shared" si="119"/>
        <v>1.1433512716116411E-3</v>
      </c>
      <c r="W144" s="32" t="str">
        <f t="shared" si="106"/>
        <v>1-0.000513493487159453i</v>
      </c>
      <c r="X144" s="18">
        <f t="shared" si="120"/>
        <v>1.000000131837772</v>
      </c>
      <c r="Y144" s="18">
        <f t="shared" si="121"/>
        <v>-5.1349344202756566E-4</v>
      </c>
      <c r="Z144" s="32" t="str">
        <f t="shared" si="107"/>
        <v>0.999999966886888+0.000280253746131906i</v>
      </c>
      <c r="AA144" s="18">
        <f t="shared" si="122"/>
        <v>1.0000000061579697</v>
      </c>
      <c r="AB144" s="18">
        <f t="shared" si="123"/>
        <v>2.8025374807473454E-4</v>
      </c>
      <c r="AC144" s="68" t="str">
        <f t="shared" si="124"/>
        <v>12.9429066501954-10.3065671076585i</v>
      </c>
      <c r="AD144" s="66">
        <f t="shared" si="125"/>
        <v>24.373448597865945</v>
      </c>
      <c r="AE144" s="63">
        <f t="shared" si="126"/>
        <v>-38.530663517795787</v>
      </c>
      <c r="AF144" s="51" t="e">
        <f t="shared" si="127"/>
        <v>#NUM!</v>
      </c>
      <c r="AG144" s="51" t="str">
        <f t="shared" si="108"/>
        <v>1-0.490007901354871i</v>
      </c>
      <c r="AH144" s="51">
        <f t="shared" si="128"/>
        <v>1.1136012497255043</v>
      </c>
      <c r="AI144" s="51">
        <f t="shared" si="129"/>
        <v>-0.45562202473787755</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-0.000133283554228113</v>
      </c>
      <c r="AT144" s="32" t="str">
        <f t="shared" si="112"/>
        <v>0.0000698587931364928i</v>
      </c>
      <c r="AU144" s="32">
        <f t="shared" si="137"/>
        <v>6.9858793136492797E-5</v>
      </c>
      <c r="AV144" s="32">
        <f t="shared" si="138"/>
        <v>1.5707963267948966</v>
      </c>
      <c r="AW144" s="32" t="str">
        <f t="shared" si="113"/>
        <v>1+0.0122142922249494i</v>
      </c>
      <c r="AX144" s="32">
        <f t="shared" si="139"/>
        <v>1.0000745916853184</v>
      </c>
      <c r="AY144" s="32">
        <f t="shared" si="140"/>
        <v>1.2213684866900665E-2</v>
      </c>
      <c r="AZ144" s="32" t="str">
        <f t="shared" si="114"/>
        <v>1+0.182022745108392i</v>
      </c>
      <c r="BA144" s="32">
        <f t="shared" si="141"/>
        <v>1.0164311485471087</v>
      </c>
      <c r="BB144" s="32">
        <f t="shared" si="142"/>
        <v>0.18005150992582741</v>
      </c>
      <c r="BC144" s="60" t="str">
        <f t="shared" si="143"/>
        <v>-0.323929130198333+1.91185603259658i</v>
      </c>
      <c r="BD144" s="51">
        <f t="shared" si="144"/>
        <v>5.7520211759265818</v>
      </c>
      <c r="BE144" s="63">
        <f t="shared" si="145"/>
        <v>99.616399018531553</v>
      </c>
      <c r="BF144" s="60" t="str">
        <f t="shared" si="146"/>
        <v>15.5120880067024+28.083571477025i</v>
      </c>
      <c r="BG144" s="66">
        <f t="shared" si="147"/>
        <v>30.125469773792517</v>
      </c>
      <c r="BH144" s="63">
        <f t="shared" si="148"/>
        <v>61.085735500735687</v>
      </c>
      <c r="BI144" s="60" t="e">
        <f t="shared" si="152"/>
        <v>#NUM!</v>
      </c>
      <c r="BJ144" s="66" t="e">
        <f t="shared" si="149"/>
        <v>#NUM!</v>
      </c>
      <c r="BK144" s="63" t="e">
        <f t="shared" si="153"/>
        <v>#NUM!</v>
      </c>
      <c r="BL144" s="51">
        <f t="shared" si="150"/>
        <v>30.125469773792517</v>
      </c>
      <c r="BM144" s="63">
        <f t="shared" si="151"/>
        <v>61.085735500735687</v>
      </c>
    </row>
    <row r="145" spans="14:65" x14ac:dyDescent="0.3">
      <c r="N145" s="11">
        <v>27</v>
      </c>
      <c r="O145" s="52">
        <f t="shared" si="154"/>
        <v>186.20871366628685</v>
      </c>
      <c r="P145" s="50" t="str">
        <f t="shared" si="103"/>
        <v>21.1560044893378</v>
      </c>
      <c r="Q145" s="18" t="str">
        <f t="shared" si="104"/>
        <v>1+0.81544329202627i</v>
      </c>
      <c r="R145" s="18">
        <f t="shared" si="116"/>
        <v>1.290328548281654</v>
      </c>
      <c r="S145" s="18">
        <f t="shared" si="117"/>
        <v>0.68408690347650081</v>
      </c>
      <c r="T145" s="18" t="str">
        <f t="shared" si="105"/>
        <v>1+0.00116998385377682i</v>
      </c>
      <c r="U145" s="18">
        <f t="shared" si="118"/>
        <v>1.0000006844308749</v>
      </c>
      <c r="V145" s="18">
        <f t="shared" si="119"/>
        <v>1.1699833199283606E-3</v>
      </c>
      <c r="W145" s="32" t="str">
        <f t="shared" si="106"/>
        <v>1-0.000525454286992075i</v>
      </c>
      <c r="X145" s="18">
        <f t="shared" si="120"/>
        <v>1.0000001380510943</v>
      </c>
      <c r="Y145" s="18">
        <f t="shared" si="121"/>
        <v>-5.2545423863238681E-4</v>
      </c>
      <c r="Z145" s="32" t="str">
        <f t="shared" si="107"/>
        <v>0.999999965326315+0.000286781694477208i</v>
      </c>
      <c r="AA145" s="18">
        <f t="shared" si="122"/>
        <v>1.0000000064481858</v>
      </c>
      <c r="AB145" s="18">
        <f t="shared" si="123"/>
        <v>2.8678169655898633E-4</v>
      </c>
      <c r="AC145" s="68" t="str">
        <f t="shared" si="124"/>
        <v>12.7104240552263-10.3570615233513i</v>
      </c>
      <c r="AD145" s="66">
        <f t="shared" si="125"/>
        <v>24.294673976765317</v>
      </c>
      <c r="AE145" s="63">
        <f t="shared" si="126"/>
        <v>-39.174794974099363</v>
      </c>
      <c r="AF145" s="51" t="e">
        <f t="shared" si="127"/>
        <v>#NUM!</v>
      </c>
      <c r="AG145" s="51" t="str">
        <f t="shared" si="108"/>
        <v>1-0.501421651618638i</v>
      </c>
      <c r="AH145" s="51">
        <f t="shared" si="128"/>
        <v>1.1186704933589529</v>
      </c>
      <c r="AI145" s="51">
        <f t="shared" si="129"/>
        <v>-0.46478428342388589</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-0.000133283554228113</v>
      </c>
      <c r="AT145" s="32" t="str">
        <f t="shared" si="112"/>
        <v>0.000071486013465764i</v>
      </c>
      <c r="AU145" s="32">
        <f t="shared" si="137"/>
        <v>7.1486013465763999E-5</v>
      </c>
      <c r="AV145" s="32">
        <f t="shared" si="138"/>
        <v>1.5707963267948966</v>
      </c>
      <c r="AW145" s="32" t="str">
        <f t="shared" si="113"/>
        <v>1+0.01249879963946i</v>
      </c>
      <c r="AX145" s="32">
        <f t="shared" si="139"/>
        <v>1.0000781069458662</v>
      </c>
      <c r="AY145" s="32">
        <f t="shared" si="140"/>
        <v>1.2498148846330707E-2</v>
      </c>
      <c r="AZ145" s="32" t="str">
        <f t="shared" si="114"/>
        <v>1+0.186262599505123i</v>
      </c>
      <c r="BA145" s="32">
        <f t="shared" si="141"/>
        <v>1.0171989756062507</v>
      </c>
      <c r="BB145" s="32">
        <f t="shared" si="142"/>
        <v>0.18415230700995311</v>
      </c>
      <c r="BC145" s="60" t="str">
        <f t="shared" si="143"/>
        <v>-0.323926852989616+1.86851907035538i</v>
      </c>
      <c r="BD145" s="51">
        <f t="shared" si="144"/>
        <v>5.5585496169866051</v>
      </c>
      <c r="BE145" s="63">
        <f t="shared" si="145"/>
        <v>99.835058798646614</v>
      </c>
      <c r="BF145" s="60" t="str">
        <f t="shared" si="146"/>
        <v>15.2351193048529+27.1046000849731i</v>
      </c>
      <c r="BG145" s="66">
        <f t="shared" si="147"/>
        <v>29.85322359375192</v>
      </c>
      <c r="BH145" s="63">
        <f t="shared" si="148"/>
        <v>60.660263824547201</v>
      </c>
      <c r="BI145" s="60" t="e">
        <f t="shared" si="152"/>
        <v>#NUM!</v>
      </c>
      <c r="BJ145" s="66" t="e">
        <f t="shared" si="149"/>
        <v>#NUM!</v>
      </c>
      <c r="BK145" s="63" t="e">
        <f t="shared" si="153"/>
        <v>#NUM!</v>
      </c>
      <c r="BL145" s="51">
        <f t="shared" si="150"/>
        <v>29.85322359375192</v>
      </c>
      <c r="BM145" s="63">
        <f t="shared" si="151"/>
        <v>60.660263824547201</v>
      </c>
    </row>
    <row r="146" spans="14:65" x14ac:dyDescent="0.3">
      <c r="N146" s="11">
        <v>28</v>
      </c>
      <c r="O146" s="52">
        <f t="shared" si="154"/>
        <v>190.54607179632498</v>
      </c>
      <c r="P146" s="50" t="str">
        <f t="shared" si="103"/>
        <v>21.1560044893378</v>
      </c>
      <c r="Q146" s="18" t="str">
        <f t="shared" si="104"/>
        <v>1+0.834437406332837i</v>
      </c>
      <c r="R146" s="18">
        <f t="shared" si="116"/>
        <v>1.3024153658059598</v>
      </c>
      <c r="S146" s="18">
        <f t="shared" si="117"/>
        <v>0.69538950656043175</v>
      </c>
      <c r="T146" s="18" t="str">
        <f t="shared" si="105"/>
        <v>1+0.00119723627865146i</v>
      </c>
      <c r="U146" s="18">
        <f t="shared" si="118"/>
        <v>1.0000007166870966</v>
      </c>
      <c r="V146" s="18">
        <f t="shared" si="119"/>
        <v>1.197235706622552E-3</v>
      </c>
      <c r="W146" s="32" t="str">
        <f t="shared" si="106"/>
        <v>1-0.000537693689642875i</v>
      </c>
      <c r="X146" s="18">
        <f t="shared" si="120"/>
        <v>1.0000001445572415</v>
      </c>
      <c r="Y146" s="18">
        <f t="shared" si="121"/>
        <v>-5.3769363782453592E-4</v>
      </c>
      <c r="Z146" s="32" t="str">
        <f t="shared" si="107"/>
        <v>0.999999963692195+0.00029346169827293i</v>
      </c>
      <c r="AA146" s="18">
        <f t="shared" si="122"/>
        <v>1.0000000067520798</v>
      </c>
      <c r="AB146" s="18">
        <f t="shared" si="123"/>
        <v>2.9346170050359552E-4</v>
      </c>
      <c r="AC146" s="68" t="str">
        <f t="shared" si="124"/>
        <v>12.4757773070314-10.4025104537054i</v>
      </c>
      <c r="AD146" s="66">
        <f t="shared" si="125"/>
        <v>24.213690205092636</v>
      </c>
      <c r="AE146" s="63">
        <f t="shared" si="126"/>
        <v>-39.821908983531827</v>
      </c>
      <c r="AF146" s="51" t="e">
        <f t="shared" si="127"/>
        <v>#NUM!</v>
      </c>
      <c r="AG146" s="51" t="str">
        <f t="shared" si="108"/>
        <v>1-0.513101262279198i</v>
      </c>
      <c r="AH146" s="51">
        <f t="shared" si="128"/>
        <v>1.123954138456061</v>
      </c>
      <c r="AI146" s="51">
        <f t="shared" si="129"/>
        <v>-0.47407360158950285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-0.000133283554228113</v>
      </c>
      <c r="AT146" s="32" t="str">
        <f t="shared" si="112"/>
        <v>0.0000731511366256039i</v>
      </c>
      <c r="AU146" s="32">
        <f t="shared" si="137"/>
        <v>7.3151136625603902E-5</v>
      </c>
      <c r="AV146" s="32">
        <f t="shared" si="138"/>
        <v>1.5707963267948966</v>
      </c>
      <c r="AW146" s="32" t="str">
        <f t="shared" si="113"/>
        <v>1+0.0127899340829807i</v>
      </c>
      <c r="AX146" s="32">
        <f t="shared" si="139"/>
        <v>1.0000817878622963</v>
      </c>
      <c r="AY146" s="32">
        <f t="shared" si="140"/>
        <v>1.2789236748658986E-2</v>
      </c>
      <c r="AZ146" s="32" t="str">
        <f t="shared" si="114"/>
        <v>1+0.190601212797591i</v>
      </c>
      <c r="BA146" s="32">
        <f t="shared" si="141"/>
        <v>1.0180023685237243</v>
      </c>
      <c r="BB146" s="32">
        <f t="shared" si="142"/>
        <v>0.18834214770411156</v>
      </c>
      <c r="BC146" s="60" t="str">
        <f t="shared" si="143"/>
        <v>-0.323924468493681+1.826172818975i</v>
      </c>
      <c r="BD146" s="51">
        <f t="shared" si="144"/>
        <v>5.3653751337221998</v>
      </c>
      <c r="BE146" s="63">
        <f t="shared" si="145"/>
        <v>100.05844087898338</v>
      </c>
      <c r="BF146" s="60" t="str">
        <f t="shared" si="146"/>
        <v>14.9555723064344+26.1525530834023i</v>
      </c>
      <c r="BG146" s="66">
        <f t="shared" si="147"/>
        <v>29.579065338814821</v>
      </c>
      <c r="BH146" s="63">
        <f t="shared" si="148"/>
        <v>60.236531895451535</v>
      </c>
      <c r="BI146" s="60" t="e">
        <f t="shared" si="152"/>
        <v>#NUM!</v>
      </c>
      <c r="BJ146" s="66" t="e">
        <f t="shared" si="149"/>
        <v>#NUM!</v>
      </c>
      <c r="BK146" s="63" t="e">
        <f t="shared" si="153"/>
        <v>#NUM!</v>
      </c>
      <c r="BL146" s="51">
        <f t="shared" si="150"/>
        <v>29.579065338814821</v>
      </c>
      <c r="BM146" s="63">
        <f t="shared" si="151"/>
        <v>60.236531895451535</v>
      </c>
    </row>
    <row r="147" spans="14:65" x14ac:dyDescent="0.3">
      <c r="N147" s="11">
        <v>29</v>
      </c>
      <c r="O147" s="52">
        <f t="shared" si="154"/>
        <v>194.98445997580458</v>
      </c>
      <c r="P147" s="50" t="str">
        <f t="shared" ref="P147:P210" si="155">COMPLEX(Adc,0)</f>
        <v>21.1560044893378</v>
      </c>
      <c r="Q147" s="18" t="str">
        <f t="shared" ref="Q147:Q210" si="156">IMSUM(COMPLEX(1,0),IMDIV(COMPLEX(0,2*PI()*O147),COMPLEX(wp_lf,0)))</f>
        <v>1+0.853873950397315i</v>
      </c>
      <c r="R147" s="18">
        <f t="shared" si="116"/>
        <v>1.314952745602334</v>
      </c>
      <c r="S147" s="18">
        <f t="shared" si="117"/>
        <v>0.70673879707501353</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1-0.000550218184605133i</v>
      </c>
      <c r="X147" s="18">
        <f t="shared" si="120"/>
        <v>1.0000001513700139</v>
      </c>
      <c r="Y147" s="18">
        <f t="shared" si="121"/>
        <v>-5.5021812908078273E-4</v>
      </c>
      <c r="Z147" s="32" t="str">
        <f t="shared" ref="Z147:Z210" si="159">IMSUM(COMPLEX(1,0),IMDIV(COMPLEX(0,2*PI()*O147),COMPLEX(Q*(wsl/2),0)),IMDIV(IMPOWER(COMPLEX(0,2*PI()*O147),2),IMPOWER(COMPLEX(wsl/2,0),2)))</f>
        <v>0.99999996198106+0.000300297299345496i</v>
      </c>
      <c r="AA147" s="18">
        <f t="shared" si="122"/>
        <v>1.0000000070702946</v>
      </c>
      <c r="AB147" s="18">
        <f t="shared" si="123"/>
        <v>3.0029730173569745E-4</v>
      </c>
      <c r="AC147" s="68" t="str">
        <f t="shared" si="124"/>
        <v>12.23918813755-10.4427987208598i</v>
      </c>
      <c r="AD147" s="66">
        <f t="shared" si="125"/>
        <v>24.130477857606571</v>
      </c>
      <c r="AE147" s="63">
        <f t="shared" si="126"/>
        <v>-40.471686864675007</v>
      </c>
      <c r="AF147" s="51" t="e">
        <f t="shared" si="127"/>
        <v>#NUM!</v>
      </c>
      <c r="AG147" s="51" t="str">
        <f t="shared" ref="AG147:AG210" si="160">IMSUM(COMPLEX(1,0),IMDIV(COMPLEX(0,2*PI()*O147),COMPLEX(wp_lf_DCM,0)))</f>
        <v>1-0.525052926020709i</v>
      </c>
      <c r="AH147" s="51">
        <f t="shared" si="128"/>
        <v>1.1294603025883239</v>
      </c>
      <c r="AI147" s="51">
        <f t="shared" si="129"/>
        <v>-0.4834884909295496</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-0.000133283554228113</v>
      </c>
      <c r="AT147" s="32" t="str">
        <f t="shared" ref="AT147:AT210" si="164">COMPLEX(0,2*PI()*O147*wp0_ea)</f>
        <v>0.0000748550454863524i</v>
      </c>
      <c r="AU147" s="32">
        <f t="shared" si="137"/>
        <v>7.4855045486352397E-5</v>
      </c>
      <c r="AV147" s="32">
        <f t="shared" si="138"/>
        <v>1.5707963267948966</v>
      </c>
      <c r="AW147" s="32" t="str">
        <f t="shared" ref="AW147:AW210" si="165">IMSUM(COMPLEX(1,0),IMDIV(COMPLEX(0,2*PI()*O147),COMPLEX(wp1_ea,0)))</f>
        <v>1+0.0130878499188469i</v>
      </c>
      <c r="AX147" s="32">
        <f t="shared" si="139"/>
        <v>1.0000856422404525</v>
      </c>
      <c r="AY147" s="32">
        <f t="shared" si="140"/>
        <v>1.3087102715114804E-2</v>
      </c>
      <c r="AZ147" s="32" t="str">
        <f t="shared" ref="AZ147:AZ210" si="166">IMSUM(COMPLEX(1,0),IMDIV(COMPLEX(0,2*PI()*O147),COMPLEX(wz_ea,0)))</f>
        <v>1+0.195040885375986i</v>
      </c>
      <c r="BA147" s="32">
        <f t="shared" si="141"/>
        <v>1.0188429451923631</v>
      </c>
      <c r="BB147" s="32">
        <f t="shared" si="142"/>
        <v>0.19262266481758653</v>
      </c>
      <c r="BC147" s="60" t="str">
        <f t="shared" si="143"/>
        <v>-0.323921971657533+1.78479482572061i</v>
      </c>
      <c r="BD147" s="51">
        <f t="shared" si="144"/>
        <v>5.1725107408552082</v>
      </c>
      <c r="BE147" s="63">
        <f t="shared" si="145"/>
        <v>100.28662998098052</v>
      </c>
      <c r="BF147" s="60" t="str">
        <f t="shared" si="146"/>
        <v>14.6737111700297+25.227091610204i</v>
      </c>
      <c r="BG147" s="66">
        <f t="shared" si="147"/>
        <v>29.302988598461784</v>
      </c>
      <c r="BH147" s="63">
        <f t="shared" si="148"/>
        <v>59.814943116305543</v>
      </c>
      <c r="BI147" s="60" t="e">
        <f t="shared" si="152"/>
        <v>#NUM!</v>
      </c>
      <c r="BJ147" s="66" t="e">
        <f t="shared" si="149"/>
        <v>#NUM!</v>
      </c>
      <c r="BK147" s="63" t="e">
        <f t="shared" si="153"/>
        <v>#NUM!</v>
      </c>
      <c r="BL147" s="51">
        <f t="shared" si="150"/>
        <v>29.302988598461784</v>
      </c>
      <c r="BM147" s="63">
        <f t="shared" si="151"/>
        <v>59.814943116305543</v>
      </c>
    </row>
    <row r="148" spans="14:65" x14ac:dyDescent="0.3">
      <c r="N148" s="11">
        <v>30</v>
      </c>
      <c r="O148" s="52">
        <f t="shared" si="154"/>
        <v>199.52623149688802</v>
      </c>
      <c r="P148" s="50" t="str">
        <f t="shared" si="155"/>
        <v>21.1560044893378</v>
      </c>
      <c r="Q148" s="18" t="str">
        <f t="shared" si="156"/>
        <v>1+0.873763229732658i</v>
      </c>
      <c r="R148" s="18">
        <f t="shared" ref="R148:R211" si="167">IMABS(Q148)</f>
        <v>1.3279541338588641</v>
      </c>
      <c r="S148" s="18">
        <f t="shared" ref="S148:S211" si="168">IMARGUMENT(Q148)</f>
        <v>0.71812909848928519</v>
      </c>
      <c r="T148" s="18" t="str">
        <f t="shared" si="157"/>
        <v>1+0.00125366028613816i</v>
      </c>
      <c r="U148" s="18">
        <f t="shared" ref="U148:U211" si="169">IMABS(T148)</f>
        <v>1.0000007858317477</v>
      </c>
      <c r="V148" s="18">
        <f t="shared" ref="V148:V211" si="170">IMARGUMENT(T148)</f>
        <v>1.2536596293611522E-3</v>
      </c>
      <c r="W148" s="32" t="str">
        <f t="shared" si="158"/>
        <v>1-0.000563034412531872i</v>
      </c>
      <c r="X148" s="18">
        <f t="shared" ref="X148:X211" si="171">IMABS(W148)</f>
        <v>1.0000001585038623</v>
      </c>
      <c r="Y148" s="18">
        <f t="shared" ref="Y148:Y211" si="172">IMARGUMENT(W148)</f>
        <v>-5.6303435303645924E-4</v>
      </c>
      <c r="Z148" s="32" t="str">
        <f t="shared" si="159"/>
        <v>0.999999960189283+0.000307292122021083i</v>
      </c>
      <c r="AA148" s="18">
        <f t="shared" ref="AA148:AA211" si="173">IMABS(Z148)</f>
        <v>1.000000007403508</v>
      </c>
      <c r="AB148" s="18">
        <f t="shared" ref="AB148:AB211" si="174">IMARGUMENT(Z148)</f>
        <v>3.0729212458222981E-4</v>
      </c>
      <c r="AC148" s="68" t="str">
        <f t="shared" ref="AC148:AC211" si="175">(IMDIV(IMPRODUCT(P148,T148,W148),IMPRODUCT(Q148,Z148)))</f>
        <v>12.0008861129978-10.4778232044679i</v>
      </c>
      <c r="AD148" s="66">
        <f t="shared" ref="AD148:AD211" si="176">20*LOG(IMABS(AC148))</f>
        <v>24.045019643870052</v>
      </c>
      <c r="AE148" s="63">
        <f t="shared" ref="AE148:AE211" si="177">(180/PI())*IMARGUMENT(AC148)</f>
        <v>-41.123803117228448</v>
      </c>
      <c r="AF148" s="51" t="e">
        <f t="shared" ref="AF148:AF211" si="178">COMPLEX($B$68,0)</f>
        <v>#NUM!</v>
      </c>
      <c r="AG148" s="51" t="str">
        <f t="shared" si="160"/>
        <v>1-0.537282979773498i</v>
      </c>
      <c r="AH148" s="51">
        <f t="shared" ref="AH148:AH211" si="179">IMABS(AG148)</f>
        <v>1.1351973398287583</v>
      </c>
      <c r="AI148" s="51">
        <f t="shared" ref="AI148:AI211" si="180">IMARGUMENT(AG148)</f>
        <v>-0.49302726617067</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-0.000133283554228113</v>
      </c>
      <c r="AT148" s="32" t="str">
        <f t="shared" si="164"/>
        <v>0.0000765986434830416i</v>
      </c>
      <c r="AU148" s="32">
        <f t="shared" ref="AU148:AU211" si="188">IMABS(AT148)</f>
        <v>7.6598643483041605E-5</v>
      </c>
      <c r="AV148" s="32">
        <f t="shared" ref="AV148:AV211" si="189">IMARGUMENT(AT148)</f>
        <v>1.5707963267948966</v>
      </c>
      <c r="AW148" s="32" t="str">
        <f t="shared" si="165"/>
        <v>1+0.0133927051059783i</v>
      </c>
      <c r="AX148" s="32">
        <f t="shared" ref="AX148:AX211" si="190">IMABS(AW148)</f>
        <v>1.0000896782539332</v>
      </c>
      <c r="AY148" s="32">
        <f t="shared" ref="AY148:AY211" si="191">IMARGUMENT(AW148)</f>
        <v>1.339190446663187E-2</v>
      </c>
      <c r="AZ148" s="32" t="str">
        <f t="shared" si="166"/>
        <v>1+0.199583971213481i</v>
      </c>
      <c r="BA148" s="32">
        <f t="shared" ref="BA148:BA211" si="192">IMABS(AZ148)</f>
        <v>1.0197223943629676</v>
      </c>
      <c r="BB148" s="32">
        <f t="shared" ref="BB148:BB211" si="193">IMARGUMENT(AZ148)</f>
        <v>0.19699550018488887</v>
      </c>
      <c r="BC148" s="60" t="str">
        <f t="shared" ref="BC148:BC211" si="194">IMPRODUCT(AS148,IMDIV(AZ148,IMPRODUCT(AT148,AW148)))</f>
        <v>-0.323919357190382+1.74436315122697i</v>
      </c>
      <c r="BD148" s="51">
        <f t="shared" ref="BD148:BD211" si="195">20*LOG(IMABS(BC148))</f>
        <v>4.9799699765721819</v>
      </c>
      <c r="BE148" s="63">
        <f t="shared" ref="BE148:BE211" si="196">(180/PI())*IMARGUMENT(BC148)</f>
        <v>100.5197111380823</v>
      </c>
      <c r="BF148" s="60" t="str">
        <f t="shared" ref="BF148:BF211" si="197">IMPRODUCT(AC148,BC148)</f>
        <v>14.3898093875075+24.3278732747305i</v>
      </c>
      <c r="BG148" s="66">
        <f t="shared" ref="BG148:BG211" si="198">20*LOG(IMABS(BF148))</f>
        <v>29.024989620442227</v>
      </c>
      <c r="BH148" s="63">
        <f t="shared" ref="BH148:BH211" si="199">(180/PI())*IMARGUMENT(BF148)</f>
        <v>59.395908020853753</v>
      </c>
      <c r="BI148" s="60" t="e">
        <f t="shared" si="152"/>
        <v>#NUM!</v>
      </c>
      <c r="BJ148" s="66" t="e">
        <f t="shared" ref="BJ148:BJ211" si="200">20*LOG(IMABS(BI148))</f>
        <v>#NUM!</v>
      </c>
      <c r="BK148" s="63" t="e">
        <f t="shared" si="153"/>
        <v>#NUM!</v>
      </c>
      <c r="BL148" s="51">
        <f t="shared" ref="BL148:BL211" si="201">IF($B$31=0,BJ148,BG148)</f>
        <v>29.024989620442227</v>
      </c>
      <c r="BM148" s="63">
        <f t="shared" ref="BM148:BM211" si="202">IF($B$31=0,BK148,BH148)</f>
        <v>59.395908020853753</v>
      </c>
    </row>
    <row r="149" spans="14:65" x14ac:dyDescent="0.3">
      <c r="N149" s="11">
        <v>31</v>
      </c>
      <c r="O149" s="52">
        <f t="shared" si="154"/>
        <v>204.17379446695315</v>
      </c>
      <c r="P149" s="50" t="str">
        <f t="shared" si="155"/>
        <v>21.1560044893378</v>
      </c>
      <c r="Q149" s="18" t="str">
        <f t="shared" si="156"/>
        <v>1+0.894115789898025i</v>
      </c>
      <c r="R149" s="18">
        <f t="shared" si="167"/>
        <v>1.3414332058455125</v>
      </c>
      <c r="S149" s="18">
        <f t="shared" si="168"/>
        <v>0.7295546288428878</v>
      </c>
      <c r="T149" s="18" t="str">
        <f t="shared" si="157"/>
        <v>1+0.00128286178550586i</v>
      </c>
      <c r="U149" s="18">
        <f t="shared" si="169"/>
        <v>1.0000008228668418</v>
      </c>
      <c r="V149" s="18">
        <f t="shared" si="170"/>
        <v>1.2828610817566481E-3</v>
      </c>
      <c r="W149" s="32" t="str">
        <f t="shared" si="158"/>
        <v>1-0.000576149168756774i</v>
      </c>
      <c r="X149" s="18">
        <f t="shared" si="171"/>
        <v>1.0000001659739186</v>
      </c>
      <c r="Y149" s="18">
        <f t="shared" si="172"/>
        <v>-5.7614910500629129E-4</v>
      </c>
      <c r="Z149" s="32" t="str">
        <f t="shared" si="159"/>
        <v>0.999999958313062+0.000314449875047255i</v>
      </c>
      <c r="AA149" s="18">
        <f t="shared" si="173"/>
        <v>1.0000000077524247</v>
      </c>
      <c r="AB149" s="18">
        <f t="shared" si="174"/>
        <v>3.1444987779157322E-4</v>
      </c>
      <c r="AC149" s="68" t="str">
        <f t="shared" si="175"/>
        <v>11.7611077896108-10.5074934747282i</v>
      </c>
      <c r="AD149" s="66">
        <f t="shared" si="176"/>
        <v>23.957300478403333</v>
      </c>
      <c r="AE149" s="63">
        <f t="shared" si="177"/>
        <v>-41.777926194197512</v>
      </c>
      <c r="AF149" s="51" t="e">
        <f t="shared" si="178"/>
        <v>#NUM!</v>
      </c>
      <c r="AG149" s="51" t="str">
        <f t="shared" si="160"/>
        <v>1-0.549797908073941i</v>
      </c>
      <c r="AH149" s="51">
        <f t="shared" si="179"/>
        <v>1.141173842901458</v>
      </c>
      <c r="AI149" s="51">
        <f t="shared" si="180"/>
        <v>-0.50268804073846329</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-0.000133283554228113</v>
      </c>
      <c r="AT149" s="32" t="str">
        <f t="shared" si="164"/>
        <v>0.0000783828550944083i</v>
      </c>
      <c r="AU149" s="32">
        <f t="shared" si="188"/>
        <v>7.8382855094408295E-5</v>
      </c>
      <c r="AV149" s="32">
        <f t="shared" si="189"/>
        <v>1.5707963267948966</v>
      </c>
      <c r="AW149" s="32" t="str">
        <f t="shared" si="165"/>
        <v>1+0.0137046612826302i</v>
      </c>
      <c r="AX149" s="32">
        <f t="shared" si="190"/>
        <v>1.0000939044614119</v>
      </c>
      <c r="AY149" s="32">
        <f t="shared" si="191"/>
        <v>1.3703803386464493E-2</v>
      </c>
      <c r="AZ149" s="32" t="str">
        <f t="shared" si="166"/>
        <v>1+0.204232879114318i</v>
      </c>
      <c r="BA149" s="32">
        <f t="shared" si="192"/>
        <v>1.0206424784964241</v>
      </c>
      <c r="BB149" s="32">
        <f t="shared" si="193"/>
        <v>0.20146230309292698</v>
      </c>
      <c r="BC149" s="60" t="str">
        <f t="shared" si="194"/>
        <v>-0.323916619552423+1.70485635786483i</v>
      </c>
      <c r="BD149" s="51">
        <f t="shared" si="195"/>
        <v>4.7877669192558461</v>
      </c>
      <c r="BE149" s="63">
        <f t="shared" si="196"/>
        <v>100.75776960088855</v>
      </c>
      <c r="BF149" s="60" t="str">
        <f t="shared" si="197"/>
        <v>14.1041487782112+23.4545511569547i</v>
      </c>
      <c r="BG149" s="66">
        <f t="shared" si="198"/>
        <v>28.745067397659195</v>
      </c>
      <c r="BH149" s="63">
        <f t="shared" si="199"/>
        <v>58.979843406691074</v>
      </c>
      <c r="BI149" s="60" t="e">
        <f t="shared" si="152"/>
        <v>#NUM!</v>
      </c>
      <c r="BJ149" s="66" t="e">
        <f t="shared" si="200"/>
        <v>#NUM!</v>
      </c>
      <c r="BK149" s="63" t="e">
        <f t="shared" si="153"/>
        <v>#NUM!</v>
      </c>
      <c r="BL149" s="51">
        <f t="shared" si="201"/>
        <v>28.745067397659195</v>
      </c>
      <c r="BM149" s="63">
        <f t="shared" si="202"/>
        <v>58.979843406691074</v>
      </c>
    </row>
    <row r="150" spans="14:65" x14ac:dyDescent="0.3">
      <c r="N150" s="11">
        <v>32</v>
      </c>
      <c r="O150" s="52">
        <f t="shared" si="154"/>
        <v>208.92961308540396</v>
      </c>
      <c r="P150" s="50" t="str">
        <f t="shared" si="155"/>
        <v>21.1560044893378</v>
      </c>
      <c r="Q150" s="18" t="str">
        <f t="shared" si="156"/>
        <v>1+0.914942422090225i</v>
      </c>
      <c r="R150" s="18">
        <f t="shared" si="167"/>
        <v>1.3554038644405317</v>
      </c>
      <c r="S150" s="18">
        <f t="shared" si="168"/>
        <v>0.74100951487721844</v>
      </c>
      <c r="T150" s="18" t="str">
        <f t="shared" si="157"/>
        <v>1+0.00131274347517293i</v>
      </c>
      <c r="U150" s="18">
        <f t="shared" si="169"/>
        <v>1.0000008616473446</v>
      </c>
      <c r="V150" s="18">
        <f t="shared" si="170"/>
        <v>1.3127427210920986E-3</v>
      </c>
      <c r="W150" s="32" t="str">
        <f t="shared" si="158"/>
        <v>1-0.000589569406897192i</v>
      </c>
      <c r="X150" s="18">
        <f t="shared" si="171"/>
        <v>1.0000001737960276</v>
      </c>
      <c r="Y150" s="18">
        <f t="shared" si="172"/>
        <v>-5.8956933858731971E-4</v>
      </c>
      <c r="Z150" s="32" t="str">
        <f t="shared" si="159"/>
        <v>0.999999956348417+0.000321774353559417i</v>
      </c>
      <c r="AA150" s="18">
        <f t="shared" si="173"/>
        <v>1.0000000081177851</v>
      </c>
      <c r="AB150" s="18">
        <f t="shared" si="174"/>
        <v>3.2177435650000696E-4</v>
      </c>
      <c r="AC150" s="68" t="str">
        <f t="shared" si="175"/>
        <v>11.5200958096707-10.5317323547193i</v>
      </c>
      <c r="AD150" s="66">
        <f t="shared" si="176"/>
        <v>23.867307542565364</v>
      </c>
      <c r="AE150" s="63">
        <f t="shared" si="177"/>
        <v>-42.43371931141025</v>
      </c>
      <c r="AF150" s="51" t="e">
        <f t="shared" si="178"/>
        <v>#NUM!</v>
      </c>
      <c r="AG150" s="51" t="str">
        <f t="shared" si="160"/>
        <v>1-0.562604346502685i</v>
      </c>
      <c r="AH150" s="51">
        <f t="shared" si="179"/>
        <v>1.1473986450679263</v>
      </c>
      <c r="AI150" s="51">
        <f t="shared" si="180"/>
        <v>-0.51246872296248558</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-0.000133283554228113</v>
      </c>
      <c r="AT150" s="32" t="str">
        <f t="shared" si="164"/>
        <v>0.0000802086263330658i</v>
      </c>
      <c r="AU150" s="32">
        <f t="shared" si="188"/>
        <v>8.0208626333065804E-5</v>
      </c>
      <c r="AV150" s="32">
        <f t="shared" si="189"/>
        <v>1.5707963267948966</v>
      </c>
      <c r="AW150" s="32" t="str">
        <f t="shared" si="165"/>
        <v>1+0.0140238838520969i</v>
      </c>
      <c r="AX150" s="32">
        <f t="shared" si="190"/>
        <v>1.0000983298247714</v>
      </c>
      <c r="AY150" s="32">
        <f t="shared" si="191"/>
        <v>1.4022964604674764E-2</v>
      </c>
      <c r="AZ150" s="32" t="str">
        <f t="shared" si="166"/>
        <v>1+0.208990073991005i</v>
      </c>
      <c r="BA150" s="32">
        <f t="shared" si="192"/>
        <v>1.02160503670781</v>
      </c>
      <c r="BB150" s="32">
        <f t="shared" si="193"/>
        <v>0.2060247285763655</v>
      </c>
      <c r="BC150" s="60" t="str">
        <f t="shared" si="194"/>
        <v>-0.323913752943161+1.66625349837345i</v>
      </c>
      <c r="BD150" s="51">
        <f t="shared" si="195"/>
        <v>4.595916204341373</v>
      </c>
      <c r="BE150" s="63">
        <f t="shared" si="196"/>
        <v>101.00089073464481</v>
      </c>
      <c r="BF150" s="60" t="str">
        <f t="shared" si="197"/>
        <v>13.8170184120087+22.6067728964712i</v>
      </c>
      <c r="BG150" s="66">
        <f t="shared" si="198"/>
        <v>28.463223746906753</v>
      </c>
      <c r="BH150" s="63">
        <f t="shared" si="199"/>
        <v>58.567171423234548</v>
      </c>
      <c r="BI150" s="60" t="e">
        <f t="shared" si="152"/>
        <v>#NUM!</v>
      </c>
      <c r="BJ150" s="66" t="e">
        <f t="shared" si="200"/>
        <v>#NUM!</v>
      </c>
      <c r="BK150" s="63" t="e">
        <f t="shared" si="153"/>
        <v>#NUM!</v>
      </c>
      <c r="BL150" s="51">
        <f t="shared" si="201"/>
        <v>28.463223746906753</v>
      </c>
      <c r="BM150" s="63">
        <f t="shared" si="202"/>
        <v>58.567171423234548</v>
      </c>
    </row>
    <row r="151" spans="14:65" x14ac:dyDescent="0.3">
      <c r="N151" s="11">
        <v>33</v>
      </c>
      <c r="O151" s="52">
        <f t="shared" si="154"/>
        <v>213.79620895022339</v>
      </c>
      <c r="P151" s="50" t="str">
        <f t="shared" si="155"/>
        <v>21.1560044893378</v>
      </c>
      <c r="Q151" s="18" t="str">
        <f t="shared" si="156"/>
        <v>1+0.936254168865305i</v>
      </c>
      <c r="R151" s="18">
        <f t="shared" si="167"/>
        <v>1.3698802388229647</v>
      </c>
      <c r="S151" s="18">
        <f t="shared" si="168"/>
        <v>0.75248780673739779</v>
      </c>
      <c r="T151" s="18" t="str">
        <f t="shared" si="157"/>
        <v>1+0.00134332119880674i</v>
      </c>
      <c r="U151" s="18">
        <f t="shared" si="169"/>
        <v>1.0000009022555145</v>
      </c>
      <c r="V151" s="18">
        <f t="shared" si="170"/>
        <v>1.3433203907946107E-3</v>
      </c>
      <c r="W151" s="32" t="str">
        <f t="shared" si="158"/>
        <v>1-0.000603302242541015i</v>
      </c>
      <c r="X151" s="18">
        <f t="shared" si="171"/>
        <v>1.0000001819867814</v>
      </c>
      <c r="Y151" s="18">
        <f t="shared" si="172"/>
        <v>-6.0330216934566868E-4</v>
      </c>
      <c r="Z151" s="32" t="str">
        <f t="shared" si="159"/>
        <v>0.999999954291181+0.00032926944109302i</v>
      </c>
      <c r="AA151" s="18">
        <f t="shared" si="173"/>
        <v>1.0000000085003644</v>
      </c>
      <c r="AB151" s="18">
        <f t="shared" si="174"/>
        <v>3.2926944424391898E-4</v>
      </c>
      <c r="AC151" s="68" t="str">
        <f t="shared" si="175"/>
        <v>11.2780979448042-10.550476405616i</v>
      </c>
      <c r="AD151" s="66">
        <f t="shared" si="176"/>
        <v>23.775030337630337</v>
      </c>
      <c r="AE151" s="63">
        <f t="shared" si="177"/>
        <v>-43.090841289734875</v>
      </c>
      <c r="AF151" s="51" t="e">
        <f t="shared" si="178"/>
        <v>#NUM!</v>
      </c>
      <c r="AG151" s="51" t="str">
        <f t="shared" si="160"/>
        <v>1-0.575709085202889i</v>
      </c>
      <c r="AH151" s="51">
        <f t="shared" si="179"/>
        <v>1.1538808217425001</v>
      </c>
      <c r="AI151" s="51">
        <f t="shared" si="180"/>
        <v>-0.52236701287425735</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-0.000133283554228113</v>
      </c>
      <c r="AT151" s="32" t="str">
        <f t="shared" si="164"/>
        <v>0.0000820769252470918i</v>
      </c>
      <c r="AU151" s="32">
        <f t="shared" si="188"/>
        <v>8.2076925247091798E-5</v>
      </c>
      <c r="AV151" s="32">
        <f t="shared" si="189"/>
        <v>1.5707963267948966</v>
      </c>
      <c r="AW151" s="32" t="str">
        <f t="shared" si="165"/>
        <v>1+0.01435054207041i</v>
      </c>
      <c r="AX151" s="32">
        <f t="shared" si="190"/>
        <v>1.0001029637280927</v>
      </c>
      <c r="AY151" s="32">
        <f t="shared" si="191"/>
        <v>1.434955708452774E-2</v>
      </c>
      <c r="AZ151" s="32" t="str">
        <f t="shared" si="166"/>
        <v>1+0.213858078171232i</v>
      </c>
      <c r="BA151" s="32">
        <f t="shared" si="192"/>
        <v>1.0226119878033373</v>
      </c>
      <c r="BB151" s="32">
        <f t="shared" si="193"/>
        <v>0.21068443557463884</v>
      </c>
      <c r="BC151" s="60" t="str">
        <f t="shared" si="194"/>
        <v>-0.323910751289147+1.62853410475293i</v>
      </c>
      <c r="BD151" s="51">
        <f t="shared" si="195"/>
        <v>4.4044330412513704</v>
      </c>
      <c r="BE151" s="63">
        <f t="shared" si="196"/>
        <v>101.24915990869718</v>
      </c>
      <c r="BF151" s="60" t="str">
        <f t="shared" si="197"/>
        <v>13.5287134695226+21.7841798788591i</v>
      </c>
      <c r="BG151" s="66">
        <f t="shared" si="198"/>
        <v>28.179463378881703</v>
      </c>
      <c r="BH151" s="63">
        <f t="shared" si="199"/>
        <v>58.15831861896244</v>
      </c>
      <c r="BI151" s="60" t="e">
        <f t="shared" si="152"/>
        <v>#NUM!</v>
      </c>
      <c r="BJ151" s="66" t="e">
        <f t="shared" si="200"/>
        <v>#NUM!</v>
      </c>
      <c r="BK151" s="63" t="e">
        <f t="shared" si="153"/>
        <v>#NUM!</v>
      </c>
      <c r="BL151" s="51">
        <f t="shared" si="201"/>
        <v>28.179463378881703</v>
      </c>
      <c r="BM151" s="63">
        <f t="shared" si="202"/>
        <v>58.15831861896244</v>
      </c>
    </row>
    <row r="152" spans="14:65" x14ac:dyDescent="0.3">
      <c r="N152" s="11">
        <v>34</v>
      </c>
      <c r="O152" s="52">
        <f t="shared" si="154"/>
        <v>218.77616239495524</v>
      </c>
      <c r="P152" s="50" t="str">
        <f t="shared" si="155"/>
        <v>21.1560044893378</v>
      </c>
      <c r="Q152" s="18" t="str">
        <f t="shared" si="156"/>
        <v>1+0.958062329993509i</v>
      </c>
      <c r="R152" s="18">
        <f t="shared" si="167"/>
        <v>1.3848766833738633</v>
      </c>
      <c r="S152" s="18">
        <f t="shared" si="168"/>
        <v>0.7639834931580487</v>
      </c>
      <c r="T152" s="18" t="str">
        <f t="shared" si="157"/>
        <v>1+0.00137461116912112i</v>
      </c>
      <c r="U152" s="18">
        <f t="shared" si="169"/>
        <v>1.0000009447774869</v>
      </c>
      <c r="V152" s="18">
        <f t="shared" si="170"/>
        <v>1.3746103033205688E-3</v>
      </c>
      <c r="W152" s="32" t="str">
        <f t="shared" si="158"/>
        <v>1-0.000617354957019485i</v>
      </c>
      <c r="X152" s="18">
        <f t="shared" si="171"/>
        <v>1.0000001905635534</v>
      </c>
      <c r="Y152" s="18">
        <f t="shared" si="172"/>
        <v>-6.1735487858925926E-4</v>
      </c>
      <c r="Z152" s="32" t="str">
        <f t="shared" si="159"/>
        <v>0.999999952136991+0.000336939111642689i</v>
      </c>
      <c r="AA152" s="18">
        <f t="shared" si="173"/>
        <v>1.0000000089009746</v>
      </c>
      <c r="AB152" s="18">
        <f t="shared" si="174"/>
        <v>3.3693911501893797E-4</v>
      </c>
      <c r="AC152" s="68" t="str">
        <f t="shared" si="175"/>
        <v>11.0353660943208-10.5636763291664i</v>
      </c>
      <c r="AD152" s="66">
        <f t="shared" si="176"/>
        <v>23.680460728596767</v>
      </c>
      <c r="AE152" s="63">
        <f t="shared" si="177"/>
        <v>-43.748947425010918</v>
      </c>
      <c r="AF152" s="51" t="e">
        <f t="shared" si="178"/>
        <v>#NUM!</v>
      </c>
      <c r="AG152" s="51" t="str">
        <f t="shared" si="160"/>
        <v>1-0.589119072480481i</v>
      </c>
      <c r="AH152" s="51">
        <f t="shared" si="179"/>
        <v>1.1606296918312327</v>
      </c>
      <c r="AI152" s="51">
        <f t="shared" si="180"/>
        <v>-0.53238039965284556</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-0.000133283554228113</v>
      </c>
      <c r="AT152" s="32" t="str">
        <f t="shared" si="164"/>
        <v>0.0000839887424333003i</v>
      </c>
      <c r="AU152" s="32">
        <f t="shared" si="188"/>
        <v>8.39887424333003E-5</v>
      </c>
      <c r="AV152" s="32">
        <f t="shared" si="189"/>
        <v>1.5707963267948966</v>
      </c>
      <c r="AW152" s="32" t="str">
        <f t="shared" si="165"/>
        <v>1+0.0146848091360807i</v>
      </c>
      <c r="AX152" s="32">
        <f t="shared" si="190"/>
        <v>1.000107815997537</v>
      </c>
      <c r="AY152" s="32">
        <f t="shared" si="191"/>
        <v>1.4683753710837513E-2</v>
      </c>
      <c r="AZ152" s="32" t="str">
        <f t="shared" si="166"/>
        <v>1+0.218839472735251i</v>
      </c>
      <c r="BA152" s="32">
        <f t="shared" si="192"/>
        <v>1.0236653334107992</v>
      </c>
      <c r="BB152" s="32">
        <f t="shared" si="193"/>
        <v>0.21544308494414291</v>
      </c>
      <c r="BC152" s="60" t="str">
        <f t="shared" si="194"/>
        <v>-0.323907608231162+1.59167817741058i</v>
      </c>
      <c r="BD152" s="51">
        <f t="shared" si="195"/>
        <v>4.2133332303602833</v>
      </c>
      <c r="BE152" s="63">
        <f t="shared" si="196"/>
        <v>101.50266237753735</v>
      </c>
      <c r="BF152" s="60" t="str">
        <f t="shared" si="197"/>
        <v>13.2395340487962+20.9864065259755i</v>
      </c>
      <c r="BG152" s="66">
        <f t="shared" si="198"/>
        <v>27.893793958957069</v>
      </c>
      <c r="BH152" s="63">
        <f t="shared" si="199"/>
        <v>57.75371495252638</v>
      </c>
      <c r="BI152" s="60" t="e">
        <f t="shared" si="152"/>
        <v>#NUM!</v>
      </c>
      <c r="BJ152" s="66" t="e">
        <f t="shared" si="200"/>
        <v>#NUM!</v>
      </c>
      <c r="BK152" s="63" t="e">
        <f t="shared" si="153"/>
        <v>#NUM!</v>
      </c>
      <c r="BL152" s="51">
        <f t="shared" si="201"/>
        <v>27.893793958957069</v>
      </c>
      <c r="BM152" s="63">
        <f t="shared" si="202"/>
        <v>57.75371495252638</v>
      </c>
    </row>
    <row r="153" spans="14:65" x14ac:dyDescent="0.3">
      <c r="N153" s="11">
        <v>35</v>
      </c>
      <c r="O153" s="52">
        <f t="shared" si="154"/>
        <v>223.87211385683412</v>
      </c>
      <c r="P153" s="50" t="str">
        <f t="shared" si="155"/>
        <v>21.1560044893378</v>
      </c>
      <c r="Q153" s="18" t="str">
        <f t="shared" si="156"/>
        <v>1+0.980378468450532i</v>
      </c>
      <c r="R153" s="18">
        <f t="shared" si="167"/>
        <v>1.4004077768283818</v>
      </c>
      <c r="S153" s="18">
        <f t="shared" si="168"/>
        <v>0.77549051704004246</v>
      </c>
      <c r="T153" s="18" t="str">
        <f t="shared" si="157"/>
        <v>1+0.0014066299764725i</v>
      </c>
      <c r="U153" s="18">
        <f t="shared" si="169"/>
        <v>1.000000989303456</v>
      </c>
      <c r="V153" s="18">
        <f t="shared" si="170"/>
        <v>1.4066290487505446E-3</v>
      </c>
      <c r="W153" s="32" t="str">
        <f t="shared" si="158"/>
        <v>1-0.000631735001267827i</v>
      </c>
      <c r="X153" s="18">
        <f t="shared" si="171"/>
        <v>1.000000199544536</v>
      </c>
      <c r="Y153" s="18">
        <f t="shared" si="172"/>
        <v>-6.3173491722832693E-4</v>
      </c>
      <c r="Z153" s="32" t="str">
        <f t="shared" si="159"/>
        <v>0.999999949881277+0.000344787431769267i</v>
      </c>
      <c r="AA153" s="18">
        <f t="shared" si="173"/>
        <v>1.0000000093204648</v>
      </c>
      <c r="AB153" s="18">
        <f t="shared" si="174"/>
        <v>3.4478743538698286E-4</v>
      </c>
      <c r="AC153" s="68" t="str">
        <f t="shared" si="175"/>
        <v>10.7921552470251-10.5712972827122i</v>
      </c>
      <c r="AD153" s="66">
        <f t="shared" si="176"/>
        <v>23.583592978343582</v>
      </c>
      <c r="AE153" s="63">
        <f t="shared" si="177"/>
        <v>-44.407690380383784</v>
      </c>
      <c r="AF153" s="51" t="e">
        <f t="shared" si="178"/>
        <v>#NUM!</v>
      </c>
      <c r="AG153" s="51" t="str">
        <f t="shared" si="160"/>
        <v>1-0.602841418488215i</v>
      </c>
      <c r="AH153" s="51">
        <f t="shared" si="179"/>
        <v>1.1676548187905889</v>
      </c>
      <c r="AI153" s="51">
        <f t="shared" si="180"/>
        <v>-0.54250615977095085</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-0.000133283554228113</v>
      </c>
      <c r="AT153" s="32" t="str">
        <f t="shared" si="164"/>
        <v>0.0000859450915624695i</v>
      </c>
      <c r="AU153" s="32">
        <f t="shared" si="188"/>
        <v>8.5945091562469498E-5</v>
      </c>
      <c r="AV153" s="32">
        <f t="shared" si="189"/>
        <v>1.5707963267948966</v>
      </c>
      <c r="AW153" s="32" t="str">
        <f t="shared" si="165"/>
        <v>1+0.0150268622819318i</v>
      </c>
      <c r="AX153" s="32">
        <f t="shared" si="190"/>
        <v>1.0001128969221627</v>
      </c>
      <c r="AY153" s="32">
        <f t="shared" si="191"/>
        <v>1.5025731380303241E-2</v>
      </c>
      <c r="AZ153" s="32" t="str">
        <f t="shared" si="166"/>
        <v>1+0.223936898884398i</v>
      </c>
      <c r="BA153" s="32">
        <f t="shared" si="192"/>
        <v>1.0247671612039297</v>
      </c>
      <c r="BB153" s="32">
        <f t="shared" si="193"/>
        <v>0.2203023373190223</v>
      </c>
      <c r="BC153" s="60" t="str">
        <f t="shared" si="194"/>
        <v>-0.323904317110795+1.55566617455563i</v>
      </c>
      <c r="BD153" s="51">
        <f t="shared" si="195"/>
        <v>4.022633179932984</v>
      </c>
      <c r="BE153" s="63">
        <f t="shared" si="196"/>
        <v>101.76148315305873</v>
      </c>
      <c r="BF153" s="60" t="str">
        <f t="shared" si="197"/>
        <v>12.9497839284459+20.2130796956821i</v>
      </c>
      <c r="BG153" s="66">
        <f t="shared" si="198"/>
        <v>27.60622615827657</v>
      </c>
      <c r="BH153" s="63">
        <f t="shared" si="199"/>
        <v>57.353792772674872</v>
      </c>
      <c r="BI153" s="60" t="e">
        <f t="shared" si="152"/>
        <v>#NUM!</v>
      </c>
      <c r="BJ153" s="66" t="e">
        <f t="shared" si="200"/>
        <v>#NUM!</v>
      </c>
      <c r="BK153" s="63" t="e">
        <f t="shared" si="153"/>
        <v>#NUM!</v>
      </c>
      <c r="BL153" s="51">
        <f t="shared" si="201"/>
        <v>27.60622615827657</v>
      </c>
      <c r="BM153" s="63">
        <f t="shared" si="202"/>
        <v>57.353792772674872</v>
      </c>
    </row>
    <row r="154" spans="14:65" x14ac:dyDescent="0.3">
      <c r="N154" s="11">
        <v>36</v>
      </c>
      <c r="O154" s="52">
        <f t="shared" si="154"/>
        <v>229.08676527677744</v>
      </c>
      <c r="P154" s="50" t="str">
        <f t="shared" si="155"/>
        <v>21.1560044893378</v>
      </c>
      <c r="Q154" s="18" t="str">
        <f t="shared" si="156"/>
        <v>1+1.00321441654837i</v>
      </c>
      <c r="R154" s="18">
        <f t="shared" si="167"/>
        <v>1.4164883217204747</v>
      </c>
      <c r="S154" s="18">
        <f t="shared" si="168"/>
        <v>0.78700279132092776</v>
      </c>
      <c r="T154" s="18" t="str">
        <f t="shared" si="157"/>
        <v>1+0.00143939459765635i</v>
      </c>
      <c r="U154" s="18">
        <f t="shared" si="169"/>
        <v>1.0000010359278673</v>
      </c>
      <c r="V154" s="18">
        <f t="shared" si="170"/>
        <v>1.4393936035844205E-3</v>
      </c>
      <c r="W154" s="32" t="str">
        <f t="shared" si="158"/>
        <v>1-0.00064644999977584i</v>
      </c>
      <c r="X154" s="18">
        <f t="shared" si="171"/>
        <v>1.0000002089487794</v>
      </c>
      <c r="Y154" s="18">
        <f t="shared" si="172"/>
        <v>-6.4644990972589434E-4</v>
      </c>
      <c r="Z154" s="32" t="str">
        <f t="shared" si="159"/>
        <v>0.999999947519254+0.000352818562755969i</v>
      </c>
      <c r="AA154" s="18">
        <f t="shared" si="173"/>
        <v>1.0000000097597244</v>
      </c>
      <c r="AB154" s="18">
        <f t="shared" si="174"/>
        <v>3.5281856663242156E-4</v>
      </c>
      <c r="AC154" s="68" t="str">
        <f t="shared" si="175"/>
        <v>10.5487224154938-10.5733191030229i</v>
      </c>
      <c r="AD154" s="66">
        <f t="shared" si="176"/>
        <v>23.484423771830802</v>
      </c>
      <c r="AE154" s="63">
        <f t="shared" si="177"/>
        <v>-45.06672109545638</v>
      </c>
      <c r="AF154" s="51" t="e">
        <f t="shared" si="178"/>
        <v>#NUM!</v>
      </c>
      <c r="AG154" s="51" t="str">
        <f t="shared" si="160"/>
        <v>1-0.61688339899558i</v>
      </c>
      <c r="AH154" s="51">
        <f t="shared" si="179"/>
        <v>1.17496601140473</v>
      </c>
      <c r="AI154" s="51">
        <f t="shared" si="180"/>
        <v>-0.55274135589246398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-0.000133283554228113</v>
      </c>
      <c r="AT154" s="32" t="str">
        <f t="shared" si="164"/>
        <v>0.0000879470099168028i</v>
      </c>
      <c r="AU154" s="32">
        <f t="shared" si="188"/>
        <v>8.7947009916802802E-5</v>
      </c>
      <c r="AV154" s="32">
        <f t="shared" si="189"/>
        <v>1.5707963267948966</v>
      </c>
      <c r="AW154" s="32" t="str">
        <f t="shared" si="165"/>
        <v>1+0.0153768828690688i</v>
      </c>
      <c r="AX154" s="32">
        <f t="shared" si="190"/>
        <v>1.0001182172757224</v>
      </c>
      <c r="AY154" s="32">
        <f t="shared" si="191"/>
        <v>1.5375671093877399E-2</v>
      </c>
      <c r="AZ154" s="32" t="str">
        <f t="shared" si="166"/>
        <v>1+0.229153059341488i</v>
      </c>
      <c r="BA154" s="32">
        <f t="shared" si="192"/>
        <v>1.0259196482208359</v>
      </c>
      <c r="BB154" s="32">
        <f t="shared" si="193"/>
        <v>0.22526385081401562</v>
      </c>
      <c r="BC154" s="60" t="str">
        <f t="shared" si="194"/>
        <v>-0.323900870956383+1.52047900183646i</v>
      </c>
      <c r="BD154" s="51">
        <f t="shared" si="195"/>
        <v>3.8323499229750824</v>
      </c>
      <c r="BE154" s="63">
        <f t="shared" si="196"/>
        <v>102.02570686764722</v>
      </c>
      <c r="BF154" s="60" t="str">
        <f t="shared" si="197"/>
        <v>12.6597692980071+19.4638181953288i</v>
      </c>
      <c r="BG154" s="66">
        <f t="shared" si="198"/>
        <v>27.316773694805892</v>
      </c>
      <c r="BH154" s="63">
        <f t="shared" si="199"/>
        <v>56.9589857721908</v>
      </c>
      <c r="BI154" s="60" t="e">
        <f t="shared" si="152"/>
        <v>#NUM!</v>
      </c>
      <c r="BJ154" s="66" t="e">
        <f t="shared" si="200"/>
        <v>#NUM!</v>
      </c>
      <c r="BK154" s="63" t="e">
        <f t="shared" si="153"/>
        <v>#NUM!</v>
      </c>
      <c r="BL154" s="51">
        <f t="shared" si="201"/>
        <v>27.316773694805892</v>
      </c>
      <c r="BM154" s="63">
        <f t="shared" si="202"/>
        <v>56.9589857721908</v>
      </c>
    </row>
    <row r="155" spans="14:65" x14ac:dyDescent="0.3">
      <c r="N155" s="11">
        <v>37</v>
      </c>
      <c r="O155" s="52">
        <f t="shared" si="154"/>
        <v>234.42288153199232</v>
      </c>
      <c r="P155" s="50" t="str">
        <f t="shared" si="155"/>
        <v>21.1560044893378</v>
      </c>
      <c r="Q155" s="18" t="str">
        <f t="shared" si="156"/>
        <v>1+1.02658228220896i</v>
      </c>
      <c r="R155" s="18">
        <f t="shared" si="167"/>
        <v>1.4331333441607439</v>
      </c>
      <c r="S155" s="18">
        <f t="shared" si="168"/>
        <v>0.79851421503817055</v>
      </c>
      <c r="T155" s="18" t="str">
        <f t="shared" si="157"/>
        <v>1+0.00147292240490851i</v>
      </c>
      <c r="U155" s="18">
        <f t="shared" si="169"/>
        <v>1.000001084749617</v>
      </c>
      <c r="V155" s="18">
        <f t="shared" si="170"/>
        <v>1.472921339741309E-3</v>
      </c>
      <c r="W155" s="32" t="str">
        <f t="shared" si="158"/>
        <v>1-0.000661507754630509i</v>
      </c>
      <c r="X155" s="18">
        <f t="shared" si="171"/>
        <v>1.0000002187962307</v>
      </c>
      <c r="Y155" s="18">
        <f t="shared" si="172"/>
        <v>-6.6150765814025484E-4</v>
      </c>
      <c r="Z155" s="32" t="str">
        <f t="shared" si="159"/>
        <v>0.999999945045913+0.000361036762814749i</v>
      </c>
      <c r="AA155" s="18">
        <f t="shared" si="173"/>
        <v>1.0000000102196864</v>
      </c>
      <c r="AB155" s="18">
        <f t="shared" si="174"/>
        <v>3.6103676696844255E-4</v>
      </c>
      <c r="AC155" s="68" t="str">
        <f t="shared" si="175"/>
        <v>10.3053255522199-10.5697364362754i</v>
      </c>
      <c r="AD155" s="66">
        <f t="shared" si="176"/>
        <v>23.382952230126428</v>
      </c>
      <c r="AE155" s="63">
        <f t="shared" si="177"/>
        <v>-45.725689706490371</v>
      </c>
      <c r="AF155" s="51" t="e">
        <f t="shared" si="178"/>
        <v>#NUM!</v>
      </c>
      <c r="AG155" s="51" t="str">
        <f t="shared" si="160"/>
        <v>1-0.631252459246505i</v>
      </c>
      <c r="AH155" s="51">
        <f t="shared" si="179"/>
        <v>1.1825733242825835</v>
      </c>
      <c r="AI155" s="51">
        <f t="shared" si="180"/>
        <v>-0.56308283656947911</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-0.000133283554228113</v>
      </c>
      <c r="AT155" s="32" t="str">
        <f t="shared" si="164"/>
        <v>0.0000899955589399103i</v>
      </c>
      <c r="AU155" s="32">
        <f t="shared" si="188"/>
        <v>8.9995558939910301E-5</v>
      </c>
      <c r="AV155" s="32">
        <f t="shared" si="189"/>
        <v>1.5707963267948966</v>
      </c>
      <c r="AW155" s="32" t="str">
        <f t="shared" si="165"/>
        <v>1+0.01573505648304i</v>
      </c>
      <c r="AX155" s="32">
        <f t="shared" si="190"/>
        <v>1.0001237883394858</v>
      </c>
      <c r="AY155" s="32">
        <f t="shared" si="191"/>
        <v>1.5733758051208524E-2</v>
      </c>
      <c r="AZ155" s="32" t="str">
        <f t="shared" si="166"/>
        <v>1+0.23449071978384i</v>
      </c>
      <c r="BA155" s="32">
        <f t="shared" si="192"/>
        <v>1.027125064276373</v>
      </c>
      <c r="BB155" s="32">
        <f t="shared" si="193"/>
        <v>0.23032927856288718</v>
      </c>
      <c r="BC155" s="60" t="str">
        <f t="shared" si="194"/>
        <v>-0.323897262468313+1.48609800221511i</v>
      </c>
      <c r="BD155" s="51">
        <f t="shared" si="195"/>
        <v>3.642501133928719</v>
      </c>
      <c r="BE155" s="63">
        <f t="shared" si="196"/>
        <v>102.29541762773226</v>
      </c>
      <c r="BF155" s="60" t="str">
        <f t="shared" si="197"/>
        <v>12.3697974666803+18.7382324120515i</v>
      </c>
      <c r="BG155" s="66">
        <f t="shared" si="198"/>
        <v>27.025453364055135</v>
      </c>
      <c r="BH155" s="63">
        <f t="shared" si="199"/>
        <v>56.569727921241991</v>
      </c>
      <c r="BI155" s="60" t="e">
        <f t="shared" si="152"/>
        <v>#NUM!</v>
      </c>
      <c r="BJ155" s="66" t="e">
        <f t="shared" si="200"/>
        <v>#NUM!</v>
      </c>
      <c r="BK155" s="63" t="e">
        <f t="shared" si="153"/>
        <v>#NUM!</v>
      </c>
      <c r="BL155" s="51">
        <f t="shared" si="201"/>
        <v>27.025453364055135</v>
      </c>
      <c r="BM155" s="63">
        <f t="shared" si="202"/>
        <v>56.569727921241991</v>
      </c>
    </row>
    <row r="156" spans="14:65" x14ac:dyDescent="0.3">
      <c r="N156" s="11">
        <v>38</v>
      </c>
      <c r="O156" s="52">
        <f t="shared" si="154"/>
        <v>239.88329190194912</v>
      </c>
      <c r="P156" s="50" t="str">
        <f t="shared" si="155"/>
        <v>21.1560044893378</v>
      </c>
      <c r="Q156" s="18" t="str">
        <f t="shared" si="156"/>
        <v>1+1.05049445538402i</v>
      </c>
      <c r="R156" s="18">
        <f t="shared" si="167"/>
        <v>1.4503580939866434</v>
      </c>
      <c r="S156" s="18">
        <f t="shared" si="168"/>
        <v>0.81001868948210254</v>
      </c>
      <c r="T156" s="18" t="str">
        <f t="shared" si="157"/>
        <v>1+0.0015072311751162i</v>
      </c>
      <c r="U156" s="18">
        <f t="shared" si="169"/>
        <v>1.0000011358722625</v>
      </c>
      <c r="V156" s="18">
        <f t="shared" si="170"/>
        <v>1.5072300337690507E-3</v>
      </c>
      <c r="W156" s="32" t="str">
        <f t="shared" si="158"/>
        <v>1-0.000676916249652779i</v>
      </c>
      <c r="X156" s="18">
        <f t="shared" si="171"/>
        <v>1.0000002291077783</v>
      </c>
      <c r="Y156" s="18">
        <f t="shared" si="172"/>
        <v>-6.769161462616102E-4</v>
      </c>
      <c r="Z156" s="32" t="str">
        <f t="shared" si="159"/>
        <v>0.999999942456006+0.000369446389344062i</v>
      </c>
      <c r="AA156" s="18">
        <f t="shared" si="173"/>
        <v>1.0000000107013249</v>
      </c>
      <c r="AB156" s="18">
        <f t="shared" si="174"/>
        <v>3.6944639379482514E-4</v>
      </c>
      <c r="AC156" s="68" t="str">
        <f t="shared" si="175"/>
        <v>10.0622224573134-10.5605587726232i</v>
      </c>
      <c r="AD156" s="66">
        <f t="shared" si="176"/>
        <v>23.279179914135582</v>
      </c>
      <c r="AE156" s="63">
        <f t="shared" si="177"/>
        <v>-46.384246471738209</v>
      </c>
      <c r="AF156" s="51" t="e">
        <f t="shared" si="178"/>
        <v>#NUM!</v>
      </c>
      <c r="AG156" s="51" t="str">
        <f t="shared" si="160"/>
        <v>1-0.645956217906944i</v>
      </c>
      <c r="AH156" s="51">
        <f t="shared" si="179"/>
        <v>1.1904870580786013</v>
      </c>
      <c r="AI156" s="51">
        <f t="shared" si="180"/>
        <v>-0.57352723678320761</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-0.000133283554228113</v>
      </c>
      <c r="AT156" s="32" t="str">
        <f t="shared" si="164"/>
        <v>0.0000920918247995997i</v>
      </c>
      <c r="AU156" s="32">
        <f t="shared" si="188"/>
        <v>9.2091824799599696E-5</v>
      </c>
      <c r="AV156" s="32">
        <f t="shared" si="189"/>
        <v>1.5707963267948966</v>
      </c>
      <c r="AW156" s="32" t="str">
        <f t="shared" si="165"/>
        <v>1+0.0161015730322367i</v>
      </c>
      <c r="AX156" s="32">
        <f t="shared" si="190"/>
        <v>1.0001296219261344</v>
      </c>
      <c r="AY156" s="32">
        <f t="shared" si="191"/>
        <v>1.6100181747201379E-2</v>
      </c>
      <c r="AZ156" s="32" t="str">
        <f t="shared" si="166"/>
        <v>1+0.239952710309674i</v>
      </c>
      <c r="BA156" s="32">
        <f t="shared" si="192"/>
        <v>1.0283857754680188</v>
      </c>
      <c r="BB156" s="32">
        <f t="shared" si="193"/>
        <v>0.23550026608604452</v>
      </c>
      <c r="BC156" s="60" t="str">
        <f t="shared" si="194"/>
        <v>-0.323893484003615+1.45250494607344i</v>
      </c>
      <c r="BD156" s="51">
        <f t="shared" si="195"/>
        <v>3.453105145138085</v>
      </c>
      <c r="BE156" s="63">
        <f t="shared" si="196"/>
        <v>102.57069885743</v>
      </c>
      <c r="BF156" s="60" t="str">
        <f t="shared" si="197"/>
        <v>12.0801755620158+18.0359240616288i</v>
      </c>
      <c r="BG156" s="66">
        <f t="shared" si="198"/>
        <v>26.732285059273657</v>
      </c>
      <c r="BH156" s="63">
        <f t="shared" si="199"/>
        <v>56.186452385691773</v>
      </c>
      <c r="BI156" s="60" t="e">
        <f t="shared" si="152"/>
        <v>#NUM!</v>
      </c>
      <c r="BJ156" s="66" t="e">
        <f t="shared" si="200"/>
        <v>#NUM!</v>
      </c>
      <c r="BK156" s="63" t="e">
        <f t="shared" si="153"/>
        <v>#NUM!</v>
      </c>
      <c r="BL156" s="51">
        <f t="shared" si="201"/>
        <v>26.732285059273657</v>
      </c>
      <c r="BM156" s="63">
        <f t="shared" si="202"/>
        <v>56.186452385691773</v>
      </c>
    </row>
    <row r="157" spans="14:65" x14ac:dyDescent="0.3">
      <c r="N157" s="11">
        <v>39</v>
      </c>
      <c r="O157" s="52">
        <f t="shared" si="154"/>
        <v>245.4708915685033</v>
      </c>
      <c r="P157" s="50" t="str">
        <f t="shared" si="155"/>
        <v>21.1560044893378</v>
      </c>
      <c r="Q157" s="18" t="str">
        <f t="shared" si="156"/>
        <v>1+1.07496361462425i</v>
      </c>
      <c r="R157" s="18">
        <f t="shared" si="167"/>
        <v>1.4681780453221718</v>
      </c>
      <c r="S157" s="18">
        <f t="shared" si="168"/>
        <v>0.82151013433424058</v>
      </c>
      <c r="T157" s="18" t="str">
        <f t="shared" si="157"/>
        <v>1+0.00154233909924349i</v>
      </c>
      <c r="U157" s="18">
        <f t="shared" si="169"/>
        <v>1.0000011894042411</v>
      </c>
      <c r="V157" s="18">
        <f t="shared" si="170"/>
        <v>1.5423378762680641E-3</v>
      </c>
      <c r="W157" s="32" t="str">
        <f t="shared" si="158"/>
        <v>1-0.000692683654630656i</v>
      </c>
      <c r="X157" s="18">
        <f t="shared" si="171"/>
        <v>1.0000002399052939</v>
      </c>
      <c r="Y157" s="18">
        <f t="shared" si="172"/>
        <v>-6.9268354384502417E-4</v>
      </c>
      <c r="Z157" s="32" t="str">
        <f t="shared" si="159"/>
        <v>0.999999939744041+0.000378051901239205i</v>
      </c>
      <c r="AA157" s="18">
        <f t="shared" si="173"/>
        <v>1.0000000112056628</v>
      </c>
      <c r="AB157" s="18">
        <f t="shared" si="174"/>
        <v>3.7805190600828366E-4</v>
      </c>
      <c r="AC157" s="68" t="str">
        <f t="shared" si="175"/>
        <v>9.81966968757312-10.5458103849405i</v>
      </c>
      <c r="AD157" s="66">
        <f t="shared" si="176"/>
        <v>23.173110817998239</v>
      </c>
      <c r="AE157" s="63">
        <f t="shared" si="177"/>
        <v>-47.042042695935692</v>
      </c>
      <c r="AF157" s="51" t="e">
        <f t="shared" si="178"/>
        <v>#NUM!</v>
      </c>
      <c r="AG157" s="51" t="str">
        <f t="shared" si="160"/>
        <v>1-0.661002471104354i</v>
      </c>
      <c r="AH157" s="51">
        <f t="shared" si="179"/>
        <v>1.198717759443841</v>
      </c>
      <c r="AI157" s="51">
        <f t="shared" si="180"/>
        <v>-0.58407097936878871</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-0.000133283554228113</v>
      </c>
      <c r="AT157" s="32" t="str">
        <f t="shared" si="164"/>
        <v>0.0000942369189637774i</v>
      </c>
      <c r="AU157" s="32">
        <f t="shared" si="188"/>
        <v>9.4236918963777399E-5</v>
      </c>
      <c r="AV157" s="32">
        <f t="shared" si="189"/>
        <v>1.5707963267948966</v>
      </c>
      <c r="AW157" s="32" t="str">
        <f t="shared" si="165"/>
        <v>1+0.0164766268485846i</v>
      </c>
      <c r="AX157" s="32">
        <f t="shared" si="190"/>
        <v>1.0001357304047824</v>
      </c>
      <c r="AY157" s="32">
        <f t="shared" si="191"/>
        <v>1.6475136070736911E-2</v>
      </c>
      <c r="AZ157" s="32" t="str">
        <f t="shared" si="166"/>
        <v>1+0.245541926938663i</v>
      </c>
      <c r="BA157" s="32">
        <f t="shared" si="192"/>
        <v>1.0297042477744529</v>
      </c>
      <c r="BB157" s="32">
        <f t="shared" si="193"/>
        <v>0.2407784484811247</v>
      </c>
      <c r="BC157" s="60" t="str">
        <f t="shared" si="194"/>
        <v>-0.323889527559845+1.41968202154586i</v>
      </c>
      <c r="BD157" s="51">
        <f t="shared" si="195"/>
        <v>3.2641809630044434</v>
      </c>
      <c r="BE157" s="63">
        <f t="shared" si="196"/>
        <v>102.85163313191956</v>
      </c>
      <c r="BF157" s="60" t="str">
        <f t="shared" si="197"/>
        <v>11.7912092302299+17.3564860562805i</v>
      </c>
      <c r="BG157" s="66">
        <f t="shared" si="198"/>
        <v>26.437291781002688</v>
      </c>
      <c r="BH157" s="63">
        <f t="shared" si="199"/>
        <v>55.8095904359838</v>
      </c>
      <c r="BI157" s="60" t="e">
        <f t="shared" si="152"/>
        <v>#NUM!</v>
      </c>
      <c r="BJ157" s="66" t="e">
        <f t="shared" si="200"/>
        <v>#NUM!</v>
      </c>
      <c r="BK157" s="63" t="e">
        <f t="shared" si="153"/>
        <v>#NUM!</v>
      </c>
      <c r="BL157" s="51">
        <f t="shared" si="201"/>
        <v>26.437291781002688</v>
      </c>
      <c r="BM157" s="63">
        <f t="shared" si="202"/>
        <v>55.8095904359838</v>
      </c>
    </row>
    <row r="158" spans="14:65" x14ac:dyDescent="0.3">
      <c r="N158" s="11">
        <v>40</v>
      </c>
      <c r="O158" s="52">
        <f t="shared" si="154"/>
        <v>251.18864315095806</v>
      </c>
      <c r="P158" s="50" t="str">
        <f t="shared" si="155"/>
        <v>21.1560044893378</v>
      </c>
      <c r="Q158" s="18" t="str">
        <f t="shared" si="156"/>
        <v>1+1.10000273380179i</v>
      </c>
      <c r="R158" s="18">
        <f t="shared" si="167"/>
        <v>1.4866088975824852</v>
      </c>
      <c r="S158" s="18">
        <f t="shared" si="168"/>
        <v>0.83298250368713311</v>
      </c>
      <c r="T158" s="18" t="str">
        <f t="shared" si="157"/>
        <v>1+0.00157826479197648i</v>
      </c>
      <c r="U158" s="18">
        <f t="shared" si="169"/>
        <v>1.0000012454591012</v>
      </c>
      <c r="V158" s="18">
        <f t="shared" si="170"/>
        <v>1.5782634815347896E-3</v>
      </c>
      <c r="W158" s="32" t="str">
        <f t="shared" si="158"/>
        <v>1-0.000708818329650976i</v>
      </c>
      <c r="X158" s="18">
        <f t="shared" si="171"/>
        <v>1.0000002512116806</v>
      </c>
      <c r="Y158" s="18">
        <f t="shared" si="172"/>
        <v>-7.0881821094203419E-4</v>
      </c>
      <c r="Z158" s="32" t="str">
        <f t="shared" si="159"/>
        <v>0.999999936904266+0.000386857861256496i</v>
      </c>
      <c r="AA158" s="18">
        <f t="shared" si="173"/>
        <v>1.0000000117337704</v>
      </c>
      <c r="AB158" s="18">
        <f t="shared" si="174"/>
        <v>3.868578663666555E-4</v>
      </c>
      <c r="AC158" s="68" t="str">
        <f t="shared" si="175"/>
        <v>9.57792147672004-10.5255301724763i</v>
      </c>
      <c r="AD158" s="66">
        <f t="shared" si="176"/>
        <v>23.064751352213534</v>
      </c>
      <c r="AE158" s="63">
        <f t="shared" si="177"/>
        <v>-47.698731648005051</v>
      </c>
      <c r="AF158" s="51" t="e">
        <f t="shared" si="178"/>
        <v>#NUM!</v>
      </c>
      <c r="AG158" s="51" t="str">
        <f t="shared" si="160"/>
        <v>1-0.67639919656135i</v>
      </c>
      <c r="AH158" s="51">
        <f t="shared" si="179"/>
        <v>1.2072762207170487</v>
      </c>
      <c r="AI158" s="51">
        <f t="shared" si="180"/>
        <v>-0.59471027735902637</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-0.000133283554228113</v>
      </c>
      <c r="AT158" s="32" t="str">
        <f t="shared" si="164"/>
        <v>0.0000964319787897627i</v>
      </c>
      <c r="AU158" s="32">
        <f t="shared" si="188"/>
        <v>9.6431978789762699E-5</v>
      </c>
      <c r="AV158" s="32">
        <f t="shared" si="189"/>
        <v>1.5707963267948966</v>
      </c>
      <c r="AW158" s="32" t="str">
        <f t="shared" si="165"/>
        <v>1+0.0168604167905816i</v>
      </c>
      <c r="AX158" s="32">
        <f t="shared" si="190"/>
        <v>1.0001421267271726</v>
      </c>
      <c r="AY158" s="32">
        <f t="shared" si="191"/>
        <v>1.6858819405597778E-2</v>
      </c>
      <c r="AZ158" s="32" t="str">
        <f t="shared" si="166"/>
        <v>1+0.251261333147447i</v>
      </c>
      <c r="BA158" s="32">
        <f t="shared" si="192"/>
        <v>1.0310830507456867</v>
      </c>
      <c r="BB158" s="32">
        <f t="shared" si="193"/>
        <v>0.24616544743055715</v>
      </c>
      <c r="BC158" s="60" t="str">
        <f t="shared" si="194"/>
        <v>-0.323885384758224+1.38761182507342i</v>
      </c>
      <c r="BD158" s="51">
        <f t="shared" si="195"/>
        <v>3.0757482837417598</v>
      </c>
      <c r="BE158" s="63">
        <f t="shared" si="196"/>
        <v>103.13830200020648</v>
      </c>
      <c r="BF158" s="60" t="str">
        <f t="shared" si="197"/>
        <v>11.5032013498237+16.6995024904182i</v>
      </c>
      <c r="BG158" s="66">
        <f t="shared" si="198"/>
        <v>26.140499635955315</v>
      </c>
      <c r="BH158" s="63">
        <f t="shared" si="199"/>
        <v>55.439570352201379</v>
      </c>
      <c r="BI158" s="60" t="e">
        <f t="shared" si="152"/>
        <v>#NUM!</v>
      </c>
      <c r="BJ158" s="66" t="e">
        <f t="shared" si="200"/>
        <v>#NUM!</v>
      </c>
      <c r="BK158" s="63" t="e">
        <f t="shared" si="153"/>
        <v>#NUM!</v>
      </c>
      <c r="BL158" s="51">
        <f t="shared" si="201"/>
        <v>26.140499635955315</v>
      </c>
      <c r="BM158" s="63">
        <f t="shared" si="202"/>
        <v>55.439570352201379</v>
      </c>
    </row>
    <row r="159" spans="14:65" x14ac:dyDescent="0.3">
      <c r="N159" s="11">
        <v>41</v>
      </c>
      <c r="O159" s="52">
        <f t="shared" si="154"/>
        <v>257.03957827688663</v>
      </c>
      <c r="P159" s="50" t="str">
        <f t="shared" si="155"/>
        <v>21.1560044893378</v>
      </c>
      <c r="Q159" s="18" t="str">
        <f t="shared" si="156"/>
        <v>1+1.12562508898904i</v>
      </c>
      <c r="R159" s="18">
        <f t="shared" si="167"/>
        <v>1.5056665769557296</v>
      </c>
      <c r="S159" s="18">
        <f t="shared" si="168"/>
        <v>0.84442980184288852</v>
      </c>
      <c r="T159" s="18" t="str">
        <f t="shared" si="157"/>
        <v>1+0.00161502730159297i</v>
      </c>
      <c r="U159" s="18">
        <f t="shared" si="169"/>
        <v>1.0000013041557421</v>
      </c>
      <c r="V159" s="18">
        <f t="shared" si="170"/>
        <v>1.6150258974294992E-3</v>
      </c>
      <c r="W159" s="32" t="str">
        <f t="shared" si="158"/>
        <v>1-0.000725328829531991i</v>
      </c>
      <c r="X159" s="18">
        <f t="shared" si="171"/>
        <v>1.0000002630509208</v>
      </c>
      <c r="Y159" s="18">
        <f t="shared" si="172"/>
        <v>-7.2532870233306998E-4</v>
      </c>
      <c r="Z159" s="32" t="str">
        <f t="shared" si="159"/>
        <v>0.999999933930655+0.000395868938432492i</v>
      </c>
      <c r="AA159" s="18">
        <f t="shared" si="173"/>
        <v>1.0000000122867654</v>
      </c>
      <c r="AB159" s="18">
        <f t="shared" si="174"/>
        <v>3.958689439081268E-4</v>
      </c>
      <c r="AC159" s="68" t="str">
        <f t="shared" si="175"/>
        <v>9.33722867641998-10.4997714112869i</v>
      </c>
      <c r="AD159" s="66">
        <f t="shared" si="176"/>
        <v>22.954110316643511</v>
      </c>
      <c r="AE159" s="63">
        <f t="shared" si="177"/>
        <v>-48.353969466068641</v>
      </c>
      <c r="AF159" s="51" t="e">
        <f t="shared" si="178"/>
        <v>#NUM!</v>
      </c>
      <c r="AG159" s="51" t="str">
        <f t="shared" si="160"/>
        <v>1-0.69215455782556i</v>
      </c>
      <c r="AH159" s="51">
        <f t="shared" si="179"/>
        <v>1.2161734793682588</v>
      </c>
      <c r="AI159" s="51">
        <f t="shared" si="180"/>
        <v>-0.60544113727600346</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-0.000133283554228113</v>
      </c>
      <c r="AT159" s="32" t="str">
        <f t="shared" si="164"/>
        <v>0.0000986781681273305i</v>
      </c>
      <c r="AU159" s="32">
        <f t="shared" si="188"/>
        <v>9.8678168127330505E-5</v>
      </c>
      <c r="AV159" s="32">
        <f t="shared" si="189"/>
        <v>1.5707963267948966</v>
      </c>
      <c r="AW159" s="32" t="str">
        <f t="shared" si="165"/>
        <v>1+0.0172531463487349i</v>
      </c>
      <c r="AX159" s="32">
        <f t="shared" si="190"/>
        <v>1.0001488244551062</v>
      </c>
      <c r="AY159" s="32">
        <f t="shared" si="191"/>
        <v>1.7251434733642296E-2</v>
      </c>
      <c r="AZ159" s="32" t="str">
        <f t="shared" si="166"/>
        <v>1+0.257113961440902i</v>
      </c>
      <c r="BA159" s="32">
        <f t="shared" si="192"/>
        <v>1.0325248612831719</v>
      </c>
      <c r="BB159" s="32">
        <f t="shared" si="193"/>
        <v>0.25166286802037008</v>
      </c>
      <c r="BC159" s="60" t="str">
        <f t="shared" si="194"/>
        <v>-0.323881046825963+1.35627735217427i</v>
      </c>
      <c r="BD159" s="51">
        <f t="shared" si="195"/>
        <v>2.8878275086370837</v>
      </c>
      <c r="BE159" s="63">
        <f t="shared" si="196"/>
        <v>103.43078579694195</v>
      </c>
      <c r="BF159" s="60" t="str">
        <f t="shared" si="197"/>
        <v>11.216450769963+16.0645487420215i</v>
      </c>
      <c r="BG159" s="66">
        <f t="shared" si="198"/>
        <v>25.841937825280606</v>
      </c>
      <c r="BH159" s="63">
        <f t="shared" si="199"/>
        <v>55.076816330873342</v>
      </c>
      <c r="BI159" s="60" t="e">
        <f t="shared" si="152"/>
        <v>#NUM!</v>
      </c>
      <c r="BJ159" s="66" t="e">
        <f t="shared" si="200"/>
        <v>#NUM!</v>
      </c>
      <c r="BK159" s="63" t="e">
        <f t="shared" si="153"/>
        <v>#NUM!</v>
      </c>
      <c r="BL159" s="51">
        <f t="shared" si="201"/>
        <v>25.841937825280606</v>
      </c>
      <c r="BM159" s="63">
        <f t="shared" si="202"/>
        <v>55.076816330873342</v>
      </c>
    </row>
    <row r="160" spans="14:65" x14ac:dyDescent="0.3">
      <c r="N160" s="11">
        <v>42</v>
      </c>
      <c r="O160" s="52">
        <f t="shared" si="154"/>
        <v>263.02679918953817</v>
      </c>
      <c r="P160" s="50" t="str">
        <f t="shared" si="155"/>
        <v>21.1560044893378</v>
      </c>
      <c r="Q160" s="18" t="str">
        <f t="shared" si="156"/>
        <v>1+1.15184426549788i</v>
      </c>
      <c r="R160" s="18">
        <f t="shared" si="167"/>
        <v>1.5253672383922341</v>
      </c>
      <c r="S160" s="18">
        <f t="shared" si="168"/>
        <v>0.85584609879058571</v>
      </c>
      <c r="T160" s="18" t="str">
        <f t="shared" si="157"/>
        <v>1+0.00165264612006218i</v>
      </c>
      <c r="U160" s="18">
        <f t="shared" si="169"/>
        <v>1.0000013656186666</v>
      </c>
      <c r="V160" s="18">
        <f t="shared" si="170"/>
        <v>1.6526446154740244E-3</v>
      </c>
      <c r="W160" s="32" t="str">
        <f t="shared" si="158"/>
        <v>1-0.000742223908359287i</v>
      </c>
      <c r="X160" s="18">
        <f t="shared" si="171"/>
        <v>1.0000002754481272</v>
      </c>
      <c r="Y160" s="18">
        <f t="shared" si="172"/>
        <v>-7.4222377206318961E-4</v>
      </c>
      <c r="Z160" s="32" t="str">
        <f t="shared" si="159"/>
        <v>0.999999930816903+0.000405089910559589i</v>
      </c>
      <c r="AA160" s="18">
        <f t="shared" si="173"/>
        <v>1.0000000128658231</v>
      </c>
      <c r="AB160" s="18">
        <f t="shared" si="174"/>
        <v>4.0508991642683727E-4</v>
      </c>
      <c r="AC160" s="68" t="str">
        <f t="shared" si="175"/>
        <v>9.09783772739506-10.4686014144187i</v>
      </c>
      <c r="AD160" s="66">
        <f t="shared" si="176"/>
        <v>22.841198863636162</v>
      </c>
      <c r="AE160" s="63">
        <f t="shared" si="177"/>
        <v>-49.007416044063611</v>
      </c>
      <c r="AF160" s="51" t="e">
        <f t="shared" si="178"/>
        <v>#NUM!</v>
      </c>
      <c r="AG160" s="51" t="str">
        <f t="shared" si="160"/>
        <v>1-0.708276908598078i</v>
      </c>
      <c r="AH160" s="51">
        <f t="shared" si="179"/>
        <v>1.2254208172106633</v>
      </c>
      <c r="AI160" s="51">
        <f t="shared" si="180"/>
        <v>-0.61625936339318821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-0.000133283554228113</v>
      </c>
      <c r="AT160" s="32" t="str">
        <f t="shared" si="164"/>
        <v>0.000100976677935799i</v>
      </c>
      <c r="AU160" s="32">
        <f t="shared" si="188"/>
        <v>1.00976677935799E-4</v>
      </c>
      <c r="AV160" s="32">
        <f t="shared" si="189"/>
        <v>1.5707963267948966</v>
      </c>
      <c r="AW160" s="32" t="str">
        <f t="shared" si="165"/>
        <v>1+0.0176550237534546i</v>
      </c>
      <c r="AX160" s="32">
        <f t="shared" si="190"/>
        <v>1.0001558377891593</v>
      </c>
      <c r="AY160" s="32">
        <f t="shared" si="191"/>
        <v>1.7653189740273315E-2</v>
      </c>
      <c r="AZ160" s="32" t="str">
        <f t="shared" si="166"/>
        <v>1+0.263102914960019i</v>
      </c>
      <c r="BA160" s="32">
        <f t="shared" si="192"/>
        <v>1.0340324675078916</v>
      </c>
      <c r="BB160" s="32">
        <f t="shared" si="193"/>
        <v>0.25727229536491164</v>
      </c>
      <c r="BC160" s="60" t="str">
        <f t="shared" si="194"/>
        <v>-0.323876504577797+1.32566198842554i</v>
      </c>
      <c r="BD160" s="51">
        <f t="shared" si="195"/>
        <v>2.7004397587116418</v>
      </c>
      <c r="BE160" s="63">
        <f t="shared" si="196"/>
        <v>103.72916344299131</v>
      </c>
      <c r="BF160" s="60" t="str">
        <f t="shared" si="197"/>
        <v>10.931251084708+15.4511916859915i</v>
      </c>
      <c r="BG160" s="66">
        <f t="shared" si="198"/>
        <v>25.54163862234779</v>
      </c>
      <c r="BH160" s="63">
        <f t="shared" si="199"/>
        <v>54.721747398927619</v>
      </c>
      <c r="BI160" s="60" t="e">
        <f t="shared" si="152"/>
        <v>#NUM!</v>
      </c>
      <c r="BJ160" s="66" t="e">
        <f t="shared" si="200"/>
        <v>#NUM!</v>
      </c>
      <c r="BK160" s="63" t="e">
        <f t="shared" si="153"/>
        <v>#NUM!</v>
      </c>
      <c r="BL160" s="51">
        <f t="shared" si="201"/>
        <v>25.54163862234779</v>
      </c>
      <c r="BM160" s="63">
        <f t="shared" si="202"/>
        <v>54.721747398927619</v>
      </c>
    </row>
    <row r="161" spans="14:65" x14ac:dyDescent="0.3">
      <c r="N161" s="11">
        <v>43</v>
      </c>
      <c r="O161" s="52">
        <f t="shared" si="154"/>
        <v>269.15348039269179</v>
      </c>
      <c r="P161" s="50" t="str">
        <f t="shared" si="155"/>
        <v>21.1560044893378</v>
      </c>
      <c r="Q161" s="18" t="str">
        <f t="shared" si="156"/>
        <v>1+1.17867416508276i</v>
      </c>
      <c r="R161" s="18">
        <f t="shared" si="167"/>
        <v>1.5457272681277061</v>
      </c>
      <c r="S161" s="18">
        <f t="shared" si="168"/>
        <v>0.86722554526626561</v>
      </c>
      <c r="T161" s="18" t="str">
        <f t="shared" si="157"/>
        <v>1+0.00169114119337961i</v>
      </c>
      <c r="U161" s="18">
        <f t="shared" si="169"/>
        <v>1.0000014299782456</v>
      </c>
      <c r="V161" s="18">
        <f t="shared" si="170"/>
        <v>1.6911395811844794E-3</v>
      </c>
      <c r="W161" s="32" t="str">
        <f t="shared" si="158"/>
        <v>1-0.000759512524127293i</v>
      </c>
      <c r="X161" s="18">
        <f t="shared" si="171"/>
        <v>1.0000002884295955</v>
      </c>
      <c r="Y161" s="18">
        <f t="shared" si="172"/>
        <v>-7.595123780833957E-4</v>
      </c>
      <c r="Z161" s="32" t="str">
        <f t="shared" si="159"/>
        <v>0.999999927556404+0.000414525666719266i</v>
      </c>
      <c r="AA161" s="18">
        <f t="shared" si="173"/>
        <v>1.0000000134721707</v>
      </c>
      <c r="AB161" s="18">
        <f t="shared" si="174"/>
        <v>4.145256730061358E-4</v>
      </c>
      <c r="AC161" s="68" t="str">
        <f t="shared" si="175"/>
        <v>8.85998966947388-10.4321011058527i</v>
      </c>
      <c r="AD161" s="66">
        <f t="shared" si="176"/>
        <v>22.726030451595619</v>
      </c>
      <c r="AE161" s="63">
        <f t="shared" si="177"/>
        <v>-49.658735894434223</v>
      </c>
      <c r="AF161" s="51" t="e">
        <f t="shared" si="178"/>
        <v>#NUM!</v>
      </c>
      <c r="AG161" s="51" t="str">
        <f t="shared" si="160"/>
        <v>1-0.724774797162691i</v>
      </c>
      <c r="AH161" s="51">
        <f t="shared" si="179"/>
        <v>1.2350297593994324</v>
      </c>
      <c r="AI161" s="51">
        <f t="shared" si="180"/>
        <v>-0.62716056298323575</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-0.000133283554228113</v>
      </c>
      <c r="AT161" s="32" t="str">
        <f t="shared" si="164"/>
        <v>0.000103328726915494i</v>
      </c>
      <c r="AU161" s="32">
        <f t="shared" si="188"/>
        <v>1.03328726915494E-4</v>
      </c>
      <c r="AV161" s="32">
        <f t="shared" si="189"/>
        <v>1.5707963267948966</v>
      </c>
      <c r="AW161" s="32" t="str">
        <f t="shared" si="165"/>
        <v>1+0.0180662620854604i</v>
      </c>
      <c r="AX161" s="32">
        <f t="shared" si="190"/>
        <v>1.0001631815987533</v>
      </c>
      <c r="AY161" s="32">
        <f t="shared" si="191"/>
        <v>1.8064296922246995E-2</v>
      </c>
      <c r="AZ161" s="32" t="str">
        <f t="shared" si="166"/>
        <v>1+0.269231369127227i</v>
      </c>
      <c r="BA161" s="32">
        <f t="shared" si="192"/>
        <v>1.0356087727139633</v>
      </c>
      <c r="BB161" s="32">
        <f t="shared" si="193"/>
        <v>0.26299529103256691</v>
      </c>
      <c r="BC161" s="60" t="str">
        <f t="shared" si="194"/>
        <v>-0.323871748396619+1.29574950065194i</v>
      </c>
      <c r="BD161" s="51">
        <f t="shared" si="195"/>
        <v>2.5136068886713208</v>
      </c>
      <c r="BE161" s="63">
        <f t="shared" si="196"/>
        <v>104.03351223446498</v>
      </c>
      <c r="BF161" s="60" t="str">
        <f t="shared" si="197"/>
        <v>10.6478894536307+14.8589900146049i</v>
      </c>
      <c r="BG161" s="66">
        <f t="shared" si="198"/>
        <v>25.239637340266924</v>
      </c>
      <c r="BH161" s="63">
        <f t="shared" si="199"/>
        <v>54.374776340030685</v>
      </c>
      <c r="BI161" s="60" t="e">
        <f t="shared" si="152"/>
        <v>#NUM!</v>
      </c>
      <c r="BJ161" s="66" t="e">
        <f t="shared" si="200"/>
        <v>#NUM!</v>
      </c>
      <c r="BK161" s="63" t="e">
        <f t="shared" si="153"/>
        <v>#NUM!</v>
      </c>
      <c r="BL161" s="51">
        <f t="shared" si="201"/>
        <v>25.239637340266924</v>
      </c>
      <c r="BM161" s="63">
        <f t="shared" si="202"/>
        <v>54.374776340030685</v>
      </c>
    </row>
    <row r="162" spans="14:65" x14ac:dyDescent="0.3">
      <c r="N162" s="11">
        <v>44</v>
      </c>
      <c r="O162" s="52">
        <f t="shared" si="154"/>
        <v>275.42287033381683</v>
      </c>
      <c r="P162" s="50" t="str">
        <f t="shared" si="155"/>
        <v>21.1560044893378</v>
      </c>
      <c r="Q162" s="18" t="str">
        <f t="shared" si="156"/>
        <v>1+1.20612901331156i</v>
      </c>
      <c r="R162" s="18">
        <f t="shared" si="167"/>
        <v>1.566763286764123</v>
      </c>
      <c r="S162" s="18">
        <f t="shared" si="168"/>
        <v>0.87856238730427094</v>
      </c>
      <c r="T162" s="18" t="str">
        <f t="shared" si="157"/>
        <v>1+0.00173053293214267i</v>
      </c>
      <c r="U162" s="18">
        <f t="shared" si="169"/>
        <v>1.0000014973709936</v>
      </c>
      <c r="V162" s="18">
        <f t="shared" si="170"/>
        <v>1.7305312046446033E-3</v>
      </c>
      <c r="W162" s="32" t="str">
        <f t="shared" si="158"/>
        <v>1-0.000777203843488927i</v>
      </c>
      <c r="X162" s="18">
        <f t="shared" si="171"/>
        <v>1.0000003020228616</v>
      </c>
      <c r="Y162" s="18">
        <f t="shared" si="172"/>
        <v>-7.772036870000742E-4</v>
      </c>
      <c r="Z162" s="32" t="str">
        <f t="shared" si="159"/>
        <v>0.999999924142242+0.000424181209874333i</v>
      </c>
      <c r="AA162" s="18">
        <f t="shared" si="173"/>
        <v>1.0000000141070942</v>
      </c>
      <c r="AB162" s="18">
        <f t="shared" si="174"/>
        <v>4.2418121661083553E-4</v>
      </c>
      <c r="AC162" s="68" t="str">
        <f t="shared" si="175"/>
        <v>8.62391919883847-10.3903645131903i</v>
      </c>
      <c r="AD162" s="66">
        <f t="shared" si="176"/>
        <v>22.608620789405979</v>
      </c>
      <c r="AE162" s="63">
        <f t="shared" si="177"/>
        <v>-50.30759898167863</v>
      </c>
      <c r="AF162" s="51" t="e">
        <f t="shared" si="178"/>
        <v>#NUM!</v>
      </c>
      <c r="AG162" s="51" t="str">
        <f t="shared" si="160"/>
        <v>1-0.741656970918288i</v>
      </c>
      <c r="AH162" s="51">
        <f t="shared" si="179"/>
        <v>1.2450120732393282</v>
      </c>
      <c r="AI162" s="51">
        <f t="shared" si="180"/>
        <v>-0.63814015255899381</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-0.000133283554228113</v>
      </c>
      <c r="AT162" s="32" t="str">
        <f t="shared" si="164"/>
        <v>0.000105735562153917i</v>
      </c>
      <c r="AU162" s="32">
        <f t="shared" si="188"/>
        <v>1.0573556215391699E-4</v>
      </c>
      <c r="AV162" s="32">
        <f t="shared" si="189"/>
        <v>1.5707963267948966</v>
      </c>
      <c r="AW162" s="32" t="str">
        <f t="shared" si="165"/>
        <v>1+0.0184870793887592i</v>
      </c>
      <c r="AX162" s="32">
        <f t="shared" si="190"/>
        <v>1.0001708714536361</v>
      </c>
      <c r="AY162" s="32">
        <f t="shared" si="191"/>
        <v>1.8484973697866999E-2</v>
      </c>
      <c r="AZ162" s="32" t="str">
        <f t="shared" si="166"/>
        <v>1+0.275502573330045i</v>
      </c>
      <c r="BA162" s="32">
        <f t="shared" si="192"/>
        <v>1.0372567994047939</v>
      </c>
      <c r="BB162" s="32">
        <f t="shared" si="193"/>
        <v>0.26883338926811573</v>
      </c>
      <c r="BC162" s="60" t="str">
        <f t="shared" si="194"/>
        <v>-0.323866768213246+1.2665240283163i</v>
      </c>
      <c r="BD162" s="51">
        <f t="shared" si="195"/>
        <v>2.3273515000259826</v>
      </c>
      <c r="BE162" s="63">
        <f t="shared" si="196"/>
        <v>104.34390761996248</v>
      </c>
      <c r="BF162" s="60" t="str">
        <f t="shared" si="197"/>
        <v>10.3666454786605+14.2874946590317i</v>
      </c>
      <c r="BG162" s="66">
        <f t="shared" si="198"/>
        <v>24.935972289431945</v>
      </c>
      <c r="BH162" s="63">
        <f t="shared" si="199"/>
        <v>54.036308638283906</v>
      </c>
      <c r="BI162" s="60" t="e">
        <f t="shared" si="152"/>
        <v>#NUM!</v>
      </c>
      <c r="BJ162" s="66" t="e">
        <f t="shared" si="200"/>
        <v>#NUM!</v>
      </c>
      <c r="BK162" s="63" t="e">
        <f t="shared" si="153"/>
        <v>#NUM!</v>
      </c>
      <c r="BL162" s="51">
        <f t="shared" si="201"/>
        <v>24.935972289431945</v>
      </c>
      <c r="BM162" s="63">
        <f t="shared" si="202"/>
        <v>54.036308638283906</v>
      </c>
    </row>
    <row r="163" spans="14:65" x14ac:dyDescent="0.3">
      <c r="N163" s="11">
        <v>45</v>
      </c>
      <c r="O163" s="52">
        <f t="shared" si="154"/>
        <v>281.83829312644554</v>
      </c>
      <c r="P163" s="50" t="str">
        <f t="shared" si="155"/>
        <v>21.1560044893378</v>
      </c>
      <c r="Q163" s="18" t="str">
        <f t="shared" si="156"/>
        <v>1+1.23422336710822i</v>
      </c>
      <c r="R163" s="18">
        <f t="shared" si="167"/>
        <v>1.5884921529286671</v>
      </c>
      <c r="S163" s="18">
        <f t="shared" si="168"/>
        <v>0.8898509801946034</v>
      </c>
      <c r="T163" s="18" t="str">
        <f t="shared" si="157"/>
        <v>1+0.00177084222237266i</v>
      </c>
      <c r="U163" s="18">
        <f t="shared" si="169"/>
        <v>1.0000015679398591</v>
      </c>
      <c r="V163" s="18">
        <f t="shared" si="170"/>
        <v>1.7708403713252885E-3</v>
      </c>
      <c r="W163" s="32" t="str">
        <f t="shared" si="158"/>
        <v>1-0.000795307246615887i</v>
      </c>
      <c r="X163" s="18">
        <f t="shared" si="171"/>
        <v>1.0000003162567583</v>
      </c>
      <c r="Y163" s="18">
        <f t="shared" si="172"/>
        <v>-7.95307078935063E-4</v>
      </c>
      <c r="Z163" s="32" t="str">
        <f t="shared" si="159"/>
        <v>0.999999920567177+0.000434061659521577i</v>
      </c>
      <c r="AA163" s="18">
        <f t="shared" si="173"/>
        <v>1.0000000147719421</v>
      </c>
      <c r="AB163" s="18">
        <f t="shared" si="174"/>
        <v>4.3406166673986906E-4</v>
      </c>
      <c r="AC163" s="68" t="str">
        <f t="shared" si="175"/>
        <v>8.38985378002948-10.3434981849353i</v>
      </c>
      <c r="AD163" s="66">
        <f t="shared" si="176"/>
        <v>22.488987772192569</v>
      </c>
      <c r="AE163" s="63">
        <f t="shared" si="177"/>
        <v>-50.953681521854314</v>
      </c>
      <c r="AF163" s="51" t="e">
        <f t="shared" si="178"/>
        <v>#NUM!</v>
      </c>
      <c r="AG163" s="51" t="str">
        <f t="shared" si="160"/>
        <v>1-0.758932381016855i</v>
      </c>
      <c r="AH163" s="51">
        <f t="shared" si="179"/>
        <v>1.2553797668259246</v>
      </c>
      <c r="AI163" s="51">
        <f t="shared" si="180"/>
        <v>-0.64919336510685055</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-0.000133283554228113</v>
      </c>
      <c r="AT163" s="32" t="str">
        <f t="shared" si="164"/>
        <v>0.000108198459786969i</v>
      </c>
      <c r="AU163" s="32">
        <f t="shared" si="188"/>
        <v>1.0819845978696901E-4</v>
      </c>
      <c r="AV163" s="32">
        <f t="shared" si="189"/>
        <v>1.5707963267948966</v>
      </c>
      <c r="AW163" s="32" t="str">
        <f t="shared" si="165"/>
        <v>1+0.0189176987862552i</v>
      </c>
      <c r="AX163" s="32">
        <f t="shared" si="190"/>
        <v>1.0001789236568464</v>
      </c>
      <c r="AY163" s="32">
        <f t="shared" si="191"/>
        <v>1.8915442519612444E-2</v>
      </c>
      <c r="AZ163" s="32" t="str">
        <f t="shared" si="166"/>
        <v>1+0.28191985264395i</v>
      </c>
      <c r="BA163" s="32">
        <f t="shared" si="192"/>
        <v>1.0389796934082911</v>
      </c>
      <c r="BB163" s="32">
        <f t="shared" si="193"/>
        <v>0.27478809300799606</v>
      </c>
      <c r="BC163" s="60" t="str">
        <f t="shared" si="194"/>
        <v>-0.32386155348522+1.23797007510756i</v>
      </c>
      <c r="BD163" s="51">
        <f t="shared" si="195"/>
        <v>2.1416969532496353</v>
      </c>
      <c r="BE163" s="63">
        <f t="shared" si="196"/>
        <v>104.66042296581035</v>
      </c>
      <c r="BF163" s="60" t="str">
        <f t="shared" si="197"/>
        <v>10.0877901461651+13.7362493048492i</v>
      </c>
      <c r="BG163" s="66">
        <f t="shared" si="198"/>
        <v>24.630684725442201</v>
      </c>
      <c r="BH163" s="63">
        <f t="shared" si="199"/>
        <v>53.706741443955892</v>
      </c>
      <c r="BI163" s="60" t="e">
        <f t="shared" si="152"/>
        <v>#NUM!</v>
      </c>
      <c r="BJ163" s="66" t="e">
        <f t="shared" si="200"/>
        <v>#NUM!</v>
      </c>
      <c r="BK163" s="63" t="e">
        <f t="shared" si="153"/>
        <v>#NUM!</v>
      </c>
      <c r="BL163" s="51">
        <f t="shared" si="201"/>
        <v>24.630684725442201</v>
      </c>
      <c r="BM163" s="63">
        <f t="shared" si="202"/>
        <v>53.706741443955892</v>
      </c>
    </row>
    <row r="164" spans="14:65" x14ac:dyDescent="0.3">
      <c r="N164" s="11">
        <v>46</v>
      </c>
      <c r="O164" s="52">
        <f t="shared" si="154"/>
        <v>288.40315031266073</v>
      </c>
      <c r="P164" s="50" t="str">
        <f t="shared" si="155"/>
        <v>21.1560044893378</v>
      </c>
      <c r="Q164" s="18" t="str">
        <f t="shared" si="156"/>
        <v>1+1.262972122471i</v>
      </c>
      <c r="R164" s="18">
        <f t="shared" si="167"/>
        <v>1.6109309675274428</v>
      </c>
      <c r="S164" s="18">
        <f t="shared" si="168"/>
        <v>0.90108580176767694</v>
      </c>
      <c r="T164" s="18" t="str">
        <f t="shared" si="157"/>
        <v>1+0.00181209043658882i</v>
      </c>
      <c r="U164" s="18">
        <f t="shared" si="169"/>
        <v>1.0000016418345274</v>
      </c>
      <c r="V164" s="18">
        <f t="shared" si="170"/>
        <v>1.8120884531560024E-3</v>
      </c>
      <c r="W164" s="32" t="str">
        <f t="shared" si="158"/>
        <v>1-0.000813832332172139i</v>
      </c>
      <c r="X164" s="18">
        <f t="shared" si="171"/>
        <v>1.0000003311614776</v>
      </c>
      <c r="Y164" s="18">
        <f t="shared" si="172"/>
        <v>-8.1383215249890219E-4</v>
      </c>
      <c r="Z164" s="32" t="str">
        <f t="shared" si="159"/>
        <v>0.999999916823623+0.000444172254406184i</v>
      </c>
      <c r="AA164" s="18">
        <f t="shared" si="173"/>
        <v>1.0000000154681223</v>
      </c>
      <c r="AB164" s="18">
        <f t="shared" si="174"/>
        <v>4.4417226214072341E-4</v>
      </c>
      <c r="AC164" s="68" t="str">
        <f t="shared" si="175"/>
        <v>8.15801281946719-10.291620538995i</v>
      </c>
      <c r="AD164" s="66">
        <f t="shared" si="176"/>
        <v>22.367151408971374</v>
      </c>
      <c r="AE164" s="63">
        <f t="shared" si="177"/>
        <v>-51.596666743547168</v>
      </c>
      <c r="AF164" s="51" t="e">
        <f t="shared" si="178"/>
        <v>#NUM!</v>
      </c>
      <c r="AG164" s="51" t="str">
        <f t="shared" si="160"/>
        <v>1-0.776610187109495i</v>
      </c>
      <c r="AH164" s="51">
        <f t="shared" si="179"/>
        <v>1.2661450875481233</v>
      </c>
      <c r="AI164" s="51">
        <f t="shared" si="180"/>
        <v>-0.66031525830279636</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-0.000133283554228113</v>
      </c>
      <c r="AT164" s="32" t="str">
        <f t="shared" si="164"/>
        <v>0.000110718725675577i</v>
      </c>
      <c r="AU164" s="32">
        <f t="shared" si="188"/>
        <v>1.1071872567557699E-4</v>
      </c>
      <c r="AV164" s="32">
        <f t="shared" si="189"/>
        <v>1.5707963267948966</v>
      </c>
      <c r="AW164" s="32" t="str">
        <f t="shared" si="165"/>
        <v>1+0.0193583485980531i</v>
      </c>
      <c r="AX164" s="32">
        <f t="shared" si="190"/>
        <v>1.0001873552792215</v>
      </c>
      <c r="AY164" s="32">
        <f t="shared" si="191"/>
        <v>1.9355930989246043E-2</v>
      </c>
      <c r="AZ164" s="32" t="str">
        <f t="shared" si="166"/>
        <v>1+0.288486609595377i</v>
      </c>
      <c r="BA164" s="32">
        <f t="shared" si="192"/>
        <v>1.0407807280670773</v>
      </c>
      <c r="BB164" s="32">
        <f t="shared" si="193"/>
        <v>0.28086086968548224</v>
      </c>
      <c r="BC164" s="60" t="str">
        <f t="shared" si="194"/>
        <v>-0.323856093174615+1.21007250072159i</v>
      </c>
      <c r="BD164" s="51">
        <f t="shared" si="195"/>
        <v>1.956667378843697</v>
      </c>
      <c r="BE164" s="63">
        <f t="shared" si="196"/>
        <v>104.98312930912167</v>
      </c>
      <c r="BF164" s="60" t="str">
        <f t="shared" si="197"/>
        <v>9.81158484231829+13.204790993566i</v>
      </c>
      <c r="BG164" s="66">
        <f t="shared" si="198"/>
        <v>24.323818787815071</v>
      </c>
      <c r="BH164" s="63">
        <f t="shared" si="199"/>
        <v>53.386462565574497</v>
      </c>
      <c r="BI164" s="60" t="e">
        <f t="shared" si="152"/>
        <v>#NUM!</v>
      </c>
      <c r="BJ164" s="66" t="e">
        <f t="shared" si="200"/>
        <v>#NUM!</v>
      </c>
      <c r="BK164" s="63" t="e">
        <f t="shared" si="153"/>
        <v>#NUM!</v>
      </c>
      <c r="BL164" s="51">
        <f t="shared" si="201"/>
        <v>24.323818787815071</v>
      </c>
      <c r="BM164" s="63">
        <f t="shared" si="202"/>
        <v>53.386462565574497</v>
      </c>
    </row>
    <row r="165" spans="14:65" x14ac:dyDescent="0.3">
      <c r="N165" s="11">
        <v>47</v>
      </c>
      <c r="O165" s="52">
        <f t="shared" si="154"/>
        <v>295.12092266663871</v>
      </c>
      <c r="P165" s="50" t="str">
        <f t="shared" si="155"/>
        <v>21.1560044893378</v>
      </c>
      <c r="Q165" s="18" t="str">
        <f t="shared" si="156"/>
        <v>1+1.29239052237052i</v>
      </c>
      <c r="R165" s="18">
        <f t="shared" si="167"/>
        <v>1.6340970786073714</v>
      </c>
      <c r="S165" s="18">
        <f t="shared" si="168"/>
        <v>0.91226146493550153</v>
      </c>
      <c r="T165" s="18" t="str">
        <f t="shared" si="157"/>
        <v>1+0.00185429944514031i</v>
      </c>
      <c r="U165" s="18">
        <f t="shared" si="169"/>
        <v>1.0000017192117383</v>
      </c>
      <c r="V165" s="18">
        <f t="shared" si="170"/>
        <v>1.8542973198539528E-3</v>
      </c>
      <c r="W165" s="32" t="str">
        <f t="shared" si="158"/>
        <v>1-0.000832788922403252i</v>
      </c>
      <c r="X165" s="18">
        <f t="shared" si="171"/>
        <v>1.0000003467686345</v>
      </c>
      <c r="Y165" s="18">
        <f t="shared" si="172"/>
        <v>-8.3278872987991377E-4</v>
      </c>
      <c r="Z165" s="32" t="str">
        <f t="shared" si="159"/>
        <v>0.999999912903641+0.000454518355299392i</v>
      </c>
      <c r="AA165" s="18">
        <f t="shared" si="173"/>
        <v>1.0000000161971121</v>
      </c>
      <c r="AB165" s="18">
        <f t="shared" si="174"/>
        <v>4.5451836358710032E-4</v>
      </c>
      <c r="AC165" s="68" t="str">
        <f t="shared" si="175"/>
        <v>7.9286069063645-10.2348611496671i</v>
      </c>
      <c r="AD165" s="66">
        <f t="shared" si="176"/>
        <v>22.24313374279506</v>
      </c>
      <c r="AE165" s="63">
        <f t="shared" si="177"/>
        <v>-52.236245606228799</v>
      </c>
      <c r="AF165" s="51" t="e">
        <f t="shared" si="178"/>
        <v>#NUM!</v>
      </c>
      <c r="AG165" s="51" t="str">
        <f t="shared" si="160"/>
        <v>1-0.794699762202991i</v>
      </c>
      <c r="AH165" s="51">
        <f t="shared" si="179"/>
        <v>1.2773205204824241</v>
      </c>
      <c r="AI165" s="51">
        <f t="shared" si="180"/>
        <v>-0.67150072369252523</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-0.000133283554228113</v>
      </c>
      <c r="AT165" s="32" t="str">
        <f t="shared" si="164"/>
        <v>0.000113297696098073i</v>
      </c>
      <c r="AU165" s="32">
        <f t="shared" si="188"/>
        <v>1.1329769609807301E-4</v>
      </c>
      <c r="AV165" s="32">
        <f t="shared" si="189"/>
        <v>1.5707963267948966</v>
      </c>
      <c r="AW165" s="32" t="str">
        <f t="shared" si="165"/>
        <v>1+0.0198092624625157i</v>
      </c>
      <c r="AX165" s="32">
        <f t="shared" si="190"/>
        <v>1.0001961841955351</v>
      </c>
      <c r="AY165" s="32">
        <f t="shared" si="191"/>
        <v>1.9806671975448546E-2</v>
      </c>
      <c r="AZ165" s="32" t="str">
        <f t="shared" si="166"/>
        <v>1+0.295206325965782i</v>
      </c>
      <c r="BA165" s="32">
        <f t="shared" si="192"/>
        <v>1.0426633084990646</v>
      </c>
      <c r="BB165" s="32">
        <f t="shared" si="193"/>
        <v>0.28705314682363431</v>
      </c>
      <c r="BC165" s="60" t="str">
        <f t="shared" si="194"/>
        <v>-0.323850375724839+1.18281651283076i</v>
      </c>
      <c r="BD165" s="51">
        <f t="shared" si="195"/>
        <v>1.7722876871599067</v>
      </c>
      <c r="BE165" s="63">
        <f t="shared" si="196"/>
        <v>105.31209509855022</v>
      </c>
      <c r="BF165" s="60" t="str">
        <f t="shared" si="197"/>
        <v>9.53828044875557+12.6926508014032i</v>
      </c>
      <c r="BG165" s="66">
        <f t="shared" si="198"/>
        <v>24.015421429954973</v>
      </c>
      <c r="BH165" s="63">
        <f t="shared" si="199"/>
        <v>53.075849492321439</v>
      </c>
      <c r="BI165" s="60" t="e">
        <f t="shared" si="152"/>
        <v>#NUM!</v>
      </c>
      <c r="BJ165" s="66" t="e">
        <f t="shared" si="200"/>
        <v>#NUM!</v>
      </c>
      <c r="BK165" s="63" t="e">
        <f t="shared" si="153"/>
        <v>#NUM!</v>
      </c>
      <c r="BL165" s="51">
        <f t="shared" si="201"/>
        <v>24.015421429954973</v>
      </c>
      <c r="BM165" s="63">
        <f t="shared" si="202"/>
        <v>53.075849492321439</v>
      </c>
    </row>
    <row r="166" spans="14:65" x14ac:dyDescent="0.3">
      <c r="N166" s="11">
        <v>48</v>
      </c>
      <c r="O166" s="52">
        <f t="shared" si="154"/>
        <v>301.99517204020168</v>
      </c>
      <c r="P166" s="50" t="str">
        <f t="shared" si="155"/>
        <v>21.1560044893378</v>
      </c>
      <c r="Q166" s="18" t="str">
        <f t="shared" si="156"/>
        <v>1+1.32249416483182i</v>
      </c>
      <c r="R166" s="18">
        <f t="shared" si="167"/>
        <v>1.6580080868361933</v>
      </c>
      <c r="S166" s="18">
        <f t="shared" si="168"/>
        <v>0.92337272942654003</v>
      </c>
      <c r="T166" s="18" t="str">
        <f t="shared" si="157"/>
        <v>1+0.00189749162780217i</v>
      </c>
      <c r="U166" s="18">
        <f t="shared" si="169"/>
        <v>1.0000018002356184</v>
      </c>
      <c r="V166" s="18">
        <f t="shared" si="170"/>
        <v>1.8974893505170304E-3</v>
      </c>
      <c r="W166" s="32" t="str">
        <f t="shared" si="158"/>
        <v>1-0.000852187068344288i</v>
      </c>
      <c r="X166" s="18">
        <f t="shared" si="171"/>
        <v>1.0000003631113339</v>
      </c>
      <c r="Y166" s="18">
        <f t="shared" si="172"/>
        <v>-8.5218686205181849E-4</v>
      </c>
      <c r="Z166" s="32" t="str">
        <f t="shared" si="159"/>
        <v>0.999999908798916+0.000465105447840842i</v>
      </c>
      <c r="AA166" s="18">
        <f t="shared" si="173"/>
        <v>1.0000000169604588</v>
      </c>
      <c r="AB166" s="18">
        <f t="shared" si="174"/>
        <v>4.6510545672128145E-4</v>
      </c>
      <c r="AC166" s="68" t="str">
        <f t="shared" si="175"/>
        <v>7.70183712596431-10.1733599809071i</v>
      </c>
      <c r="AD166" s="66">
        <f t="shared" si="176"/>
        <v>22.116958764059849</v>
      </c>
      <c r="AE166" s="63">
        <f t="shared" si="177"/>
        <v>-52.872117472411077</v>
      </c>
      <c r="AF166" s="51" t="e">
        <f t="shared" si="178"/>
        <v>#NUM!</v>
      </c>
      <c r="AG166" s="51" t="str">
        <f t="shared" si="160"/>
        <v>1-0.813210697629503i</v>
      </c>
      <c r="AH166" s="51">
        <f t="shared" si="179"/>
        <v>1.2889187867119725</v>
      </c>
      <c r="AI166" s="51">
        <f t="shared" si="180"/>
        <v>-0.68274449680765248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-0.000133283554228113</v>
      </c>
      <c r="AT166" s="32" t="str">
        <f t="shared" si="164"/>
        <v>0.000115936738458712i</v>
      </c>
      <c r="AU166" s="32">
        <f t="shared" si="188"/>
        <v>1.15936738458712E-4</v>
      </c>
      <c r="AV166" s="32">
        <f t="shared" si="189"/>
        <v>1.5707963267948966</v>
      </c>
      <c r="AW166" s="32" t="str">
        <f t="shared" si="165"/>
        <v>1+0.0202706794601425i</v>
      </c>
      <c r="AX166" s="32">
        <f t="shared" si="190"/>
        <v>1.0002054291223257</v>
      </c>
      <c r="AY166" s="32">
        <f t="shared" si="191"/>
        <v>2.0267903734029844E-2</v>
      </c>
      <c r="AZ166" s="32" t="str">
        <f t="shared" si="166"/>
        <v>1+0.302082564637733i</v>
      </c>
      <c r="BA166" s="32">
        <f t="shared" si="192"/>
        <v>1.0446309759231296</v>
      </c>
      <c r="BB166" s="32">
        <f t="shared" si="193"/>
        <v>0.29336630741485831</v>
      </c>
      <c r="BC166" s="60" t="str">
        <f t="shared" si="194"/>
        <v>-0.323844389036325+1.15618765923761i</v>
      </c>
      <c r="BD166" s="51">
        <f t="shared" si="195"/>
        <v>1.5885835768266294</v>
      </c>
      <c r="BE166" s="63">
        <f t="shared" si="196"/>
        <v>105.64738592267156</v>
      </c>
      <c r="BF166" s="60" t="str">
        <f t="shared" si="197"/>
        <v>9.26811652439136+12.1993545859615i</v>
      </c>
      <c r="BG166" s="66">
        <f t="shared" si="198"/>
        <v>23.705542340886502</v>
      </c>
      <c r="BH166" s="63">
        <f t="shared" si="199"/>
        <v>52.77526845026059</v>
      </c>
      <c r="BI166" s="60" t="e">
        <f t="shared" si="152"/>
        <v>#NUM!</v>
      </c>
      <c r="BJ166" s="66" t="e">
        <f t="shared" si="200"/>
        <v>#NUM!</v>
      </c>
      <c r="BK166" s="63" t="e">
        <f t="shared" si="153"/>
        <v>#NUM!</v>
      </c>
      <c r="BL166" s="51">
        <f t="shared" si="201"/>
        <v>23.705542340886502</v>
      </c>
      <c r="BM166" s="63">
        <f t="shared" si="202"/>
        <v>52.77526845026059</v>
      </c>
    </row>
    <row r="167" spans="14:65" x14ac:dyDescent="0.3">
      <c r="N167" s="11">
        <v>49</v>
      </c>
      <c r="O167" s="52">
        <f t="shared" si="154"/>
        <v>309.02954325135937</v>
      </c>
      <c r="P167" s="50" t="str">
        <f t="shared" si="155"/>
        <v>21.1560044893378</v>
      </c>
      <c r="Q167" s="18" t="str">
        <f t="shared" si="156"/>
        <v>1+1.35329901120459i</v>
      </c>
      <c r="R167" s="18">
        <f t="shared" si="167"/>
        <v>1.6826818516069286</v>
      </c>
      <c r="S167" s="18">
        <f t="shared" si="168"/>
        <v>0.93441451266011555</v>
      </c>
      <c r="T167" s="18" t="str">
        <f t="shared" si="157"/>
        <v>1+0.00194168988564136i</v>
      </c>
      <c r="U167" s="18">
        <f t="shared" si="169"/>
        <v>1.0000018850780292</v>
      </c>
      <c r="V167" s="18">
        <f t="shared" si="170"/>
        <v>1.941687445486618E-3</v>
      </c>
      <c r="W167" s="32" t="str">
        <f t="shared" si="158"/>
        <v>1-0.00087203705514899i</v>
      </c>
      <c r="X167" s="18">
        <f t="shared" si="171"/>
        <v>1.0000003802242405</v>
      </c>
      <c r="Y167" s="18">
        <f t="shared" si="172"/>
        <v>-8.7203683410263079E-4</v>
      </c>
      <c r="Z167" s="32" t="str">
        <f t="shared" si="159"/>
        <v>0.999999904500741+0.000475939145447135i</v>
      </c>
      <c r="AA167" s="18">
        <f t="shared" si="173"/>
        <v>1.0000000177597805</v>
      </c>
      <c r="AB167" s="18">
        <f t="shared" si="174"/>
        <v>4.7593915496269739E-4</v>
      </c>
      <c r="AC167" s="68" t="str">
        <f t="shared" si="175"/>
        <v>7.47789444904262-10.1072665740517i</v>
      </c>
      <c r="AD167" s="66">
        <f t="shared" si="176"/>
        <v>21.988652317674557</v>
      </c>
      <c r="AE167" s="63">
        <f t="shared" si="177"/>
        <v>-53.503990730496575</v>
      </c>
      <c r="AF167" s="51" t="e">
        <f t="shared" si="178"/>
        <v>#NUM!</v>
      </c>
      <c r="AG167" s="51" t="str">
        <f t="shared" si="160"/>
        <v>1-0.832152808132013i</v>
      </c>
      <c r="AH167" s="51">
        <f t="shared" si="179"/>
        <v>1.300952841605719</v>
      </c>
      <c r="AI167" s="51">
        <f t="shared" si="180"/>
        <v>-0.69404116818078998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-0.000133283554228113</v>
      </c>
      <c r="AT167" s="32" t="str">
        <f t="shared" si="164"/>
        <v>0.000118637252012687i</v>
      </c>
      <c r="AU167" s="32">
        <f t="shared" si="188"/>
        <v>1.18637252012687E-4</v>
      </c>
      <c r="AV167" s="32">
        <f t="shared" si="189"/>
        <v>1.5707963267948966</v>
      </c>
      <c r="AW167" s="32" t="str">
        <f t="shared" si="165"/>
        <v>1+0.0207428442403332i</v>
      </c>
      <c r="AX167" s="32">
        <f t="shared" si="190"/>
        <v>1.0002151096575069</v>
      </c>
      <c r="AY167" s="32">
        <f t="shared" si="191"/>
        <v>2.0739870030763195E-2</v>
      </c>
      <c r="AZ167" s="32" t="str">
        <f t="shared" si="166"/>
        <v>1+0.30911897148399i</v>
      </c>
      <c r="BA167" s="32">
        <f t="shared" si="192"/>
        <v>1.046687412043978</v>
      </c>
      <c r="BB167" s="32">
        <f t="shared" si="193"/>
        <v>0.29980168508699123</v>
      </c>
      <c r="BC167" s="60" t="str">
        <f t="shared" si="194"/>
        <v>-0.323838120441098+1.13017182020872i</v>
      </c>
      <c r="BD167" s="51">
        <f t="shared" si="195"/>
        <v>1.4055815416183433</v>
      </c>
      <c r="BE167" s="63">
        <f t="shared" si="196"/>
        <v>105.98906422598223</v>
      </c>
      <c r="BF167" s="60" t="str">
        <f t="shared" si="197"/>
        <v>9.00132057809588+11.7244237909412i</v>
      </c>
      <c r="BG167" s="66">
        <f t="shared" si="198"/>
        <v>23.394233859292886</v>
      </c>
      <c r="BH167" s="63">
        <f t="shared" si="199"/>
        <v>52.485073495485629</v>
      </c>
      <c r="BI167" s="60" t="e">
        <f t="shared" si="152"/>
        <v>#NUM!</v>
      </c>
      <c r="BJ167" s="66" t="e">
        <f t="shared" si="200"/>
        <v>#NUM!</v>
      </c>
      <c r="BK167" s="63" t="e">
        <f t="shared" si="153"/>
        <v>#NUM!</v>
      </c>
      <c r="BL167" s="51">
        <f t="shared" si="201"/>
        <v>23.394233859292886</v>
      </c>
      <c r="BM167" s="63">
        <f t="shared" si="202"/>
        <v>52.485073495485629</v>
      </c>
    </row>
    <row r="168" spans="14:65" x14ac:dyDescent="0.3">
      <c r="N168" s="11">
        <v>50</v>
      </c>
      <c r="O168" s="52">
        <f t="shared" si="154"/>
        <v>316.22776601683825</v>
      </c>
      <c r="P168" s="50" t="str">
        <f t="shared" si="155"/>
        <v>21.1560044893378</v>
      </c>
      <c r="Q168" s="18" t="str">
        <f t="shared" si="156"/>
        <v>1+1.38482139462613i</v>
      </c>
      <c r="R168" s="18">
        <f t="shared" si="167"/>
        <v>1.7081364977700875</v>
      </c>
      <c r="S168" s="18">
        <f t="shared" si="168"/>
        <v>0.94538189971541597</v>
      </c>
      <c r="T168" s="18" t="str">
        <f t="shared" si="157"/>
        <v>1+0.00198691765315922i</v>
      </c>
      <c r="U168" s="18">
        <f t="shared" si="169"/>
        <v>1.0000019739189321</v>
      </c>
      <c r="V168" s="18">
        <f t="shared" si="170"/>
        <v>1.9869150384865847E-3</v>
      </c>
      <c r="W168" s="32" t="str">
        <f t="shared" si="158"/>
        <v>1-0.000892349407543106i</v>
      </c>
      <c r="X168" s="18">
        <f t="shared" si="171"/>
        <v>1.0000003981436534</v>
      </c>
      <c r="Y168" s="18">
        <f t="shared" si="172"/>
        <v>-8.9234917068766991E-4</v>
      </c>
      <c r="Z168" s="32" t="str">
        <f t="shared" si="159"/>
        <v>0.9999999+0.000487025192288144i</v>
      </c>
      <c r="AA168" s="18">
        <f t="shared" si="173"/>
        <v>1.0000000185967739</v>
      </c>
      <c r="AB168" s="18">
        <f t="shared" si="174"/>
        <v>4.8702520248425249E-4</v>
      </c>
      <c r="AC168" s="68" t="str">
        <f t="shared" si="175"/>
        <v>7.25695920060852-10.03673919843i</v>
      </c>
      <c r="AD168" s="66">
        <f t="shared" si="176"/>
        <v>21.858242004828345</v>
      </c>
      <c r="AE168" s="63">
        <f t="shared" si="177"/>
        <v>-54.131583365748163</v>
      </c>
      <c r="AF168" s="51" t="e">
        <f t="shared" si="178"/>
        <v>#NUM!</v>
      </c>
      <c r="AG168" s="51" t="str">
        <f t="shared" si="160"/>
        <v>1-0.851536137068238i</v>
      </c>
      <c r="AH168" s="51">
        <f t="shared" si="179"/>
        <v>1.3134358730951037</v>
      </c>
      <c r="AI168" s="51">
        <f t="shared" si="180"/>
        <v>-0.70538519521301357</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-0.000133283554228113</v>
      </c>
      <c r="AT168" s="32" t="str">
        <f t="shared" si="164"/>
        <v>0.000121400668608028i</v>
      </c>
      <c r="AU168" s="32">
        <f t="shared" si="188"/>
        <v>1.21400668608028E-4</v>
      </c>
      <c r="AV168" s="32">
        <f t="shared" si="189"/>
        <v>1.5707963267948966</v>
      </c>
      <c r="AW168" s="32" t="str">
        <f t="shared" si="165"/>
        <v>1+0.0212260071511042i</v>
      </c>
      <c r="AX168" s="32">
        <f t="shared" si="190"/>
        <v>1.0002252463218366</v>
      </c>
      <c r="AY168" s="32">
        <f t="shared" si="191"/>
        <v>2.1222820266891994E-2</v>
      </c>
      <c r="AZ168" s="32" t="str">
        <f t="shared" si="166"/>
        <v>1+0.316319277300601i</v>
      </c>
      <c r="BA168" s="32">
        <f t="shared" si="192"/>
        <v>1.0488364434896293</v>
      </c>
      <c r="BB168" s="32">
        <f t="shared" si="193"/>
        <v>0.3063605590570958</v>
      </c>
      <c r="BC168" s="60" t="str">
        <f t="shared" si="194"/>
        <v>-0.323831556676182+1.10475520098467i</v>
      </c>
      <c r="BD168" s="51">
        <f t="shared" si="195"/>
        <v>1.2233088755982466</v>
      </c>
      <c r="BE168" s="63">
        <f t="shared" si="196"/>
        <v>106.33718901258241</v>
      </c>
      <c r="BF168" s="60" t="str">
        <f t="shared" si="197"/>
        <v>8.73810743572365+11.2673762987863i</v>
      </c>
      <c r="BG168" s="66">
        <f t="shared" si="198"/>
        <v>23.081550880426612</v>
      </c>
      <c r="BH168" s="63">
        <f t="shared" si="199"/>
        <v>52.20560564683435</v>
      </c>
      <c r="BI168" s="60" t="e">
        <f t="shared" si="152"/>
        <v>#NUM!</v>
      </c>
      <c r="BJ168" s="66" t="e">
        <f t="shared" si="200"/>
        <v>#NUM!</v>
      </c>
      <c r="BK168" s="63" t="e">
        <f t="shared" si="153"/>
        <v>#NUM!</v>
      </c>
      <c r="BL168" s="51">
        <f t="shared" si="201"/>
        <v>23.081550880426612</v>
      </c>
      <c r="BM168" s="63">
        <f t="shared" si="202"/>
        <v>52.20560564683435</v>
      </c>
    </row>
    <row r="169" spans="14:65" x14ac:dyDescent="0.3">
      <c r="N169" s="11">
        <v>51</v>
      </c>
      <c r="O169" s="52">
        <f t="shared" si="154"/>
        <v>323.59365692962825</v>
      </c>
      <c r="P169" s="50" t="str">
        <f t="shared" si="155"/>
        <v>21.1560044893378</v>
      </c>
      <c r="Q169" s="18" t="str">
        <f t="shared" si="156"/>
        <v>1+1.41707802868137i</v>
      </c>
      <c r="R169" s="18">
        <f t="shared" si="167"/>
        <v>1.7343904229934728</v>
      </c>
      <c r="S169" s="18">
        <f t="shared" si="168"/>
        <v>0.95627015235927881</v>
      </c>
      <c r="T169" s="18" t="str">
        <f t="shared" si="157"/>
        <v>1+0.00203319891071675i</v>
      </c>
      <c r="U169" s="18">
        <f t="shared" si="169"/>
        <v>1.0000020669467691</v>
      </c>
      <c r="V169" s="18">
        <f t="shared" si="170"/>
        <v>2.033196109044857E-3</v>
      </c>
      <c r="W169" s="32" t="str">
        <f t="shared" si="158"/>
        <v>1-0.000913134895404742i</v>
      </c>
      <c r="X169" s="18">
        <f t="shared" si="171"/>
        <v>1.0000004169075818</v>
      </c>
      <c r="Y169" s="18">
        <f t="shared" si="172"/>
        <v>-9.1313464160957538E-4</v>
      </c>
      <c r="Z169" s="32" t="str">
        <f t="shared" si="159"/>
        <v>0.999999895287145+0.000498369466332644i</v>
      </c>
      <c r="AA169" s="18">
        <f t="shared" si="173"/>
        <v>1.0000000194732126</v>
      </c>
      <c r="AB169" s="18">
        <f t="shared" si="174"/>
        <v>4.9836947725797112E-4</v>
      </c>
      <c r="AC169" s="68" t="str">
        <f t="shared" si="175"/>
        <v>7.03920060971866-9.96194397341208i</v>
      </c>
      <c r="AD169" s="66">
        <f t="shared" si="176"/>
        <v>21.725757080116953</v>
      </c>
      <c r="AE169" s="63">
        <f t="shared" si="177"/>
        <v>-54.754623477324692</v>
      </c>
      <c r="AF169" s="51" t="e">
        <f t="shared" si="178"/>
        <v>#NUM!</v>
      </c>
      <c r="AG169" s="51" t="str">
        <f t="shared" si="160"/>
        <v>1-0.871370961735751i</v>
      </c>
      <c r="AH169" s="51">
        <f t="shared" si="179"/>
        <v>1.3263812999874085</v>
      </c>
      <c r="AI169" s="51">
        <f t="shared" si="180"/>
        <v>-0.71677091483822086</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-0.000133283554228113</v>
      </c>
      <c r="AT169" s="32" t="str">
        <f t="shared" si="164"/>
        <v>0.000124228453444794i</v>
      </c>
      <c r="AU169" s="32">
        <f t="shared" si="188"/>
        <v>1.2422845344479399E-4</v>
      </c>
      <c r="AV169" s="32">
        <f t="shared" si="189"/>
        <v>1.5707963267948966</v>
      </c>
      <c r="AW169" s="32" t="str">
        <f t="shared" si="165"/>
        <v>1+0.021720424371826i</v>
      </c>
      <c r="AX169" s="32">
        <f t="shared" si="190"/>
        <v>1.0002358606023343</v>
      </c>
      <c r="AY169" s="32">
        <f t="shared" si="191"/>
        <v>2.1717009607357073E-2</v>
      </c>
      <c r="AZ169" s="32" t="str">
        <f t="shared" si="166"/>
        <v>1+0.323687299785017i</v>
      </c>
      <c r="BA169" s="32">
        <f t="shared" si="192"/>
        <v>1.0510820462942536</v>
      </c>
      <c r="BB169" s="32">
        <f t="shared" si="193"/>
        <v>0.31304414887547849</v>
      </c>
      <c r="BC169" s="60" t="str">
        <f t="shared" si="194"/>
        <v>-0.323824683855729+1.07992432446191i</v>
      </c>
      <c r="BD169" s="51">
        <f t="shared" si="195"/>
        <v>1.0417936763548965</v>
      </c>
      <c r="BE169" s="63">
        <f t="shared" si="196"/>
        <v>106.69181553768334</v>
      </c>
      <c r="BF169" s="60" t="str">
        <f t="shared" si="197"/>
        <v>8.47867870377523+10.8277273209809i</v>
      </c>
      <c r="BG169" s="66">
        <f t="shared" si="198"/>
        <v>22.767550756471827</v>
      </c>
      <c r="BH169" s="63">
        <f t="shared" si="199"/>
        <v>51.937192060358562</v>
      </c>
      <c r="BI169" s="60" t="e">
        <f t="shared" si="152"/>
        <v>#NUM!</v>
      </c>
      <c r="BJ169" s="66" t="e">
        <f t="shared" si="200"/>
        <v>#NUM!</v>
      </c>
      <c r="BK169" s="63" t="e">
        <f t="shared" si="153"/>
        <v>#NUM!</v>
      </c>
      <c r="BL169" s="51">
        <f t="shared" si="201"/>
        <v>22.767550756471827</v>
      </c>
      <c r="BM169" s="63">
        <f t="shared" si="202"/>
        <v>51.937192060358562</v>
      </c>
    </row>
    <row r="170" spans="14:65" x14ac:dyDescent="0.3">
      <c r="N170" s="11">
        <v>52</v>
      </c>
      <c r="O170" s="52">
        <f t="shared" si="154"/>
        <v>331.13112148259137</v>
      </c>
      <c r="P170" s="50" t="str">
        <f t="shared" si="155"/>
        <v>21.1560044893378</v>
      </c>
      <c r="Q170" s="18" t="str">
        <f t="shared" si="156"/>
        <v>1+1.45008601626468i</v>
      </c>
      <c r="R170" s="18">
        <f t="shared" si="167"/>
        <v>1.7614623057466683</v>
      </c>
      <c r="S170" s="18">
        <f t="shared" si="168"/>
        <v>0.96707471710635873</v>
      </c>
      <c r="T170" s="18" t="str">
        <f t="shared" si="157"/>
        <v>1+0.00208055819724932i</v>
      </c>
      <c r="U170" s="18">
        <f t="shared" si="169"/>
        <v>1.0000021643588639</v>
      </c>
      <c r="V170" s="18">
        <f t="shared" si="170"/>
        <v>2.080555195204151E-3</v>
      </c>
      <c r="W170" s="32" t="str">
        <f t="shared" si="158"/>
        <v>1-0.000934404539474695i</v>
      </c>
      <c r="X170" s="18">
        <f t="shared" si="171"/>
        <v>1.0000004365558264</v>
      </c>
      <c r="Y170" s="18">
        <f t="shared" si="172"/>
        <v>-9.3440426752828079E-4</v>
      </c>
      <c r="Z170" s="32" t="str">
        <f t="shared" si="159"/>
        <v>0.99999989035218+0.000509977982464895i</v>
      </c>
      <c r="AA170" s="18">
        <f t="shared" si="173"/>
        <v>1.0000000203909569</v>
      </c>
      <c r="AB170" s="18">
        <f t="shared" si="174"/>
        <v>5.0997799417159412E-4</v>
      </c>
      <c r="AC170" s="68" t="str">
        <f t="shared" si="175"/>
        <v>6.82477644132016-9.88305397043063i</v>
      </c>
      <c r="AD170" s="66">
        <f t="shared" si="176"/>
        <v>21.591228344797841</v>
      </c>
      <c r="AE170" s="63">
        <f t="shared" si="177"/>
        <v>-55.37284973987208</v>
      </c>
      <c r="AF170" s="51" t="e">
        <f t="shared" si="178"/>
        <v>#NUM!</v>
      </c>
      <c r="AG170" s="51" t="str">
        <f t="shared" si="160"/>
        <v>1-0.891667798821139i</v>
      </c>
      <c r="AH170" s="51">
        <f t="shared" si="179"/>
        <v>1.3398027703563444</v>
      </c>
      <c r="AI170" s="51">
        <f t="shared" si="180"/>
        <v>-0.72819255692025819</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-0.000133283554228113</v>
      </c>
      <c r="AT170" s="32" t="str">
        <f t="shared" si="164"/>
        <v>0.000127122105851933i</v>
      </c>
      <c r="AU170" s="32">
        <f t="shared" si="188"/>
        <v>1.2712210585193301E-4</v>
      </c>
      <c r="AV170" s="32">
        <f t="shared" si="189"/>
        <v>1.5707963267948966</v>
      </c>
      <c r="AW170" s="32" t="str">
        <f t="shared" si="165"/>
        <v>1+0.0222263580490538i</v>
      </c>
      <c r="AX170" s="32">
        <f t="shared" si="190"/>
        <v>1.0002469749977376</v>
      </c>
      <c r="AY170" s="32">
        <f t="shared" si="191"/>
        <v>2.2222699111795342E-2</v>
      </c>
      <c r="AZ170" s="32" t="str">
        <f t="shared" si="166"/>
        <v>1+0.331226945560289i</v>
      </c>
      <c r="BA170" s="32">
        <f t="shared" si="192"/>
        <v>1.0534283504183846</v>
      </c>
      <c r="BB170" s="32">
        <f t="shared" si="193"/>
        <v>0.31985360896399218</v>
      </c>
      <c r="BC170" s="60" t="str">
        <f t="shared" si="194"/>
        <v>-0.323817487441903+1.05566602404295i</v>
      </c>
      <c r="BD170" s="51">
        <f t="shared" si="195"/>
        <v>0.86106484615050827</v>
      </c>
      <c r="BE170" s="63">
        <f t="shared" si="196"/>
        <v>107.05299498716953</v>
      </c>
      <c r="BF170" s="60" t="str">
        <f t="shared" si="197"/>
        <v>8.22322233078541+10.404990315748i</v>
      </c>
      <c r="BG170" s="66">
        <f t="shared" si="198"/>
        <v>22.452293190948343</v>
      </c>
      <c r="BH170" s="63">
        <f t="shared" si="199"/>
        <v>51.680145247297396</v>
      </c>
      <c r="BI170" s="60" t="e">
        <f t="shared" si="152"/>
        <v>#NUM!</v>
      </c>
      <c r="BJ170" s="66" t="e">
        <f t="shared" si="200"/>
        <v>#NUM!</v>
      </c>
      <c r="BK170" s="63" t="e">
        <f t="shared" si="153"/>
        <v>#NUM!</v>
      </c>
      <c r="BL170" s="51">
        <f t="shared" si="201"/>
        <v>22.452293190948343</v>
      </c>
      <c r="BM170" s="63">
        <f t="shared" si="202"/>
        <v>51.680145247297396</v>
      </c>
    </row>
    <row r="171" spans="14:65" x14ac:dyDescent="0.3">
      <c r="N171" s="11">
        <v>53</v>
      </c>
      <c r="O171" s="52">
        <f t="shared" si="154"/>
        <v>338.84415613920277</v>
      </c>
      <c r="P171" s="50" t="str">
        <f t="shared" si="155"/>
        <v>21.1560044893378</v>
      </c>
      <c r="Q171" s="18" t="str">
        <f t="shared" si="156"/>
        <v>1+1.48386285864796i</v>
      </c>
      <c r="R171" s="18">
        <f t="shared" si="167"/>
        <v>1.7893711139042385</v>
      </c>
      <c r="S171" s="18">
        <f t="shared" si="168"/>
        <v>0.97779123229439235</v>
      </c>
      <c r="T171" s="18" t="str">
        <f t="shared" si="157"/>
        <v>1+0.0021290206232775i</v>
      </c>
      <c r="U171" s="18">
        <f t="shared" si="169"/>
        <v>1.0000022663618389</v>
      </c>
      <c r="V171" s="18">
        <f t="shared" si="170"/>
        <v>2.12901740652854E-3</v>
      </c>
      <c r="W171" s="32" t="str">
        <f t="shared" si="158"/>
        <v>1-0.000956169617199777i</v>
      </c>
      <c r="X171" s="18">
        <f t="shared" si="171"/>
        <v>1.0000004571300638</v>
      </c>
      <c r="Y171" s="18">
        <f t="shared" si="172"/>
        <v>-9.561693258039514E-4</v>
      </c>
      <c r="Z171" s="32" t="str">
        <f t="shared" si="159"/>
        <v>0.999999885184638+0.000521856895673803i</v>
      </c>
      <c r="AA171" s="18">
        <f t="shared" si="173"/>
        <v>1.0000000213519542</v>
      </c>
      <c r="AB171" s="18">
        <f t="shared" si="174"/>
        <v>5.2185690821775666E-4</v>
      </c>
      <c r="AC171" s="68" t="str">
        <f t="shared" si="175"/>
        <v>6.61383271007352-9.80024830337886i</v>
      </c>
      <c r="AD171" s="66">
        <f t="shared" si="176"/>
        <v>21.454688036952753</v>
      </c>
      <c r="AE171" s="63">
        <f t="shared" si="177"/>
        <v>-55.986011808679592</v>
      </c>
      <c r="AF171" s="51" t="e">
        <f t="shared" si="178"/>
        <v>#NUM!</v>
      </c>
      <c r="AG171" s="51" t="str">
        <f t="shared" si="160"/>
        <v>1-0.912437409976073i</v>
      </c>
      <c r="AH171" s="51">
        <f t="shared" si="179"/>
        <v>1.3537141600514653</v>
      </c>
      <c r="AI171" s="51">
        <f t="shared" si="180"/>
        <v>-0.73964425831056146</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-0.000133283554228113</v>
      </c>
      <c r="AT171" s="32" t="str">
        <f t="shared" si="164"/>
        <v>0.000130083160082256i</v>
      </c>
      <c r="AU171" s="32">
        <f t="shared" si="188"/>
        <v>1.3008316008225601E-4</v>
      </c>
      <c r="AV171" s="32">
        <f t="shared" si="189"/>
        <v>1.5707963267948966</v>
      </c>
      <c r="AW171" s="32" t="str">
        <f t="shared" si="165"/>
        <v>1+0.0227440764355196i</v>
      </c>
      <c r="AX171" s="32">
        <f t="shared" si="190"/>
        <v>1.0002586130660933</v>
      </c>
      <c r="AY171" s="32">
        <f t="shared" si="191"/>
        <v>2.2740155868355195E-2</v>
      </c>
      <c r="AZ171" s="32" t="str">
        <f t="shared" si="166"/>
        <v>1+0.338942212246401i</v>
      </c>
      <c r="BA171" s="32">
        <f t="shared" si="192"/>
        <v>1.0558796442978169</v>
      </c>
      <c r="BB171" s="32">
        <f t="shared" si="193"/>
        <v>0.32679002295431675</v>
      </c>
      <c r="BC171" s="60" t="str">
        <f t="shared" si="194"/>
        <v>-0.323809952214348+1.03196743665068i</v>
      </c>
      <c r="BD171" s="51">
        <f t="shared" si="195"/>
        <v>0.68115209078678718</v>
      </c>
      <c r="BE171" s="63">
        <f t="shared" si="196"/>
        <v>107.42077414553926</v>
      </c>
      <c r="BF171" s="60" t="str">
        <f t="shared" si="197"/>
        <v>7.97191226637546+9.99867792305684i</v>
      </c>
      <c r="BG171" s="66">
        <f t="shared" si="198"/>
        <v>22.135840127739538</v>
      </c>
      <c r="BH171" s="63">
        <f t="shared" si="199"/>
        <v>51.434762336859663</v>
      </c>
      <c r="BI171" s="60" t="e">
        <f t="shared" si="152"/>
        <v>#NUM!</v>
      </c>
      <c r="BJ171" s="66" t="e">
        <f t="shared" si="200"/>
        <v>#NUM!</v>
      </c>
      <c r="BK171" s="63" t="e">
        <f t="shared" si="153"/>
        <v>#NUM!</v>
      </c>
      <c r="BL171" s="51">
        <f t="shared" si="201"/>
        <v>22.135840127739538</v>
      </c>
      <c r="BM171" s="63">
        <f t="shared" si="202"/>
        <v>51.434762336859663</v>
      </c>
    </row>
    <row r="172" spans="14:65" x14ac:dyDescent="0.3">
      <c r="N172" s="11">
        <v>54</v>
      </c>
      <c r="O172" s="52">
        <f t="shared" si="154"/>
        <v>346.73685045253183</v>
      </c>
      <c r="P172" s="50" t="str">
        <f t="shared" si="155"/>
        <v>21.1560044893378</v>
      </c>
      <c r="Q172" s="18" t="str">
        <f t="shared" si="156"/>
        <v>1+1.51842646476014i</v>
      </c>
      <c r="R172" s="18">
        <f t="shared" si="167"/>
        <v>1.8181361139595618</v>
      </c>
      <c r="S172" s="18">
        <f t="shared" si="168"/>
        <v>0.98841553416647565</v>
      </c>
      <c r="T172" s="18" t="str">
        <f t="shared" si="157"/>
        <v>1+0.00217861188422107i</v>
      </c>
      <c r="U172" s="18">
        <f t="shared" si="169"/>
        <v>1.0000023731720551</v>
      </c>
      <c r="V172" s="18">
        <f t="shared" si="170"/>
        <v>2.1786084374129009E-3</v>
      </c>
      <c r="W172" s="32" t="str">
        <f t="shared" si="158"/>
        <v>1-0.000978441668712303i</v>
      </c>
      <c r="X172" s="18">
        <f t="shared" si="171"/>
        <v>1.0000004786739349</v>
      </c>
      <c r="Y172" s="18">
        <f t="shared" si="172"/>
        <v>-9.7844135647605856E-4</v>
      </c>
      <c r="Z172" s="32" t="str">
        <f t="shared" si="159"/>
        <v>0.999999879773557+0.000534012504316391i</v>
      </c>
      <c r="AA172" s="18">
        <f t="shared" si="173"/>
        <v>1.0000000223582415</v>
      </c>
      <c r="AB172" s="18">
        <f t="shared" si="174"/>
        <v>5.340125177574793E-4</v>
      </c>
      <c r="AC172" s="68" t="str">
        <f t="shared" si="175"/>
        <v>6.40650347518417-9.71371121553408i</v>
      </c>
      <c r="AD172" s="66">
        <f t="shared" si="176"/>
        <v>21.31616971932754</v>
      </c>
      <c r="AE172" s="63">
        <f t="shared" si="177"/>
        <v>-56.593870667934233</v>
      </c>
      <c r="AF172" s="51" t="e">
        <f t="shared" si="178"/>
        <v>#NUM!</v>
      </c>
      <c r="AG172" s="51" t="str">
        <f t="shared" si="160"/>
        <v>1-0.933690807523317i</v>
      </c>
      <c r="AH172" s="51">
        <f t="shared" si="179"/>
        <v>1.3681295713687149</v>
      </c>
      <c r="AI172" s="51">
        <f t="shared" si="180"/>
        <v>-0.75112007748664722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-0.000133283554228113</v>
      </c>
      <c r="AT172" s="32" t="str">
        <f t="shared" si="164"/>
        <v>0.000133113186125908i</v>
      </c>
      <c r="AU172" s="32">
        <f t="shared" si="188"/>
        <v>1.3311318612590801E-4</v>
      </c>
      <c r="AV172" s="32">
        <f t="shared" si="189"/>
        <v>1.5707963267948966</v>
      </c>
      <c r="AW172" s="32" t="str">
        <f t="shared" si="165"/>
        <v>1+0.023273854032365i</v>
      </c>
      <c r="AX172" s="32">
        <f t="shared" si="190"/>
        <v>1.0002707994745823</v>
      </c>
      <c r="AY172" s="32">
        <f t="shared" si="191"/>
        <v>2.326965313038331E-2</v>
      </c>
      <c r="AZ172" s="32" t="str">
        <f t="shared" si="166"/>
        <v>1+0.346837190579878i</v>
      </c>
      <c r="BA172" s="32">
        <f t="shared" si="192"/>
        <v>1.0584403794117752</v>
      </c>
      <c r="BB172" s="32">
        <f t="shared" si="193"/>
        <v>0.33385439783377813</v>
      </c>
      <c r="BC172" s="60" t="str">
        <f t="shared" si="194"/>
        <v>-0.323802062238325+1.00881599590356i</v>
      </c>
      <c r="BD172" s="51">
        <f t="shared" si="195"/>
        <v>0.50208591599519414</v>
      </c>
      <c r="BE172" s="63">
        <f t="shared" si="196"/>
        <v>107.79519505265263</v>
      </c>
      <c r="BF172" s="60" t="str">
        <f t="shared" si="197"/>
        <v>7.72490821681696+9.60830290715502i</v>
      </c>
      <c r="BG172" s="66">
        <f t="shared" si="198"/>
        <v>21.818255635322732</v>
      </c>
      <c r="BH172" s="63">
        <f t="shared" si="199"/>
        <v>51.201324384718411</v>
      </c>
      <c r="BI172" s="60" t="e">
        <f t="shared" si="152"/>
        <v>#NUM!</v>
      </c>
      <c r="BJ172" s="66" t="e">
        <f t="shared" si="200"/>
        <v>#NUM!</v>
      </c>
      <c r="BK172" s="63" t="e">
        <f t="shared" si="153"/>
        <v>#NUM!</v>
      </c>
      <c r="BL172" s="51">
        <f t="shared" si="201"/>
        <v>21.818255635322732</v>
      </c>
      <c r="BM172" s="63">
        <f t="shared" si="202"/>
        <v>51.201324384718411</v>
      </c>
    </row>
    <row r="173" spans="14:65" x14ac:dyDescent="0.3">
      <c r="N173" s="11">
        <v>55</v>
      </c>
      <c r="O173" s="52">
        <f t="shared" si="154"/>
        <v>354.81338923357566</v>
      </c>
      <c r="P173" s="50" t="str">
        <f t="shared" si="155"/>
        <v>21.1560044893378</v>
      </c>
      <c r="Q173" s="18" t="str">
        <f t="shared" si="156"/>
        <v>1+1.55379516068269i</v>
      </c>
      <c r="R173" s="18">
        <f t="shared" si="167"/>
        <v>1.8477768808384163</v>
      </c>
      <c r="S173" s="18">
        <f t="shared" si="168"/>
        <v>0.99894366196074658</v>
      </c>
      <c r="T173" s="18" t="str">
        <f t="shared" si="157"/>
        <v>1+0.00222935827402299i</v>
      </c>
      <c r="U173" s="18">
        <f t="shared" si="169"/>
        <v>1.0000024850160694</v>
      </c>
      <c r="V173" s="18">
        <f t="shared" si="170"/>
        <v>2.2293545807019911E-3</v>
      </c>
      <c r="W173" s="32" t="str">
        <f t="shared" si="158"/>
        <v>1-0.00100123250294879i</v>
      </c>
      <c r="X173" s="18">
        <f t="shared" si="171"/>
        <v>1.0000005012331368</v>
      </c>
      <c r="Y173" s="18">
        <f t="shared" si="172"/>
        <v>-1.0012321683816351E-3</v>
      </c>
      <c r="Z173" s="32" t="str">
        <f t="shared" si="159"/>
        <v>0.999999874107459+0.000546451253457259i</v>
      </c>
      <c r="AA173" s="18">
        <f t="shared" si="173"/>
        <v>1.0000000234119528</v>
      </c>
      <c r="AB173" s="18">
        <f t="shared" si="174"/>
        <v>5.4645126785964461E-4</v>
      </c>
      <c r="AC173" s="68" t="str">
        <f t="shared" si="175"/>
        <v>6.20291071441705-9.62363117080407i</v>
      </c>
      <c r="AD173" s="66">
        <f t="shared" si="176"/>
        <v>21.175708165607922</v>
      </c>
      <c r="AE173" s="63">
        <f t="shared" si="177"/>
        <v>-57.196198922100571</v>
      </c>
      <c r="AF173" s="51" t="e">
        <f t="shared" si="178"/>
        <v>#NUM!</v>
      </c>
      <c r="AG173" s="51" t="str">
        <f t="shared" si="160"/>
        <v>1-0.955439260295569i</v>
      </c>
      <c r="AH173" s="51">
        <f t="shared" si="179"/>
        <v>1.383063331924516</v>
      </c>
      <c r="AI173" s="51">
        <f t="shared" si="180"/>
        <v>-0.76261400968500626</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-0.000133283554228113</v>
      </c>
      <c r="AT173" s="32" t="str">
        <f t="shared" si="164"/>
        <v>0.000136213790542805i</v>
      </c>
      <c r="AU173" s="32">
        <f t="shared" si="188"/>
        <v>1.3621379054280501E-4</v>
      </c>
      <c r="AV173" s="32">
        <f t="shared" si="189"/>
        <v>1.5707963267948966</v>
      </c>
      <c r="AW173" s="32" t="str">
        <f t="shared" si="165"/>
        <v>1+0.0238159717346843i</v>
      </c>
      <c r="AX173" s="32">
        <f t="shared" si="190"/>
        <v>1.0002835600516822</v>
      </c>
      <c r="AY173" s="32">
        <f t="shared" si="191"/>
        <v>2.381147045602618E-2</v>
      </c>
      <c r="AZ173" s="32" t="str">
        <f t="shared" si="166"/>
        <v>1+0.354916066582734i</v>
      </c>
      <c r="BA173" s="32">
        <f t="shared" si="192"/>
        <v>1.0611151748601844</v>
      </c>
      <c r="BB173" s="32">
        <f t="shared" si="193"/>
        <v>0.34104765790813962</v>
      </c>
      <c r="BC173" s="60" t="str">
        <f t="shared" si="194"/>
        <v>-0.32379380083128+0.986199425447499i</v>
      </c>
      <c r="BD173" s="51">
        <f t="shared" si="195"/>
        <v>0.32389762114567056</v>
      </c>
      <c r="BE173" s="63">
        <f t="shared" si="196"/>
        <v>108.17629464982711</v>
      </c>
      <c r="BF173" s="60" t="str">
        <f t="shared" si="197"/>
        <v>7.48235549492745+9.23337909725326i</v>
      </c>
      <c r="BG173" s="66">
        <f t="shared" si="198"/>
        <v>21.499605786753591</v>
      </c>
      <c r="BH173" s="63">
        <f t="shared" si="199"/>
        <v>50.980095727726528</v>
      </c>
      <c r="BI173" s="60" t="e">
        <f t="shared" si="152"/>
        <v>#NUM!</v>
      </c>
      <c r="BJ173" s="66" t="e">
        <f t="shared" si="200"/>
        <v>#NUM!</v>
      </c>
      <c r="BK173" s="63" t="e">
        <f t="shared" si="153"/>
        <v>#NUM!</v>
      </c>
      <c r="BL173" s="51">
        <f t="shared" si="201"/>
        <v>21.499605786753591</v>
      </c>
      <c r="BM173" s="63">
        <f t="shared" si="202"/>
        <v>50.980095727726528</v>
      </c>
    </row>
    <row r="174" spans="14:65" x14ac:dyDescent="0.3">
      <c r="N174" s="11">
        <v>56</v>
      </c>
      <c r="O174" s="52">
        <f t="shared" si="154"/>
        <v>363.07805477010152</v>
      </c>
      <c r="P174" s="50" t="str">
        <f t="shared" si="155"/>
        <v>21.1560044893378</v>
      </c>
      <c r="Q174" s="18" t="str">
        <f t="shared" si="156"/>
        <v>1+1.58998769936635i</v>
      </c>
      <c r="R174" s="18">
        <f t="shared" si="167"/>
        <v>1.878313308299842</v>
      </c>
      <c r="S174" s="18">
        <f t="shared" si="168"/>
        <v>1.0093718620162841</v>
      </c>
      <c r="T174" s="18" t="str">
        <f t="shared" si="157"/>
        <v>1+0.00228128669909085i</v>
      </c>
      <c r="U174" s="18">
        <f t="shared" si="169"/>
        <v>1.0000026021311161</v>
      </c>
      <c r="V174" s="18">
        <f t="shared" si="170"/>
        <v>2.2812827416266554E-3</v>
      </c>
      <c r="W174" s="32" t="str">
        <f t="shared" si="158"/>
        <v>1-0.00102455420391122i</v>
      </c>
      <c r="X174" s="18">
        <f t="shared" si="171"/>
        <v>1.0000005248555206</v>
      </c>
      <c r="Y174" s="18">
        <f t="shared" si="172"/>
        <v>-1.0245538454160649E-3</v>
      </c>
      <c r="Z174" s="32" t="str">
        <f t="shared" si="159"/>
        <v>0.999999868174326+0.000559179738285849i</v>
      </c>
      <c r="AA174" s="18">
        <f t="shared" si="173"/>
        <v>1.0000000245153242</v>
      </c>
      <c r="AB174" s="18">
        <f t="shared" si="174"/>
        <v>5.5917975371828335E-4</v>
      </c>
      <c r="AC174" s="68" t="str">
        <f t="shared" si="175"/>
        <v>6.00316427468538-9.53019995664767i</v>
      </c>
      <c r="AD174" s="66">
        <f t="shared" si="176"/>
        <v>21.033339245868667</v>
      </c>
      <c r="AE174" s="63">
        <f t="shared" si="177"/>
        <v>-57.792781030926641</v>
      </c>
      <c r="AF174" s="51" t="e">
        <f t="shared" si="178"/>
        <v>#NUM!</v>
      </c>
      <c r="AG174" s="51" t="str">
        <f t="shared" si="160"/>
        <v>1-0.977694299610366i</v>
      </c>
      <c r="AH174" s="51">
        <f t="shared" si="179"/>
        <v>1.3985299937758233</v>
      </c>
      <c r="AI174" s="51">
        <f t="shared" si="180"/>
        <v>-0.77412000243634715</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-0.000133283554228113</v>
      </c>
      <c r="AT174" s="32" t="str">
        <f t="shared" si="164"/>
        <v>0.000139386617314451i</v>
      </c>
      <c r="AU174" s="32">
        <f t="shared" si="188"/>
        <v>1.3938661731445099E-4</v>
      </c>
      <c r="AV174" s="32">
        <f t="shared" si="189"/>
        <v>1.5707963267948966</v>
      </c>
      <c r="AW174" s="32" t="str">
        <f t="shared" si="165"/>
        <v>1+0.024370716980459i</v>
      </c>
      <c r="AX174" s="32">
        <f t="shared" si="190"/>
        <v>1.0002969218417808</v>
      </c>
      <c r="AY174" s="32">
        <f t="shared" si="191"/>
        <v>2.4365893850799219E-2</v>
      </c>
      <c r="AZ174" s="32" t="str">
        <f t="shared" si="166"/>
        <v>1+0.363183123781962i</v>
      </c>
      <c r="BA174" s="32">
        <f t="shared" si="192"/>
        <v>1.0639088219391848</v>
      </c>
      <c r="BB174" s="32">
        <f t="shared" si="193"/>
        <v>0.34837063859301182</v>
      </c>
      <c r="BC174" s="60" t="str">
        <f t="shared" si="194"/>
        <v>-0.323785150527934+0.96410573244139i</v>
      </c>
      <c r="BD174" s="51">
        <f t="shared" si="195"/>
        <v>0.14661929007317256</v>
      </c>
      <c r="BE174" s="63">
        <f t="shared" si="196"/>
        <v>108.56410441594235</v>
      </c>
      <c r="BF174" s="60" t="str">
        <f t="shared" si="197"/>
        <v>7.24438496119378+8.87342231753601i</v>
      </c>
      <c r="BG174" s="66">
        <f t="shared" si="198"/>
        <v>21.179958535941839</v>
      </c>
      <c r="BH174" s="63">
        <f t="shared" si="199"/>
        <v>50.771323385015727</v>
      </c>
      <c r="BI174" s="60" t="e">
        <f t="shared" si="152"/>
        <v>#NUM!</v>
      </c>
      <c r="BJ174" s="66" t="e">
        <f t="shared" si="200"/>
        <v>#NUM!</v>
      </c>
      <c r="BK174" s="63" t="e">
        <f t="shared" si="153"/>
        <v>#NUM!</v>
      </c>
      <c r="BL174" s="51">
        <f t="shared" si="201"/>
        <v>21.179958535941839</v>
      </c>
      <c r="BM174" s="63">
        <f t="shared" si="202"/>
        <v>50.771323385015727</v>
      </c>
    </row>
    <row r="175" spans="14:65" x14ac:dyDescent="0.3">
      <c r="N175" s="11">
        <v>57</v>
      </c>
      <c r="O175" s="52">
        <f t="shared" si="154"/>
        <v>371.53522909717265</v>
      </c>
      <c r="P175" s="50" t="str">
        <f t="shared" si="155"/>
        <v>21.1560044893378</v>
      </c>
      <c r="Q175" s="18" t="str">
        <f t="shared" si="156"/>
        <v>1+1.62702327057419i</v>
      </c>
      <c r="R175" s="18">
        <f t="shared" si="167"/>
        <v>1.9097656199099236</v>
      </c>
      <c r="S175" s="18">
        <f t="shared" si="168"/>
        <v>1.0196965909116902</v>
      </c>
      <c r="T175" s="18" t="str">
        <f t="shared" si="157"/>
        <v>1+0.00233442469256296i</v>
      </c>
      <c r="U175" s="18">
        <f t="shared" si="169"/>
        <v>1.0000027247656105</v>
      </c>
      <c r="V175" s="18">
        <f t="shared" si="170"/>
        <v>2.3344204520642999E-3</v>
      </c>
      <c r="W175" s="32" t="str">
        <f t="shared" si="158"/>
        <v>1-0.00104841913707413i</v>
      </c>
      <c r="X175" s="18">
        <f t="shared" si="171"/>
        <v>1.0000005495911926</v>
      </c>
      <c r="Y175" s="18">
        <f t="shared" si="172"/>
        <v>-1.0484187529396618E-3</v>
      </c>
      <c r="Z175" s="32" t="str">
        <f t="shared" si="159"/>
        <v>0.999999861961574+0.000572204707613295i</v>
      </c>
      <c r="AA175" s="18">
        <f t="shared" si="173"/>
        <v>1.0000000256706969</v>
      </c>
      <c r="AB175" s="18">
        <f t="shared" si="174"/>
        <v>5.722047241494458E-4</v>
      </c>
      <c r="AC175" s="68" t="str">
        <f t="shared" si="175"/>
        <v>5.80736189590356-9.4336118054975i</v>
      </c>
      <c r="AD175" s="66">
        <f t="shared" si="176"/>
        <v>20.889099811904849</v>
      </c>
      <c r="AE175" s="63">
        <f t="shared" si="177"/>
        <v>-58.383413489022587</v>
      </c>
      <c r="AF175" s="51" t="e">
        <f t="shared" si="178"/>
        <v>#NUM!</v>
      </c>
      <c r="AG175" s="51" t="str">
        <f t="shared" si="160"/>
        <v>1-1.00046772538413i</v>
      </c>
      <c r="AH175" s="51">
        <f t="shared" si="179"/>
        <v>1.4145443328278173</v>
      </c>
      <c r="AI175" s="51">
        <f t="shared" si="180"/>
        <v>-0.78563197140628149</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-0.000133283554228113</v>
      </c>
      <c r="AT175" s="32" t="str">
        <f t="shared" si="164"/>
        <v>0.000142633348715597i</v>
      </c>
      <c r="AU175" s="32">
        <f t="shared" si="188"/>
        <v>1.4263334871559701E-4</v>
      </c>
      <c r="AV175" s="32">
        <f t="shared" si="189"/>
        <v>1.5707963267948966</v>
      </c>
      <c r="AW175" s="32" t="str">
        <f t="shared" si="165"/>
        <v>1+0.0249383839029613i</v>
      </c>
      <c r="AX175" s="32">
        <f t="shared" si="190"/>
        <v>1.0003109131623484</v>
      </c>
      <c r="AY175" s="32">
        <f t="shared" si="191"/>
        <v>2.4933215913170985E-2</v>
      </c>
      <c r="AZ175" s="32" t="str">
        <f t="shared" si="166"/>
        <v>1+0.371642745480716i</v>
      </c>
      <c r="BA175" s="32">
        <f t="shared" si="192"/>
        <v>1.0668262887032942</v>
      </c>
      <c r="BB175" s="32">
        <f t="shared" si="193"/>
        <v>0.35582408004771526</v>
      </c>
      <c r="BC175" s="60" t="str">
        <f t="shared" si="194"/>
        <v>-0.323776093043716+0.942523201192431i</v>
      </c>
      <c r="BD175" s="51">
        <f t="shared" si="195"/>
        <v>-2.9716221188585121E-2</v>
      </c>
      <c r="BE175" s="63">
        <f t="shared" si="196"/>
        <v>108.95864999434612</v>
      </c>
      <c r="BF175" s="60" t="str">
        <f t="shared" si="197"/>
        <v>7.01111305217761+8.52795129828502i</v>
      </c>
      <c r="BG175" s="66">
        <f t="shared" si="198"/>
        <v>20.859383590716259</v>
      </c>
      <c r="BH175" s="63">
        <f t="shared" si="199"/>
        <v>50.575236505323517</v>
      </c>
      <c r="BI175" s="60" t="e">
        <f t="shared" si="152"/>
        <v>#NUM!</v>
      </c>
      <c r="BJ175" s="66" t="e">
        <f t="shared" si="200"/>
        <v>#NUM!</v>
      </c>
      <c r="BK175" s="63" t="e">
        <f t="shared" si="153"/>
        <v>#NUM!</v>
      </c>
      <c r="BL175" s="51">
        <f t="shared" si="201"/>
        <v>20.859383590716259</v>
      </c>
      <c r="BM175" s="63">
        <f t="shared" si="202"/>
        <v>50.575236505323517</v>
      </c>
    </row>
    <row r="176" spans="14:65" x14ac:dyDescent="0.3">
      <c r="N176" s="11">
        <v>58</v>
      </c>
      <c r="O176" s="52">
        <f t="shared" si="154"/>
        <v>380.18939632056163</v>
      </c>
      <c r="P176" s="50" t="str">
        <f t="shared" si="155"/>
        <v>21.1560044893378</v>
      </c>
      <c r="Q176" s="18" t="str">
        <f t="shared" si="156"/>
        <v>1+1.66492151105628i</v>
      </c>
      <c r="R176" s="18">
        <f t="shared" si="167"/>
        <v>1.942154380572751</v>
      </c>
      <c r="S176" s="18">
        <f t="shared" si="168"/>
        <v>1.0299145176599556</v>
      </c>
      <c r="T176" s="18" t="str">
        <f t="shared" si="157"/>
        <v>1+0.00238880042890683i</v>
      </c>
      <c r="U176" s="18">
        <f t="shared" si="169"/>
        <v>1.0000028531796743</v>
      </c>
      <c r="V176" s="18">
        <f t="shared" si="170"/>
        <v>2.3887958851313519E-3</v>
      </c>
      <c r="W176" s="32" t="str">
        <f t="shared" si="158"/>
        <v>1-0.001072839955941i</v>
      </c>
      <c r="X176" s="18">
        <f t="shared" si="171"/>
        <v>1.00000057549262</v>
      </c>
      <c r="Y176" s="18">
        <f t="shared" si="172"/>
        <v>-1.0728395443335146E-3</v>
      </c>
      <c r="Z176" s="32" t="str">
        <f t="shared" si="159"/>
        <v>0.999999855456023+0.000585533067450743i</v>
      </c>
      <c r="AA176" s="18">
        <f t="shared" si="173"/>
        <v>1.0000000268805196</v>
      </c>
      <c r="AB176" s="18">
        <f t="shared" si="174"/>
        <v>5.855330851695478E-4</v>
      </c>
      <c r="AC176" s="68" t="str">
        <f t="shared" si="175"/>
        <v>5.61558930418482-9.33406254092637i</v>
      </c>
      <c r="AD176" s="66">
        <f t="shared" si="176"/>
        <v>20.743027583120139</v>
      </c>
      <c r="AE176" s="63">
        <f t="shared" si="177"/>
        <v>-58.967904951361575</v>
      </c>
      <c r="AF176" s="51" t="e">
        <f t="shared" si="178"/>
        <v>#NUM!</v>
      </c>
      <c r="AG176" s="51" t="str">
        <f t="shared" si="160"/>
        <v>1-1.02377161238864i</v>
      </c>
      <c r="AH176" s="51">
        <f t="shared" si="179"/>
        <v>1.4311213485700072</v>
      </c>
      <c r="AI176" s="51">
        <f t="shared" si="180"/>
        <v>-0.79714381644098453</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-0.000133283554228113</v>
      </c>
      <c r="AT176" s="32" t="str">
        <f t="shared" si="164"/>
        <v>0.000145955706206207i</v>
      </c>
      <c r="AU176" s="32">
        <f t="shared" si="188"/>
        <v>1.4595570620620701E-4</v>
      </c>
      <c r="AV176" s="32">
        <f t="shared" si="189"/>
        <v>1.5707963267948966</v>
      </c>
      <c r="AW176" s="32" t="str">
        <f t="shared" si="165"/>
        <v>1+0.0255192734867074i</v>
      </c>
      <c r="AX176" s="32">
        <f t="shared" si="190"/>
        <v>1.0003255636637951</v>
      </c>
      <c r="AY176" s="32">
        <f t="shared" si="191"/>
        <v>2.5513735983210949E-2</v>
      </c>
      <c r="AZ176" s="32" t="str">
        <f t="shared" si="166"/>
        <v>1+0.380299417082396i</v>
      </c>
      <c r="BA176" s="32">
        <f t="shared" si="192"/>
        <v>1.0698727245019428</v>
      </c>
      <c r="BB176" s="32">
        <f t="shared" si="193"/>
        <v>0.36340862066785756</v>
      </c>
      <c r="BC176" s="60" t="str">
        <f t="shared" si="194"/>
        <v>-0.323766609236533+0.921440386938032i</v>
      </c>
      <c r="BD176" s="51">
        <f t="shared" si="195"/>
        <v>-0.20507529997224325</v>
      </c>
      <c r="BE176" s="63">
        <f t="shared" si="196"/>
        <v>109.35995081148992</v>
      </c>
      <c r="BF176" s="60" t="str">
        <f t="shared" si="197"/>
        <v>6.78264189153412+8.1964885606106i</v>
      </c>
      <c r="BG176" s="66">
        <f t="shared" si="198"/>
        <v>20.537952283147895</v>
      </c>
      <c r="BH176" s="63">
        <f t="shared" si="199"/>
        <v>50.392045860128356</v>
      </c>
      <c r="BI176" s="60" t="e">
        <f t="shared" si="152"/>
        <v>#NUM!</v>
      </c>
      <c r="BJ176" s="66" t="e">
        <f t="shared" si="200"/>
        <v>#NUM!</v>
      </c>
      <c r="BK176" s="63" t="e">
        <f t="shared" si="153"/>
        <v>#NUM!</v>
      </c>
      <c r="BL176" s="51">
        <f t="shared" si="201"/>
        <v>20.537952283147895</v>
      </c>
      <c r="BM176" s="63">
        <f t="shared" si="202"/>
        <v>50.392045860128356</v>
      </c>
    </row>
    <row r="177" spans="14:65" x14ac:dyDescent="0.3">
      <c r="N177" s="11">
        <v>59</v>
      </c>
      <c r="O177" s="52">
        <f t="shared" si="154"/>
        <v>389.04514499428063</v>
      </c>
      <c r="P177" s="50" t="str">
        <f t="shared" si="155"/>
        <v>21.1560044893378</v>
      </c>
      <c r="Q177" s="18" t="str">
        <f t="shared" si="156"/>
        <v>1+1.70370251496137i</v>
      </c>
      <c r="R177" s="18">
        <f t="shared" si="167"/>
        <v>1.9755005086017308</v>
      </c>
      <c r="S177" s="18">
        <f t="shared" si="168"/>
        <v>1.0400225249896662</v>
      </c>
      <c r="T177" s="18" t="str">
        <f t="shared" si="157"/>
        <v>1+0.00244444273885762i</v>
      </c>
      <c r="U177" s="18">
        <f t="shared" si="169"/>
        <v>1.0000029876456888</v>
      </c>
      <c r="V177" s="18">
        <f t="shared" si="170"/>
        <v>2.4444378701152618E-3</v>
      </c>
      <c r="W177" s="32" t="str">
        <f t="shared" si="158"/>
        <v>1-0.00109782960875322i</v>
      </c>
      <c r="X177" s="18">
        <f t="shared" si="171"/>
        <v>1.0000006026147434</v>
      </c>
      <c r="Y177" s="18">
        <f t="shared" si="172"/>
        <v>-1.0978291677078674E-3</v>
      </c>
      <c r="Z177" s="32" t="str">
        <f t="shared" si="159"/>
        <v>0.999999848643875+0.000599171884670999i</v>
      </c>
      <c r="AA177" s="18">
        <f t="shared" si="173"/>
        <v>1.0000000281473598</v>
      </c>
      <c r="AB177" s="18">
        <f t="shared" si="174"/>
        <v>5.9917190365704059E-4</v>
      </c>
      <c r="AC177" s="68" t="str">
        <f t="shared" si="175"/>
        <v>5.42792036994687-9.23174875416408i</v>
      </c>
      <c r="AD177" s="66">
        <f t="shared" si="176"/>
        <v>20.595161033607422</v>
      </c>
      <c r="AE177" s="63">
        <f t="shared" si="177"/>
        <v>-59.546076306425874</v>
      </c>
      <c r="AF177" s="51" t="e">
        <f t="shared" si="178"/>
        <v>#NUM!</v>
      </c>
      <c r="AG177" s="51" t="str">
        <f t="shared" si="160"/>
        <v>1-1.04761831665327i</v>
      </c>
      <c r="AH177" s="51">
        <f t="shared" si="179"/>
        <v>1.4482762641800877</v>
      </c>
      <c r="AI177" s="51">
        <f t="shared" si="180"/>
        <v>-0.8086494377149106</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-0.000133283554228113</v>
      </c>
      <c r="AT177" s="32" t="str">
        <f t="shared" si="164"/>
        <v>0.0001493554513442i</v>
      </c>
      <c r="AU177" s="32">
        <f t="shared" si="188"/>
        <v>1.4935545134419999E-4</v>
      </c>
      <c r="AV177" s="32">
        <f t="shared" si="189"/>
        <v>1.5707963267948966</v>
      </c>
      <c r="AW177" s="32" t="str">
        <f t="shared" si="165"/>
        <v>1+0.0261136937270438i</v>
      </c>
      <c r="AX177" s="32">
        <f t="shared" si="190"/>
        <v>1.0003409043921325</v>
      </c>
      <c r="AY177" s="32">
        <f t="shared" si="191"/>
        <v>2.6107760294349441E-2</v>
      </c>
      <c r="AZ177" s="32" t="str">
        <f t="shared" si="166"/>
        <v>1+0.389157728468872i</v>
      </c>
      <c r="BA177" s="32">
        <f t="shared" si="192"/>
        <v>1.0730534644774474</v>
      </c>
      <c r="BB177" s="32">
        <f t="shared" si="193"/>
        <v>0.37112479045541447</v>
      </c>
      <c r="BC177" s="60" t="str">
        <f t="shared" si="194"/>
        <v>-0.323756679066746+0.900846109770904i</v>
      </c>
      <c r="BD177" s="51">
        <f t="shared" si="195"/>
        <v>-0.379423596048439</v>
      </c>
      <c r="BE177" s="63">
        <f t="shared" si="196"/>
        <v>109.76801968836685</v>
      </c>
      <c r="BF177" s="60" t="str">
        <f t="shared" si="197"/>
        <v>6.55905947835836+7.87856126803962i</v>
      </c>
      <c r="BG177" s="66">
        <f t="shared" si="198"/>
        <v>20.215737437558982</v>
      </c>
      <c r="BH177" s="63">
        <f t="shared" si="199"/>
        <v>50.221943381940982</v>
      </c>
      <c r="BI177" s="60" t="e">
        <f t="shared" si="152"/>
        <v>#NUM!</v>
      </c>
      <c r="BJ177" s="66" t="e">
        <f t="shared" si="200"/>
        <v>#NUM!</v>
      </c>
      <c r="BK177" s="63" t="e">
        <f t="shared" si="153"/>
        <v>#NUM!</v>
      </c>
      <c r="BL177" s="51">
        <f t="shared" si="201"/>
        <v>20.215737437558982</v>
      </c>
      <c r="BM177" s="63">
        <f t="shared" si="202"/>
        <v>50.221943381940982</v>
      </c>
    </row>
    <row r="178" spans="14:65" x14ac:dyDescent="0.3">
      <c r="N178" s="11">
        <v>60</v>
      </c>
      <c r="O178" s="52">
        <f t="shared" si="154"/>
        <v>398.10717055349761</v>
      </c>
      <c r="P178" s="50" t="str">
        <f t="shared" si="155"/>
        <v>21.1560044893378</v>
      </c>
      <c r="Q178" s="18" t="str">
        <f t="shared" si="156"/>
        <v>1+1.74338684449107i</v>
      </c>
      <c r="R178" s="18">
        <f t="shared" si="167"/>
        <v>2.0098252883135217</v>
      </c>
      <c r="S178" s="18">
        <f t="shared" si="168"/>
        <v>1.0500177097483374</v>
      </c>
      <c r="T178" s="18" t="str">
        <f t="shared" si="157"/>
        <v>1+0.00250138112470457i</v>
      </c>
      <c r="U178" s="18">
        <f t="shared" si="169"/>
        <v>1.000003128448872</v>
      </c>
      <c r="V178" s="18">
        <f t="shared" si="170"/>
        <v>2.5013759077540227E-3</v>
      </c>
      <c r="W178" s="32" t="str">
        <f t="shared" si="158"/>
        <v>1-0.00112340134535548i</v>
      </c>
      <c r="X178" s="18">
        <f t="shared" si="171"/>
        <v>1.0000006310150922</v>
      </c>
      <c r="Y178" s="18">
        <f t="shared" si="172"/>
        <v>-1.1234008727668864E-3</v>
      </c>
      <c r="Z178" s="32" t="str">
        <f t="shared" si="159"/>
        <v>0.999999841510681+0.000613128390755484i</v>
      </c>
      <c r="AA178" s="18">
        <f t="shared" si="173"/>
        <v>1.0000000294739049</v>
      </c>
      <c r="AB178" s="18">
        <f t="shared" si="174"/>
        <v>6.1312841109939357E-4</v>
      </c>
      <c r="AC178" s="68" t="str">
        <f t="shared" si="175"/>
        <v>5.2444173260683-9.12686701590215i</v>
      </c>
      <c r="AD178" s="66">
        <f t="shared" si="176"/>
        <v>20.445539281013136</v>
      </c>
      <c r="AE178" s="63">
        <f t="shared" si="177"/>
        <v>-60.117760699048794</v>
      </c>
      <c r="AF178" s="51" t="e">
        <f t="shared" si="178"/>
        <v>#NUM!</v>
      </c>
      <c r="AG178" s="51" t="str">
        <f t="shared" si="160"/>
        <v>1-1.07202048201625i</v>
      </c>
      <c r="AH178" s="51">
        <f t="shared" si="179"/>
        <v>1.4660245270330075</v>
      </c>
      <c r="AI178" s="51">
        <f t="shared" si="180"/>
        <v>-0.82014275187633723</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-0.000133283554228113</v>
      </c>
      <c r="AT178" s="32" t="str">
        <f t="shared" si="164"/>
        <v>0.000152834386719449i</v>
      </c>
      <c r="AU178" s="32">
        <f t="shared" si="188"/>
        <v>1.5283438671944899E-4</v>
      </c>
      <c r="AV178" s="32">
        <f t="shared" si="189"/>
        <v>1.5707963267948966</v>
      </c>
      <c r="AW178" s="32" t="str">
        <f t="shared" si="165"/>
        <v>1+0.0267219597934497i</v>
      </c>
      <c r="AX178" s="32">
        <f t="shared" si="190"/>
        <v>1.0003569678545767</v>
      </c>
      <c r="AY178" s="32">
        <f t="shared" si="191"/>
        <v>2.6715602128295789E-2</v>
      </c>
      <c r="AZ178" s="32" t="str">
        <f t="shared" si="166"/>
        <v>1+0.398222376434092i</v>
      </c>
      <c r="BA178" s="32">
        <f t="shared" si="192"/>
        <v>1.0763740340108616</v>
      </c>
      <c r="BB178" s="32">
        <f t="shared" si="193"/>
        <v>0.37897300428773278</v>
      </c>
      <c r="BC178" s="60" t="str">
        <f t="shared" si="194"/>
        <v>-0.323746281555322+0.880729448704119i</v>
      </c>
      <c r="BD178" s="51">
        <f t="shared" si="195"/>
        <v>-0.55272604440723827</v>
      </c>
      <c r="BE178" s="63">
        <f t="shared" si="196"/>
        <v>110.18286244597823</v>
      </c>
      <c r="BF178" s="60" t="str">
        <f t="shared" si="197"/>
        <v>6.34043994707239+7.5737020390107i</v>
      </c>
      <c r="BG178" s="66">
        <f t="shared" si="198"/>
        <v>19.8928132366059</v>
      </c>
      <c r="BH178" s="63">
        <f t="shared" si="199"/>
        <v>50.065101746929443</v>
      </c>
      <c r="BI178" s="60" t="e">
        <f t="shared" ref="BI178:BI241" si="203">IMPRODUCT(AP178,BC178)</f>
        <v>#NUM!</v>
      </c>
      <c r="BJ178" s="66" t="e">
        <f t="shared" si="200"/>
        <v>#NUM!</v>
      </c>
      <c r="BK178" s="63" t="e">
        <f t="shared" ref="BK178:BK241" si="204">(180/PI())*IMARGUMENT(BI178)</f>
        <v>#NUM!</v>
      </c>
      <c r="BL178" s="51">
        <f t="shared" si="201"/>
        <v>19.8928132366059</v>
      </c>
      <c r="BM178" s="63">
        <f t="shared" si="202"/>
        <v>50.065101746929443</v>
      </c>
    </row>
    <row r="179" spans="14:65" x14ac:dyDescent="0.3">
      <c r="N179" s="11">
        <v>61</v>
      </c>
      <c r="O179" s="52">
        <f t="shared" si="154"/>
        <v>407.38027780411272</v>
      </c>
      <c r="P179" s="50" t="str">
        <f t="shared" si="155"/>
        <v>21.1560044893378</v>
      </c>
      <c r="Q179" s="18" t="str">
        <f t="shared" si="156"/>
        <v>1+1.78399554080217i</v>
      </c>
      <c r="R179" s="18">
        <f t="shared" si="167"/>
        <v>2.0451503831263915</v>
      </c>
      <c r="S179" s="18">
        <f t="shared" si="168"/>
        <v>1.0598973824686773</v>
      </c>
      <c r="T179" s="18" t="str">
        <f t="shared" si="157"/>
        <v>1+0.00255964577593354i</v>
      </c>
      <c r="U179" s="18">
        <f t="shared" si="169"/>
        <v>1.0000032758878834</v>
      </c>
      <c r="V179" s="18">
        <f t="shared" si="170"/>
        <v>2.5596401858713029E-3</v>
      </c>
      <c r="W179" s="32" t="str">
        <f t="shared" si="158"/>
        <v>1-0.00114956872422104i</v>
      </c>
      <c r="X179" s="18">
        <f t="shared" si="171"/>
        <v>1.0000006607539076</v>
      </c>
      <c r="Y179" s="18">
        <f t="shared" si="172"/>
        <v>-1.1495682178332565E-3</v>
      </c>
      <c r="Z179" s="32" t="str">
        <f t="shared" si="159"/>
        <v>0.999999834041309+0.000627409985628464i</v>
      </c>
      <c r="AA179" s="18">
        <f t="shared" si="173"/>
        <v>1.0000000308629673</v>
      </c>
      <c r="AB179" s="18">
        <f t="shared" si="174"/>
        <v>6.2741000742735605E-4</v>
      </c>
      <c r="AC179" s="68" t="str">
        <f t="shared" si="175"/>
        <v>5.06513104091299-9.01961312763364i</v>
      </c>
      <c r="AD179" s="66">
        <f t="shared" si="176"/>
        <v>20.294201977728669</v>
      </c>
      <c r="AE179" s="63">
        <f t="shared" si="177"/>
        <v>-60.682803505289932</v>
      </c>
      <c r="AF179" s="51" t="e">
        <f t="shared" si="178"/>
        <v>#NUM!</v>
      </c>
      <c r="AG179" s="51" t="str">
        <f t="shared" si="160"/>
        <v>1-1.09699104682866i</v>
      </c>
      <c r="AH179" s="51">
        <f t="shared" si="179"/>
        <v>1.4843818096508188</v>
      </c>
      <c r="AI179" s="51">
        <f t="shared" si="180"/>
        <v>-0.83161770808672619</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-0.000133283554228113</v>
      </c>
      <c r="AT179" s="32" t="str">
        <f t="shared" si="164"/>
        <v>0.000156394356909539i</v>
      </c>
      <c r="AU179" s="32">
        <f t="shared" si="188"/>
        <v>1.56394356909539E-4</v>
      </c>
      <c r="AV179" s="32">
        <f t="shared" si="189"/>
        <v>1.5707963267948966</v>
      </c>
      <c r="AW179" s="32" t="str">
        <f t="shared" si="165"/>
        <v>1+0.0273443941966452i</v>
      </c>
      <c r="AX179" s="32">
        <f t="shared" si="190"/>
        <v>1.0003737880882233</v>
      </c>
      <c r="AY179" s="32">
        <f t="shared" si="191"/>
        <v>2.733758197316476E-2</v>
      </c>
      <c r="AZ179" s="32" t="str">
        <f t="shared" si="166"/>
        <v>1+0.407498167174395i</v>
      </c>
      <c r="BA179" s="32">
        <f t="shared" si="192"/>
        <v>1.079840153101602</v>
      </c>
      <c r="BB179" s="32">
        <f t="shared" si="193"/>
        <v>0.38695355510966706</v>
      </c>
      <c r="BC179" s="60" t="str">
        <f t="shared" si="194"/>
        <v>-0.323735394740049+0.86107973587293i</v>
      </c>
      <c r="BD179" s="51">
        <f t="shared" si="195"/>
        <v>-0.72494689194820583</v>
      </c>
      <c r="BE179" s="63">
        <f t="shared" si="196"/>
        <v>110.60447750621157</v>
      </c>
      <c r="BF179" s="60" t="str">
        <f t="shared" si="197"/>
        <v>6.12684389267874+7.28144971514814i</v>
      </c>
      <c r="BG179" s="66">
        <f t="shared" si="198"/>
        <v>19.569255085780462</v>
      </c>
      <c r="BH179" s="63">
        <f t="shared" si="199"/>
        <v>49.921674000921662</v>
      </c>
      <c r="BI179" s="60" t="e">
        <f t="shared" si="203"/>
        <v>#NUM!</v>
      </c>
      <c r="BJ179" s="66" t="e">
        <f t="shared" si="200"/>
        <v>#NUM!</v>
      </c>
      <c r="BK179" s="63" t="e">
        <f t="shared" si="204"/>
        <v>#NUM!</v>
      </c>
      <c r="BL179" s="51">
        <f t="shared" si="201"/>
        <v>19.569255085780462</v>
      </c>
      <c r="BM179" s="63">
        <f t="shared" si="202"/>
        <v>49.921674000921662</v>
      </c>
    </row>
    <row r="180" spans="14:65" x14ac:dyDescent="0.3">
      <c r="N180" s="11">
        <v>62</v>
      </c>
      <c r="O180" s="52">
        <f t="shared" si="154"/>
        <v>416.86938347033572</v>
      </c>
      <c r="P180" s="50" t="str">
        <f t="shared" si="155"/>
        <v>21.1560044893378</v>
      </c>
      <c r="Q180" s="18" t="str">
        <f t="shared" si="156"/>
        <v>1+1.82555013516298i</v>
      </c>
      <c r="R180" s="18">
        <f t="shared" si="167"/>
        <v>2.0814978491445948</v>
      </c>
      <c r="S180" s="18">
        <f t="shared" si="168"/>
        <v>1.0696590661428456</v>
      </c>
      <c r="T180" s="18" t="str">
        <f t="shared" si="157"/>
        <v>1+0.00261926758523383i</v>
      </c>
      <c r="U180" s="18">
        <f t="shared" si="169"/>
        <v>1.0000034302754581</v>
      </c>
      <c r="V180" s="18">
        <f t="shared" si="170"/>
        <v>2.6192615953753353E-3</v>
      </c>
      <c r="W180" s="32" t="str">
        <f t="shared" si="158"/>
        <v>1-0.00117634561964052i</v>
      </c>
      <c r="X180" s="18">
        <f t="shared" si="171"/>
        <v>1.0000006918942692</v>
      </c>
      <c r="Y180" s="18">
        <f t="shared" si="172"/>
        <v>-1.1763450770362544E-3</v>
      </c>
      <c r="Z180" s="32" t="str">
        <f t="shared" si="159"/>
        <v>0.999999826219917+0.000642024241580577i</v>
      </c>
      <c r="AA180" s="18">
        <f t="shared" si="173"/>
        <v>1.0000000323174951</v>
      </c>
      <c r="AB180" s="18">
        <f t="shared" si="174"/>
        <v>6.420242649385103E-4</v>
      </c>
      <c r="AC180" s="68" t="str">
        <f t="shared" si="175"/>
        <v>4.8901013408085-8.91018141607941i</v>
      </c>
      <c r="AD180" s="66">
        <f t="shared" si="176"/>
        <v>20.14118920490214</v>
      </c>
      <c r="AE180" s="63">
        <f t="shared" si="177"/>
        <v>-61.241062261925507</v>
      </c>
      <c r="AF180" s="51" t="e">
        <f t="shared" si="178"/>
        <v>#NUM!</v>
      </c>
      <c r="AG180" s="51" t="str">
        <f t="shared" si="160"/>
        <v>1-1.1225432508145i</v>
      </c>
      <c r="AH180" s="51">
        <f t="shared" si="179"/>
        <v>1.5033640111261095</v>
      </c>
      <c r="AI180" s="51">
        <f t="shared" si="180"/>
        <v>-0.84306830385093501</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-0.000133283554228113</v>
      </c>
      <c r="AT180" s="32" t="str">
        <f t="shared" si="164"/>
        <v>0.000160037249457787i</v>
      </c>
      <c r="AU180" s="32">
        <f t="shared" si="188"/>
        <v>1.60037249457787E-4</v>
      </c>
      <c r="AV180" s="32">
        <f t="shared" si="189"/>
        <v>1.5707963267948966</v>
      </c>
      <c r="AW180" s="32" t="str">
        <f t="shared" si="165"/>
        <v>1+0.0279813269595896i</v>
      </c>
      <c r="AX180" s="32">
        <f t="shared" si="190"/>
        <v>1.0003914007319432</v>
      </c>
      <c r="AY180" s="32">
        <f t="shared" si="191"/>
        <v>2.7974027684852999E-2</v>
      </c>
      <c r="AZ180" s="32" t="str">
        <f t="shared" si="166"/>
        <v>1+0.416990018836811i</v>
      </c>
      <c r="BA180" s="32">
        <f t="shared" si="192"/>
        <v>1.083457740666208</v>
      </c>
      <c r="BB180" s="32">
        <f t="shared" si="193"/>
        <v>0.39506660707583491</v>
      </c>
      <c r="BC180" s="60" t="str">
        <f t="shared" si="194"/>
        <v>-0.32372399562972+0.841886550870242i</v>
      </c>
      <c r="BD180" s="51">
        <f t="shared" si="195"/>
        <v>-0.89604972827010365</v>
      </c>
      <c r="BE180" s="63">
        <f t="shared" si="196"/>
        <v>111.03285548967438</v>
      </c>
      <c r="BF180" s="60" t="str">
        <f t="shared" si="197"/>
        <v>5.91831875493045+7.00135008101812i</v>
      </c>
      <c r="BG180" s="66">
        <f t="shared" si="198"/>
        <v>19.245139476632044</v>
      </c>
      <c r="BH180" s="63">
        <f t="shared" si="199"/>
        <v>49.791793227748862</v>
      </c>
      <c r="BI180" s="60" t="e">
        <f t="shared" si="203"/>
        <v>#NUM!</v>
      </c>
      <c r="BJ180" s="66" t="e">
        <f t="shared" si="200"/>
        <v>#NUM!</v>
      </c>
      <c r="BK180" s="63" t="e">
        <f t="shared" si="204"/>
        <v>#NUM!</v>
      </c>
      <c r="BL180" s="51">
        <f t="shared" si="201"/>
        <v>19.245139476632044</v>
      </c>
      <c r="BM180" s="63">
        <f t="shared" si="202"/>
        <v>49.791793227748862</v>
      </c>
    </row>
    <row r="181" spans="14:65" x14ac:dyDescent="0.3">
      <c r="N181" s="11">
        <v>63</v>
      </c>
      <c r="O181" s="52">
        <f t="shared" si="154"/>
        <v>426.57951880159294</v>
      </c>
      <c r="P181" s="50" t="str">
        <f t="shared" si="155"/>
        <v>21.1560044893378</v>
      </c>
      <c r="Q181" s="18" t="str">
        <f t="shared" si="156"/>
        <v>1+1.86807266036946i</v>
      </c>
      <c r="R181" s="18">
        <f t="shared" si="167"/>
        <v>2.1188901492101548</v>
      </c>
      <c r="S181" s="18">
        <f t="shared" si="168"/>
        <v>1.0793004942532065</v>
      </c>
      <c r="T181" s="18" t="str">
        <f t="shared" si="157"/>
        <v>1+0.00268027816487791i</v>
      </c>
      <c r="U181" s="18">
        <f t="shared" si="169"/>
        <v>1.0000035919390695</v>
      </c>
      <c r="V181" s="18">
        <f t="shared" si="170"/>
        <v>2.6802717466301424E-3</v>
      </c>
      <c r="W181" s="32" t="str">
        <f t="shared" si="158"/>
        <v>1-0.0012037462290783i</v>
      </c>
      <c r="X181" s="18">
        <f t="shared" si="171"/>
        <v>1.0000007245022295</v>
      </c>
      <c r="Y181" s="18">
        <f t="shared" si="172"/>
        <v>-1.203745647667377E-3</v>
      </c>
      <c r="Z181" s="32" t="str">
        <f t="shared" si="159"/>
        <v>0.999999818029914+0.00065697890728377i</v>
      </c>
      <c r="AA181" s="18">
        <f t="shared" si="173"/>
        <v>1.0000000338405723</v>
      </c>
      <c r="AB181" s="18">
        <f t="shared" si="174"/>
        <v>6.569789323122463E-4</v>
      </c>
      <c r="AC181" s="68" t="str">
        <f t="shared" si="175"/>
        <v>4.71935737642395-8.79876407356131i</v>
      </c>
      <c r="AD181" s="66">
        <f t="shared" si="176"/>
        <v>19.986541369713255</v>
      </c>
      <c r="AE181" s="63">
        <f t="shared" si="177"/>
        <v>-61.79240655333151</v>
      </c>
      <c r="AF181" s="51" t="e">
        <f t="shared" si="178"/>
        <v>#NUM!</v>
      </c>
      <c r="AG181" s="51" t="str">
        <f t="shared" si="160"/>
        <v>1-1.14869064209053i</v>
      </c>
      <c r="AH181" s="51">
        <f t="shared" si="179"/>
        <v>1.5229872590492524</v>
      </c>
      <c r="AI181" s="51">
        <f t="shared" si="180"/>
        <v>-0.85448860053795284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-0.000133283554228113</v>
      </c>
      <c r="AT181" s="32" t="str">
        <f t="shared" si="164"/>
        <v>0.00016376499587404i</v>
      </c>
      <c r="AU181" s="32">
        <f t="shared" si="188"/>
        <v>1.6376499587404E-4</v>
      </c>
      <c r="AV181" s="32">
        <f t="shared" si="189"/>
        <v>1.5707963267948966</v>
      </c>
      <c r="AW181" s="32" t="str">
        <f t="shared" si="165"/>
        <v>1+0.0286330957924646i</v>
      </c>
      <c r="AX181" s="32">
        <f t="shared" si="190"/>
        <v>1.0004098431016462</v>
      </c>
      <c r="AY181" s="32">
        <f t="shared" si="191"/>
        <v>2.8625274651714903E-2</v>
      </c>
      <c r="AZ181" s="32" t="str">
        <f t="shared" si="166"/>
        <v>1+0.426702964126728i</v>
      </c>
      <c r="BA181" s="32">
        <f t="shared" si="192"/>
        <v>1.0872329187412124</v>
      </c>
      <c r="BB181" s="32">
        <f t="shared" si="193"/>
        <v>0.40331218867293117</v>
      </c>
      <c r="BC181" s="60" t="str">
        <f t="shared" si="194"/>
        <v>-0.323712060156233+0.823139715212727i</v>
      </c>
      <c r="BD181" s="51">
        <f t="shared" si="195"/>
        <v>-1.0659975207404977</v>
      </c>
      <c r="BE181" s="63">
        <f t="shared" si="196"/>
        <v>111.4679788121968</v>
      </c>
      <c r="BF181" s="60" t="str">
        <f t="shared" si="197"/>
        <v>5.71489925479952+6.73295653189787i</v>
      </c>
      <c r="BG181" s="66">
        <f t="shared" si="198"/>
        <v>18.920543848972756</v>
      </c>
      <c r="BH181" s="63">
        <f t="shared" si="199"/>
        <v>49.67557225886528</v>
      </c>
      <c r="BI181" s="60" t="e">
        <f t="shared" si="203"/>
        <v>#NUM!</v>
      </c>
      <c r="BJ181" s="66" t="e">
        <f t="shared" si="200"/>
        <v>#NUM!</v>
      </c>
      <c r="BK181" s="63" t="e">
        <f t="shared" si="204"/>
        <v>#NUM!</v>
      </c>
      <c r="BL181" s="51">
        <f t="shared" si="201"/>
        <v>18.920543848972756</v>
      </c>
      <c r="BM181" s="63">
        <f t="shared" si="202"/>
        <v>49.67557225886528</v>
      </c>
    </row>
    <row r="182" spans="14:65" x14ac:dyDescent="0.3">
      <c r="N182" s="11">
        <v>64</v>
      </c>
      <c r="O182" s="52">
        <f t="shared" si="154"/>
        <v>436.51583224016622</v>
      </c>
      <c r="P182" s="50" t="str">
        <f t="shared" si="155"/>
        <v>21.1560044893378</v>
      </c>
      <c r="Q182" s="18" t="str">
        <f t="shared" si="156"/>
        <v>1+1.91158566242733i</v>
      </c>
      <c r="R182" s="18">
        <f t="shared" si="167"/>
        <v>2.1573501674039228</v>
      </c>
      <c r="S182" s="18">
        <f t="shared" si="168"/>
        <v>1.0888196081108903</v>
      </c>
      <c r="T182" s="18" t="str">
        <f t="shared" si="157"/>
        <v>1+0.00274270986348268i</v>
      </c>
      <c r="U182" s="18">
        <f t="shared" si="169"/>
        <v>1.0000037612216242</v>
      </c>
      <c r="V182" s="18">
        <f t="shared" si="170"/>
        <v>2.7427029862076885E-3</v>
      </c>
      <c r="W182" s="32" t="str">
        <f t="shared" si="158"/>
        <v>1-0.00123178508070021i</v>
      </c>
      <c r="X182" s="18">
        <f t="shared" si="171"/>
        <v>1.0000007586469546</v>
      </c>
      <c r="Y182" s="18">
        <f t="shared" si="172"/>
        <v>-1.2317844577072073E-3</v>
      </c>
      <c r="Z182" s="32" t="str">
        <f t="shared" si="159"/>
        <v>0.999999809453928+0.000672281911899748i</v>
      </c>
      <c r="AA182" s="18">
        <f t="shared" si="173"/>
        <v>1.0000000354354301</v>
      </c>
      <c r="AB182" s="18">
        <f t="shared" si="174"/>
        <v>6.7228193871824327E-4</v>
      </c>
      <c r="AC182" s="68" t="str">
        <f t="shared" si="175"/>
        <v>4.55291802743304-8.68555054650554i</v>
      </c>
      <c r="AD182" s="66">
        <f t="shared" si="176"/>
        <v>19.830299106297936</v>
      </c>
      <c r="AE182" s="63">
        <f t="shared" si="177"/>
        <v>-62.336717858702528</v>
      </c>
      <c r="AF182" s="51" t="e">
        <f t="shared" si="178"/>
        <v>#NUM!</v>
      </c>
      <c r="AG182" s="51" t="str">
        <f t="shared" si="160"/>
        <v>1-1.17544708434972i</v>
      </c>
      <c r="AH182" s="51">
        <f t="shared" si="179"/>
        <v>1.5432679119667647</v>
      </c>
      <c r="AI182" s="51">
        <f t="shared" si="180"/>
        <v>-0.86587273849551682</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-0.000133283554228113</v>
      </c>
      <c r="AT182" s="32" t="str">
        <f t="shared" si="164"/>
        <v>0.000167579572658792i</v>
      </c>
      <c r="AU182" s="32">
        <f t="shared" si="188"/>
        <v>1.67579572658792E-4</v>
      </c>
      <c r="AV182" s="32">
        <f t="shared" si="189"/>
        <v>1.5707963267948966</v>
      </c>
      <c r="AW182" s="32" t="str">
        <f t="shared" si="165"/>
        <v>1+0.0293000462717325i</v>
      </c>
      <c r="AX182" s="32">
        <f t="shared" si="190"/>
        <v>1.0004291542690695</v>
      </c>
      <c r="AY182" s="32">
        <f t="shared" si="191"/>
        <v>2.9291665962579212E-2</v>
      </c>
      <c r="AZ182" s="32" t="str">
        <f t="shared" si="166"/>
        <v>1+0.436642152976306i</v>
      </c>
      <c r="BA182" s="32">
        <f t="shared" si="192"/>
        <v>1.0911720165747396</v>
      </c>
      <c r="BB182" s="32">
        <f t="shared" si="193"/>
        <v>0.41169018585494227</v>
      </c>
      <c r="BC182" s="60" t="str">
        <f t="shared" si="194"/>
        <v>-0.323699563124473+0.804829286934534i</v>
      </c>
      <c r="BD182" s="51">
        <f t="shared" si="195"/>
        <v>-1.2347526540137652</v>
      </c>
      <c r="BE182" s="63">
        <f t="shared" si="196"/>
        <v>111.90982128188185</v>
      </c>
      <c r="BF182" s="60" t="str">
        <f t="shared" si="197"/>
        <v>5.51660787655629+6.47583068688969i</v>
      </c>
      <c r="BG182" s="66">
        <f t="shared" si="198"/>
        <v>18.595546452284168</v>
      </c>
      <c r="BH182" s="63">
        <f t="shared" si="199"/>
        <v>49.573103423179361</v>
      </c>
      <c r="BI182" s="60" t="e">
        <f t="shared" si="203"/>
        <v>#NUM!</v>
      </c>
      <c r="BJ182" s="66" t="e">
        <f t="shared" si="200"/>
        <v>#NUM!</v>
      </c>
      <c r="BK182" s="63" t="e">
        <f t="shared" si="204"/>
        <v>#NUM!</v>
      </c>
      <c r="BL182" s="51">
        <f t="shared" si="201"/>
        <v>18.595546452284168</v>
      </c>
      <c r="BM182" s="63">
        <f t="shared" si="202"/>
        <v>49.573103423179361</v>
      </c>
    </row>
    <row r="183" spans="14:65" x14ac:dyDescent="0.3">
      <c r="N183" s="11">
        <v>65</v>
      </c>
      <c r="O183" s="52">
        <f t="shared" si="154"/>
        <v>446.68359215096331</v>
      </c>
      <c r="P183" s="50" t="str">
        <f t="shared" si="155"/>
        <v>21.1560044893378</v>
      </c>
      <c r="Q183" s="18" t="str">
        <f t="shared" si="156"/>
        <v>1+1.95611221250625i</v>
      </c>
      <c r="R183" s="18">
        <f t="shared" si="167"/>
        <v>2.1969012239780144</v>
      </c>
      <c r="S183" s="18">
        <f t="shared" si="168"/>
        <v>1.0982145535554382</v>
      </c>
      <c r="T183" s="18" t="str">
        <f t="shared" si="157"/>
        <v>1+0.00280659578316113i</v>
      </c>
      <c r="U183" s="18">
        <f t="shared" si="169"/>
        <v>1.0000039384821893</v>
      </c>
      <c r="V183" s="18">
        <f t="shared" si="170"/>
        <v>2.8065884140297767E-3</v>
      </c>
      <c r="W183" s="32" t="str">
        <f t="shared" si="158"/>
        <v>1-0.00126047704107651i</v>
      </c>
      <c r="X183" s="18">
        <f t="shared" si="171"/>
        <v>1.00000079440087</v>
      </c>
      <c r="Y183" s="18">
        <f t="shared" si="172"/>
        <v>-1.260476373527509E-3</v>
      </c>
      <c r="Z183" s="32" t="str">
        <f t="shared" si="159"/>
        <v>0.999999800473768+0.000687941369284119i</v>
      </c>
      <c r="AA183" s="18">
        <f t="shared" si="173"/>
        <v>1.0000000371054509</v>
      </c>
      <c r="AB183" s="18">
        <f t="shared" si="174"/>
        <v>6.8794139802065427E-4</v>
      </c>
      <c r="AC183" s="68" t="str">
        <f t="shared" si="175"/>
        <v>4.39079233987261-8.57072697361317i</v>
      </c>
      <c r="AD183" s="66">
        <f t="shared" si="176"/>
        <v>19.672503180660467</v>
      </c>
      <c r="AE183" s="63">
        <f t="shared" si="177"/>
        <v>-62.873889362654367</v>
      </c>
      <c r="AF183" s="51" t="e">
        <f t="shared" si="178"/>
        <v>#NUM!</v>
      </c>
      <c r="AG183" s="51" t="str">
        <f t="shared" si="160"/>
        <v>1-1.20282676421191i</v>
      </c>
      <c r="AH183" s="51">
        <f t="shared" si="179"/>
        <v>1.5642225623946528</v>
      </c>
      <c r="AI183" s="51">
        <f t="shared" si="180"/>
        <v>-0.87721495166660857</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-0.000133283554228113</v>
      </c>
      <c r="AT183" s="32" t="str">
        <f t="shared" si="164"/>
        <v>0.000171483002351145i</v>
      </c>
      <c r="AU183" s="32">
        <f t="shared" si="188"/>
        <v>1.7148300235114499E-4</v>
      </c>
      <c r="AV183" s="32">
        <f t="shared" si="189"/>
        <v>1.5707963267948966</v>
      </c>
      <c r="AW183" s="32" t="str">
        <f t="shared" si="165"/>
        <v>1+0.0299825320233657i</v>
      </c>
      <c r="AX183" s="32">
        <f t="shared" si="190"/>
        <v>1.000449375144256</v>
      </c>
      <c r="AY183" s="32">
        <f t="shared" si="191"/>
        <v>2.9973552578150549E-2</v>
      </c>
      <c r="AZ183" s="32" t="str">
        <f t="shared" si="166"/>
        <v>1+0.446812855275035i</v>
      </c>
      <c r="BA183" s="32">
        <f t="shared" si="192"/>
        <v>1.0952815745912232</v>
      </c>
      <c r="BB183" s="32">
        <f t="shared" si="193"/>
        <v>0.42020033522701949</v>
      </c>
      <c r="BC183" s="60" t="str">
        <f t="shared" si="194"/>
        <v>-0.3236864781599+0.786945555305791i</v>
      </c>
      <c r="BD183" s="51">
        <f t="shared" si="195"/>
        <v>-1.4022769741482359</v>
      </c>
      <c r="BE183" s="63">
        <f t="shared" si="196"/>
        <v>112.35834769874907</v>
      </c>
      <c r="BF183" s="60" t="str">
        <f t="shared" si="197"/>
        <v>5.32345538879951+6.22954294549237i</v>
      </c>
      <c r="BG183" s="66">
        <f t="shared" si="198"/>
        <v>18.270226206512238</v>
      </c>
      <c r="BH183" s="63">
        <f t="shared" si="199"/>
        <v>49.48445833609469</v>
      </c>
      <c r="BI183" s="60" t="e">
        <f t="shared" si="203"/>
        <v>#NUM!</v>
      </c>
      <c r="BJ183" s="66" t="e">
        <f t="shared" si="200"/>
        <v>#NUM!</v>
      </c>
      <c r="BK183" s="63" t="e">
        <f t="shared" si="204"/>
        <v>#NUM!</v>
      </c>
      <c r="BL183" s="51">
        <f t="shared" si="201"/>
        <v>18.270226206512238</v>
      </c>
      <c r="BM183" s="63">
        <f t="shared" si="202"/>
        <v>49.48445833609469</v>
      </c>
    </row>
    <row r="184" spans="14:65" x14ac:dyDescent="0.3">
      <c r="N184" s="11">
        <v>66</v>
      </c>
      <c r="O184" s="52">
        <f t="shared" ref="O184:O218" si="205">10^(2+(N184/100))</f>
        <v>457.0881896148756</v>
      </c>
      <c r="P184" s="50" t="str">
        <f t="shared" si="155"/>
        <v>21.1560044893378</v>
      </c>
      <c r="Q184" s="18" t="str">
        <f t="shared" si="156"/>
        <v>1+2.00167591917244i</v>
      </c>
      <c r="R184" s="18">
        <f t="shared" si="167"/>
        <v>2.237567090702496</v>
      </c>
      <c r="S184" s="18">
        <f t="shared" si="168"/>
        <v>1.1074836770701737</v>
      </c>
      <c r="T184" s="18" t="str">
        <f t="shared" si="157"/>
        <v>1+0.0028719697970735i</v>
      </c>
      <c r="U184" s="18">
        <f t="shared" si="169"/>
        <v>1.0000041240967534</v>
      </c>
      <c r="V184" s="18">
        <f t="shared" si="170"/>
        <v>2.8719619009087509E-3</v>
      </c>
      <c r="W184" s="32" t="str">
        <f t="shared" si="158"/>
        <v>1-0.00128983732306437i</v>
      </c>
      <c r="X184" s="18">
        <f t="shared" si="171"/>
        <v>1.0000008318398139</v>
      </c>
      <c r="Y184" s="18">
        <f t="shared" si="172"/>
        <v>-1.2898366077727607E-3</v>
      </c>
      <c r="Z184" s="32" t="str">
        <f t="shared" si="159"/>
        <v>0.999999791070387+0.000703965582288466i</v>
      </c>
      <c r="AA184" s="18">
        <f t="shared" si="173"/>
        <v>1.0000000388541785</v>
      </c>
      <c r="AB184" s="18">
        <f t="shared" si="174"/>
        <v>7.0396561308021764E-4</v>
      </c>
      <c r="AC184" s="68" t="str">
        <f t="shared" si="175"/>
        <v>4.23297999069544-8.45447567461671i</v>
      </c>
      <c r="AD184" s="66">
        <f t="shared" si="176"/>
        <v>19.5131943998549</v>
      </c>
      <c r="AE184" s="63">
        <f t="shared" si="177"/>
        <v>-63.403825732344544</v>
      </c>
      <c r="AF184" s="51" t="e">
        <f t="shared" si="178"/>
        <v>#NUM!</v>
      </c>
      <c r="AG184" s="51" t="str">
        <f t="shared" si="160"/>
        <v>1-1.23084419874579i</v>
      </c>
      <c r="AH184" s="51">
        <f t="shared" si="179"/>
        <v>1.5858680404075765</v>
      </c>
      <c r="AI184" s="51">
        <f t="shared" si="180"/>
        <v>-0.88850958162180027</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-0.000133283554228113</v>
      </c>
      <c r="AT184" s="32" t="str">
        <f t="shared" si="164"/>
        <v>0.000175477354601191i</v>
      </c>
      <c r="AU184" s="32">
        <f t="shared" si="188"/>
        <v>1.7547735460119099E-4</v>
      </c>
      <c r="AV184" s="32">
        <f t="shared" si="189"/>
        <v>1.5707963267948966</v>
      </c>
      <c r="AW184" s="32" t="str">
        <f t="shared" si="165"/>
        <v>1+0.0306809149103434i</v>
      </c>
      <c r="AX184" s="32">
        <f t="shared" si="190"/>
        <v>1.0004705485618934</v>
      </c>
      <c r="AY184" s="32">
        <f t="shared" si="191"/>
        <v>3.06712935058359E-2</v>
      </c>
      <c r="AZ184" s="32" t="str">
        <f t="shared" si="166"/>
        <v>1+0.457220463663898i</v>
      </c>
      <c r="BA184" s="32">
        <f t="shared" si="192"/>
        <v>1.0995683482135297</v>
      </c>
      <c r="BB184" s="32">
        <f t="shared" si="193"/>
        <v>0.42884221731669503</v>
      </c>
      <c r="BC184" s="60" t="str">
        <f t="shared" si="194"/>
        <v>-0.323672777653727+0.769479035672926i</v>
      </c>
      <c r="BD184" s="51">
        <f t="shared" si="195"/>
        <v>-1.5685318374563153</v>
      </c>
      <c r="BE184" s="63">
        <f t="shared" si="196"/>
        <v>112.81351345918732</v>
      </c>
      <c r="BF184" s="60" t="str">
        <f t="shared" si="197"/>
        <v>5.13544139788324+5.99367298647218i</v>
      </c>
      <c r="BG184" s="66">
        <f t="shared" si="198"/>
        <v>17.944662562398587</v>
      </c>
      <c r="BH184" s="63">
        <f t="shared" si="199"/>
        <v>49.409687726842769</v>
      </c>
      <c r="BI184" s="60" t="e">
        <f t="shared" si="203"/>
        <v>#NUM!</v>
      </c>
      <c r="BJ184" s="66" t="e">
        <f t="shared" si="200"/>
        <v>#NUM!</v>
      </c>
      <c r="BK184" s="63" t="e">
        <f t="shared" si="204"/>
        <v>#NUM!</v>
      </c>
      <c r="BL184" s="51">
        <f t="shared" si="201"/>
        <v>17.944662562398587</v>
      </c>
      <c r="BM184" s="63">
        <f t="shared" si="202"/>
        <v>49.409687726842769</v>
      </c>
    </row>
    <row r="185" spans="14:65" x14ac:dyDescent="0.3">
      <c r="N185" s="11">
        <v>67</v>
      </c>
      <c r="O185" s="52">
        <f t="shared" si="205"/>
        <v>467.7351412871983</v>
      </c>
      <c r="P185" s="50" t="str">
        <f t="shared" si="155"/>
        <v>21.1560044893378</v>
      </c>
      <c r="Q185" s="18" t="str">
        <f t="shared" si="156"/>
        <v>1+2.0483009409063i</v>
      </c>
      <c r="R185" s="18">
        <f t="shared" si="167"/>
        <v>2.2793720066100738</v>
      </c>
      <c r="S185" s="18">
        <f t="shared" si="168"/>
        <v>1.1166255213686362</v>
      </c>
      <c r="T185" s="18" t="str">
        <f t="shared" si="157"/>
        <v>1+0.00293886656738729i</v>
      </c>
      <c r="U185" s="18">
        <f t="shared" si="169"/>
        <v>1.0000043184590259</v>
      </c>
      <c r="V185" s="18">
        <f t="shared" si="170"/>
        <v>2.9388581064962974E-3</v>
      </c>
      <c r="W185" s="32" t="str">
        <f t="shared" si="158"/>
        <v>1-0.00131988149387394i</v>
      </c>
      <c r="X185" s="18">
        <f t="shared" si="171"/>
        <v>1.0000008710431996</v>
      </c>
      <c r="Y185" s="18">
        <f t="shared" si="172"/>
        <v>-1.3198807274252076E-3</v>
      </c>
      <c r="Z185" s="32" t="str">
        <f t="shared" si="159"/>
        <v>0.999999781223838+0.000720363047162627i</v>
      </c>
      <c r="AA185" s="18">
        <f t="shared" si="173"/>
        <v>1.0000000406853209</v>
      </c>
      <c r="AB185" s="18">
        <f t="shared" si="174"/>
        <v>7.2036308015658256E-4</v>
      </c>
      <c r="AC185" s="68" t="str">
        <f t="shared" si="175"/>
        <v>4.07947177417154-8.33697468996815i</v>
      </c>
      <c r="AD185" s="66">
        <f t="shared" si="176"/>
        <v>19.35241352566749</v>
      </c>
      <c r="AE185" s="63">
        <f t="shared" si="177"/>
        <v>-63.926442864280006</v>
      </c>
      <c r="AF185" s="51" t="e">
        <f t="shared" si="178"/>
        <v>#NUM!</v>
      </c>
      <c r="AG185" s="51" t="str">
        <f t="shared" si="160"/>
        <v>1-1.25951424316598i</v>
      </c>
      <c r="AH185" s="51">
        <f t="shared" si="179"/>
        <v>1.6082214178209329</v>
      </c>
      <c r="AI185" s="51">
        <f t="shared" si="180"/>
        <v>-0.89975109092794914</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-0.000133283554228113</v>
      </c>
      <c r="AT185" s="32" t="str">
        <f t="shared" si="164"/>
        <v>0.000179564747267364i</v>
      </c>
      <c r="AU185" s="32">
        <f t="shared" si="188"/>
        <v>1.7956474726736401E-4</v>
      </c>
      <c r="AV185" s="32">
        <f t="shared" si="189"/>
        <v>1.5707963267948966</v>
      </c>
      <c r="AW185" s="32" t="str">
        <f t="shared" si="165"/>
        <v>1+0.0313955652245165i</v>
      </c>
      <c r="AX185" s="32">
        <f t="shared" si="190"/>
        <v>1.0004927193716939</v>
      </c>
      <c r="AY185" s="32">
        <f t="shared" si="191"/>
        <v>3.1385255978037291E-2</v>
      </c>
      <c r="AZ185" s="32" t="str">
        <f t="shared" si="166"/>
        <v>1+0.467870496394624i</v>
      </c>
      <c r="BA185" s="32">
        <f t="shared" si="192"/>
        <v>1.1040393115267915</v>
      </c>
      <c r="BB185" s="32">
        <f t="shared" si="193"/>
        <v>0.43761524997393741</v>
      </c>
      <c r="BC185" s="60" t="str">
        <f t="shared" si="194"/>
        <v>-0.3236584327056+0.752420464418145i</v>
      </c>
      <c r="BD185" s="51">
        <f t="shared" si="195"/>
        <v>-1.7334781641966623</v>
      </c>
      <c r="BE185" s="63">
        <f t="shared" si="196"/>
        <v>113.27526416758991</v>
      </c>
      <c r="BF185" s="60" t="str">
        <f t="shared" si="197"/>
        <v>4.95255492737306+5.76781020856421i</v>
      </c>
      <c r="BG185" s="66">
        <f t="shared" si="198"/>
        <v>17.618935361470822</v>
      </c>
      <c r="BH185" s="63">
        <f t="shared" si="199"/>
        <v>49.348821303309904</v>
      </c>
      <c r="BI185" s="60" t="e">
        <f t="shared" si="203"/>
        <v>#NUM!</v>
      </c>
      <c r="BJ185" s="66" t="e">
        <f t="shared" si="200"/>
        <v>#NUM!</v>
      </c>
      <c r="BK185" s="63" t="e">
        <f t="shared" si="204"/>
        <v>#NUM!</v>
      </c>
      <c r="BL185" s="51">
        <f t="shared" si="201"/>
        <v>17.618935361470822</v>
      </c>
      <c r="BM185" s="63">
        <f t="shared" si="202"/>
        <v>49.348821303309904</v>
      </c>
    </row>
    <row r="186" spans="14:65" x14ac:dyDescent="0.3">
      <c r="N186" s="11">
        <v>68</v>
      </c>
      <c r="O186" s="52">
        <f t="shared" si="205"/>
        <v>478.63009232263886</v>
      </c>
      <c r="P186" s="50" t="str">
        <f t="shared" si="155"/>
        <v>21.1560044893378</v>
      </c>
      <c r="Q186" s="18" t="str">
        <f t="shared" si="156"/>
        <v>1+2.09601199891149i</v>
      </c>
      <c r="R186" s="18">
        <f t="shared" si="167"/>
        <v>2.3223406941232674</v>
      </c>
      <c r="S186" s="18">
        <f t="shared" si="168"/>
        <v>1.125638820507443</v>
      </c>
      <c r="T186" s="18" t="str">
        <f t="shared" si="157"/>
        <v>1+0.00300732156365561i</v>
      </c>
      <c r="U186" s="18">
        <f t="shared" si="169"/>
        <v>1.0000045219812694</v>
      </c>
      <c r="V186" s="18">
        <f t="shared" si="170"/>
        <v>3.0073124976497858E-3</v>
      </c>
      <c r="W186" s="32" t="str">
        <f t="shared" si="158"/>
        <v>1-0.00135062548332225i</v>
      </c>
      <c r="X186" s="18">
        <f t="shared" si="171"/>
        <v>1.0000009120941822</v>
      </c>
      <c r="Y186" s="18">
        <f t="shared" si="172"/>
        <v>-1.3506246620576775E-3</v>
      </c>
      <c r="Z186" s="32" t="str">
        <f t="shared" si="159"/>
        <v>0.999999770913235+0.000737142458059527i</v>
      </c>
      <c r="AA186" s="18">
        <f t="shared" si="173"/>
        <v>1.000000042602762</v>
      </c>
      <c r="AB186" s="18">
        <f t="shared" si="174"/>
        <v>7.3714249341318714E-4</v>
      </c>
      <c r="AC186" s="68" t="str">
        <f t="shared" si="175"/>
        <v>3.93025010500182-8.21839737127599i</v>
      </c>
      <c r="AD186" s="66">
        <f t="shared" si="176"/>
        <v>19.190201192983743</v>
      </c>
      <c r="AE186" s="63">
        <f t="shared" si="177"/>
        <v>-64.441667603982722</v>
      </c>
      <c r="AF186" s="51" t="e">
        <f t="shared" si="178"/>
        <v>#NUM!</v>
      </c>
      <c r="AG186" s="51" t="str">
        <f t="shared" si="160"/>
        <v>1-1.28885209870955i</v>
      </c>
      <c r="AH186" s="51">
        <f t="shared" si="179"/>
        <v>1.6313000129798354</v>
      </c>
      <c r="AI186" s="51">
        <f t="shared" si="180"/>
        <v>-0.91093407578141672</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-0.000133283554228113</v>
      </c>
      <c r="AT186" s="32" t="str">
        <f t="shared" si="164"/>
        <v>0.000183747347539358i</v>
      </c>
      <c r="AU186" s="32">
        <f t="shared" si="188"/>
        <v>1.83747347539358E-4</v>
      </c>
      <c r="AV186" s="32">
        <f t="shared" si="189"/>
        <v>1.5707963267948966</v>
      </c>
      <c r="AW186" s="32" t="str">
        <f t="shared" si="165"/>
        <v>1+0.0321268618829411i</v>
      </c>
      <c r="AX186" s="32">
        <f t="shared" si="190"/>
        <v>1.0005159345330017</v>
      </c>
      <c r="AY186" s="32">
        <f t="shared" si="191"/>
        <v>3.2115815633947054E-2</v>
      </c>
      <c r="AZ186" s="32" t="str">
        <f t="shared" si="166"/>
        <v>1+0.478768600255536i</v>
      </c>
      <c r="BA186" s="32">
        <f t="shared" si="192"/>
        <v>1.1087016607684166</v>
      </c>
      <c r="BB186" s="32">
        <f t="shared" si="193"/>
        <v>0.44651868194423572</v>
      </c>
      <c r="BC186" s="60" t="str">
        <f t="shared" si="194"/>
        <v>-0.323643413063647+0.735760794035233i</v>
      </c>
      <c r="BD186" s="51">
        <f t="shared" si="195"/>
        <v>-1.897076497194095</v>
      </c>
      <c r="BE186" s="63">
        <f t="shared" si="196"/>
        <v>113.74353525770364</v>
      </c>
      <c r="BF186" s="60" t="str">
        <f t="shared" si="197"/>
        <v>4.77477501741055+5.55155411316626i</v>
      </c>
      <c r="BG186" s="66">
        <f t="shared" si="198"/>
        <v>17.293124695789651</v>
      </c>
      <c r="BH186" s="63">
        <f t="shared" si="199"/>
        <v>49.30186765372089</v>
      </c>
      <c r="BI186" s="60" t="e">
        <f t="shared" si="203"/>
        <v>#NUM!</v>
      </c>
      <c r="BJ186" s="66" t="e">
        <f t="shared" si="200"/>
        <v>#NUM!</v>
      </c>
      <c r="BK186" s="63" t="e">
        <f t="shared" si="204"/>
        <v>#NUM!</v>
      </c>
      <c r="BL186" s="51">
        <f t="shared" si="201"/>
        <v>17.293124695789651</v>
      </c>
      <c r="BM186" s="63">
        <f t="shared" si="202"/>
        <v>49.30186765372089</v>
      </c>
    </row>
    <row r="187" spans="14:65" x14ac:dyDescent="0.3">
      <c r="N187" s="11">
        <v>69</v>
      </c>
      <c r="O187" s="52">
        <f t="shared" si="205"/>
        <v>489.77881936844625</v>
      </c>
      <c r="P187" s="50" t="str">
        <f t="shared" si="155"/>
        <v>21.1560044893378</v>
      </c>
      <c r="Q187" s="18" t="str">
        <f t="shared" si="156"/>
        <v>1+2.14483439022251i</v>
      </c>
      <c r="R187" s="18">
        <f t="shared" si="167"/>
        <v>2.3664983755500799</v>
      </c>
      <c r="S187" s="18">
        <f t="shared" si="168"/>
        <v>1.1345224945805688</v>
      </c>
      <c r="T187" s="18" t="str">
        <f t="shared" si="157"/>
        <v>1+0.00307737108162359i</v>
      </c>
      <c r="U187" s="18">
        <f t="shared" si="169"/>
        <v>1.0000047350951764</v>
      </c>
      <c r="V187" s="18">
        <f t="shared" si="170"/>
        <v>3.0773613672258125E-3</v>
      </c>
      <c r="W187" s="32" t="str">
        <f t="shared" si="158"/>
        <v>1-0.00138208559227947i</v>
      </c>
      <c r="X187" s="18">
        <f t="shared" si="171"/>
        <v>1.0000009550798361</v>
      </c>
      <c r="Y187" s="18">
        <f t="shared" si="172"/>
        <v>-1.3820847122786709E-3</v>
      </c>
      <c r="Z187" s="32" t="str">
        <f t="shared" si="159"/>
        <v>0.999999760116708+0.000754312711644925i</v>
      </c>
      <c r="AA187" s="18">
        <f t="shared" si="173"/>
        <v>1.0000000446105692</v>
      </c>
      <c r="AB187" s="18">
        <f t="shared" si="174"/>
        <v>7.5431274952705407E-4</v>
      </c>
      <c r="AC187" s="68" t="str">
        <f t="shared" si="175"/>
        <v>3.78528953325922-8.09891202182744i</v>
      </c>
      <c r="AD187" s="66">
        <f t="shared" si="176"/>
        <v>19.026597832973028</v>
      </c>
      <c r="AE187" s="63">
        <f t="shared" si="177"/>
        <v>-64.949437441665651</v>
      </c>
      <c r="AF187" s="51" t="e">
        <f t="shared" si="178"/>
        <v>#NUM!</v>
      </c>
      <c r="AG187" s="51" t="str">
        <f t="shared" si="160"/>
        <v>1-1.31887332069583i</v>
      </c>
      <c r="AH187" s="51">
        <f t="shared" si="179"/>
        <v>1.6551213961650202</v>
      </c>
      <c r="AI187" s="51">
        <f t="shared" si="180"/>
        <v>-0.92205327784189761</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-0.000133283554228113</v>
      </c>
      <c r="AT187" s="32" t="str">
        <f t="shared" si="164"/>
        <v>0.000188027373087201i</v>
      </c>
      <c r="AU187" s="32">
        <f t="shared" si="188"/>
        <v>1.8802737308720101E-4</v>
      </c>
      <c r="AV187" s="32">
        <f t="shared" si="189"/>
        <v>1.5707963267948966</v>
      </c>
      <c r="AW187" s="32" t="str">
        <f t="shared" si="165"/>
        <v>1+0.0328751926287853i</v>
      </c>
      <c r="AX187" s="32">
        <f t="shared" si="190"/>
        <v>1.0005402432138248</v>
      </c>
      <c r="AY187" s="32">
        <f t="shared" si="191"/>
        <v>3.2863356704881816E-2</v>
      </c>
      <c r="AZ187" s="32" t="str">
        <f t="shared" si="166"/>
        <v>1+0.489920553565557i</v>
      </c>
      <c r="BA187" s="32">
        <f t="shared" si="192"/>
        <v>1.1135628176290648</v>
      </c>
      <c r="BB187" s="32">
        <f t="shared" si="193"/>
        <v>0.45555158666145823</v>
      </c>
      <c r="BC187" s="60" t="str">
        <f t="shared" si="194"/>
        <v>-0.323627687061799+0.719491188319073i</v>
      </c>
      <c r="BD187" s="51">
        <f t="shared" si="195"/>
        <v>-2.0592870654419952</v>
      </c>
      <c r="BE187" s="63">
        <f t="shared" si="196"/>
        <v>114.21825162636708</v>
      </c>
      <c r="BF187" s="60" t="str">
        <f t="shared" si="197"/>
        <v>4.60207133816833+5.34451462975744i</v>
      </c>
      <c r="BG187" s="66">
        <f t="shared" si="198"/>
        <v>16.967310767531036</v>
      </c>
      <c r="BH187" s="63">
        <f t="shared" si="199"/>
        <v>49.268814184701455</v>
      </c>
      <c r="BI187" s="60" t="e">
        <f t="shared" si="203"/>
        <v>#NUM!</v>
      </c>
      <c r="BJ187" s="66" t="e">
        <f t="shared" si="200"/>
        <v>#NUM!</v>
      </c>
      <c r="BK187" s="63" t="e">
        <f t="shared" si="204"/>
        <v>#NUM!</v>
      </c>
      <c r="BL187" s="51">
        <f t="shared" si="201"/>
        <v>16.967310767531036</v>
      </c>
      <c r="BM187" s="63">
        <f t="shared" si="202"/>
        <v>49.268814184701455</v>
      </c>
    </row>
    <row r="188" spans="14:65" x14ac:dyDescent="0.3">
      <c r="N188" s="11">
        <v>70</v>
      </c>
      <c r="O188" s="52">
        <f t="shared" si="205"/>
        <v>501.18723362727269</v>
      </c>
      <c r="P188" s="50" t="str">
        <f t="shared" si="155"/>
        <v>21.1560044893378</v>
      </c>
      <c r="Q188" s="18" t="str">
        <f t="shared" si="156"/>
        <v>1+2.19479400111745i</v>
      </c>
      <c r="R188" s="18">
        <f t="shared" si="167"/>
        <v>2.411870789934889</v>
      </c>
      <c r="S188" s="18">
        <f t="shared" si="168"/>
        <v>1.1432756440489671</v>
      </c>
      <c r="T188" s="18" t="str">
        <f t="shared" si="157"/>
        <v>1+0.00314905226247286i</v>
      </c>
      <c r="U188" s="18">
        <f t="shared" si="169"/>
        <v>1.0000049582527837</v>
      </c>
      <c r="V188" s="18">
        <f t="shared" si="170"/>
        <v>3.1490418533108903E-3</v>
      </c>
      <c r="W188" s="32" t="str">
        <f t="shared" si="158"/>
        <v>1-0.00141427850131178i</v>
      </c>
      <c r="X188" s="18">
        <f t="shared" si="171"/>
        <v>1.0000010000913395</v>
      </c>
      <c r="Y188" s="18">
        <f t="shared" si="172"/>
        <v>-1.4142775583739862E-3</v>
      </c>
      <c r="Z188" s="32" t="str">
        <f t="shared" si="159"/>
        <v>0.999999748811357+0.000771882911814544i</v>
      </c>
      <c r="AA188" s="18">
        <f t="shared" si="173"/>
        <v>1.0000000467130024</v>
      </c>
      <c r="AB188" s="18">
        <f t="shared" si="174"/>
        <v>7.7188295240597602E-4</v>
      </c>
      <c r="AC188" s="68" t="str">
        <f t="shared" si="175"/>
        <v>3.64455726656631-7.97868158610696i</v>
      </c>
      <c r="AD188" s="66">
        <f t="shared" si="176"/>
        <v>18.861643601181747</v>
      </c>
      <c r="AE188" s="63">
        <f t="shared" si="177"/>
        <v>-65.449700187007934</v>
      </c>
      <c r="AF188" s="51" t="e">
        <f t="shared" si="178"/>
        <v>#NUM!</v>
      </c>
      <c r="AG188" s="51" t="str">
        <f t="shared" si="160"/>
        <v>1-1.34959382677409i</v>
      </c>
      <c r="AH188" s="51">
        <f t="shared" si="179"/>
        <v>1.6797033956227903</v>
      </c>
      <c r="AI188" s="51">
        <f t="shared" si="180"/>
        <v>-0.93310359521185116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-0.000133283554228113</v>
      </c>
      <c r="AT188" s="32" t="str">
        <f t="shared" si="164"/>
        <v>0.000192407093237092i</v>
      </c>
      <c r="AU188" s="32">
        <f t="shared" si="188"/>
        <v>1.92407093237092E-4</v>
      </c>
      <c r="AV188" s="32">
        <f t="shared" si="189"/>
        <v>1.5707963267948966</v>
      </c>
      <c r="AW188" s="32" t="str">
        <f t="shared" si="165"/>
        <v>1+0.0336409542369159i</v>
      </c>
      <c r="AX188" s="32">
        <f t="shared" si="190"/>
        <v>1.0005656968944969</v>
      </c>
      <c r="AY188" s="32">
        <f t="shared" si="191"/>
        <v>3.3628272203188522E-2</v>
      </c>
      <c r="AZ188" s="32" t="str">
        <f t="shared" si="166"/>
        <v>1+0.501332269237941i</v>
      </c>
      <c r="BA188" s="32">
        <f t="shared" si="192"/>
        <v>1.1186304323498728</v>
      </c>
      <c r="BB188" s="32">
        <f t="shared" si="193"/>
        <v>0.46471285630952552</v>
      </c>
      <c r="BC188" s="60" t="str">
        <f t="shared" si="194"/>
        <v>-0.323611221554234+0.703603017666253i</v>
      </c>
      <c r="BD188" s="51">
        <f t="shared" si="195"/>
        <v>-2.2200698527103855</v>
      </c>
      <c r="BE188" s="63">
        <f t="shared" si="196"/>
        <v>114.69932728244547</v>
      </c>
      <c r="BF188" s="60" t="str">
        <f t="shared" si="197"/>
        <v>4.43440481192514+5.14631238528587i</v>
      </c>
      <c r="BG188" s="66">
        <f t="shared" si="198"/>
        <v>16.641573748471355</v>
      </c>
      <c r="BH188" s="63">
        <f t="shared" si="199"/>
        <v>49.249627095437511</v>
      </c>
      <c r="BI188" s="60" t="e">
        <f t="shared" si="203"/>
        <v>#NUM!</v>
      </c>
      <c r="BJ188" s="66" t="e">
        <f t="shared" si="200"/>
        <v>#NUM!</v>
      </c>
      <c r="BK188" s="63" t="e">
        <f t="shared" si="204"/>
        <v>#NUM!</v>
      </c>
      <c r="BL188" s="51">
        <f t="shared" si="201"/>
        <v>16.641573748471355</v>
      </c>
      <c r="BM188" s="63">
        <f t="shared" si="202"/>
        <v>49.249627095437511</v>
      </c>
    </row>
    <row r="189" spans="14:65" x14ac:dyDescent="0.3">
      <c r="N189" s="11">
        <v>71</v>
      </c>
      <c r="O189" s="52">
        <f t="shared" si="205"/>
        <v>512.86138399136519</v>
      </c>
      <c r="P189" s="50" t="str">
        <f t="shared" si="155"/>
        <v>21.1560044893378</v>
      </c>
      <c r="Q189" s="18" t="str">
        <f t="shared" si="156"/>
        <v>1+2.24591732084332i</v>
      </c>
      <c r="R189" s="18">
        <f t="shared" si="167"/>
        <v>2.4584842102531459</v>
      </c>
      <c r="S189" s="18">
        <f t="shared" si="168"/>
        <v>1.1518975437581762</v>
      </c>
      <c r="T189" s="18" t="str">
        <f t="shared" si="157"/>
        <v>1+0.00322240311251433i</v>
      </c>
      <c r="U189" s="18">
        <f t="shared" si="169"/>
        <v>1.0000051919274318</v>
      </c>
      <c r="V189" s="18">
        <f t="shared" si="170"/>
        <v>3.2223919588994553E-3</v>
      </c>
      <c r="W189" s="32" t="str">
        <f t="shared" si="158"/>
        <v>1-0.00144722127952567i</v>
      </c>
      <c r="X189" s="18">
        <f t="shared" si="171"/>
        <v>1.0000010472241676</v>
      </c>
      <c r="Y189" s="18">
        <f t="shared" si="172"/>
        <v>-1.4472202691496775E-3</v>
      </c>
      <c r="Z189" s="32" t="str">
        <f t="shared" si="159"/>
        <v>0.999999736973201+0.000789862374521085i</v>
      </c>
      <c r="AA189" s="18">
        <f t="shared" si="173"/>
        <v>1.0000000489145195</v>
      </c>
      <c r="AB189" s="18">
        <f t="shared" si="174"/>
        <v>7.8986241801558743E-4</v>
      </c>
      <c r="AC189" s="68" t="str">
        <f t="shared" si="175"/>
        <v>3.50801369523686-7.85786338684786i</v>
      </c>
      <c r="AD189" s="66">
        <f t="shared" si="176"/>
        <v>18.69537831058285</v>
      </c>
      <c r="AE189" s="63">
        <f t="shared" si="177"/>
        <v>-65.942413626044086</v>
      </c>
      <c r="AF189" s="51" t="e">
        <f t="shared" si="178"/>
        <v>#NUM!</v>
      </c>
      <c r="AG189" s="51" t="str">
        <f t="shared" si="160"/>
        <v>1-1.38102990536329i</v>
      </c>
      <c r="AH189" s="51">
        <f t="shared" si="179"/>
        <v>1.7050641042224004</v>
      </c>
      <c r="AI189" s="51">
        <f t="shared" si="180"/>
        <v>-0.94408009251535818</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-0.000133283554228113</v>
      </c>
      <c r="AT189" s="32" t="str">
        <f t="shared" si="164"/>
        <v>0.000196888830174626i</v>
      </c>
      <c r="AU189" s="32">
        <f t="shared" si="188"/>
        <v>1.96888830174626E-4</v>
      </c>
      <c r="AV189" s="32">
        <f t="shared" si="189"/>
        <v>1.5707963267948966</v>
      </c>
      <c r="AW189" s="32" t="str">
        <f t="shared" si="165"/>
        <v>1+0.0344245527242736i</v>
      </c>
      <c r="AX189" s="32">
        <f t="shared" si="190"/>
        <v>1.0005923494761821</v>
      </c>
      <c r="AY189" s="32">
        <f t="shared" si="191"/>
        <v>3.4410964114752515E-2</v>
      </c>
      <c r="AZ189" s="32" t="str">
        <f t="shared" si="166"/>
        <v>1+0.513009797915393i</v>
      </c>
      <c r="BA189" s="32">
        <f t="shared" si="192"/>
        <v>1.1239123866019061</v>
      </c>
      <c r="BB189" s="32">
        <f t="shared" si="193"/>
        <v>0.4740011962040338</v>
      </c>
      <c r="BC189" s="60" t="str">
        <f t="shared" si="194"/>
        <v>-0.323593981846875+0.688087854484204i</v>
      </c>
      <c r="BD189" s="51">
        <f t="shared" si="195"/>
        <v>-2.3793846711463651</v>
      </c>
      <c r="BE189" s="63">
        <f t="shared" si="196"/>
        <v>115.18666501389205</v>
      </c>
      <c r="BF189" s="60" t="str">
        <f t="shared" si="197"/>
        <v>4.27172823867106+4.95657891921561i</v>
      </c>
      <c r="BG189" s="66">
        <f t="shared" si="198"/>
        <v>16.315993639436492</v>
      </c>
      <c r="BH189" s="63">
        <f t="shared" si="199"/>
        <v>49.24425138784801</v>
      </c>
      <c r="BI189" s="60" t="e">
        <f t="shared" si="203"/>
        <v>#NUM!</v>
      </c>
      <c r="BJ189" s="66" t="e">
        <f t="shared" si="200"/>
        <v>#NUM!</v>
      </c>
      <c r="BK189" s="63" t="e">
        <f t="shared" si="204"/>
        <v>#NUM!</v>
      </c>
      <c r="BL189" s="51">
        <f t="shared" si="201"/>
        <v>16.315993639436492</v>
      </c>
      <c r="BM189" s="63">
        <f t="shared" si="202"/>
        <v>49.24425138784801</v>
      </c>
    </row>
    <row r="190" spans="14:65" x14ac:dyDescent="0.3">
      <c r="N190" s="11">
        <v>72</v>
      </c>
      <c r="O190" s="52">
        <f t="shared" si="205"/>
        <v>524.80746024977248</v>
      </c>
      <c r="P190" s="50" t="str">
        <f t="shared" si="155"/>
        <v>21.1560044893378</v>
      </c>
      <c r="Q190" s="18" t="str">
        <f t="shared" si="156"/>
        <v>1+2.29823145566094i</v>
      </c>
      <c r="R190" s="18">
        <f t="shared" si="167"/>
        <v>2.5063654609392865</v>
      </c>
      <c r="S190" s="18">
        <f t="shared" si="168"/>
        <v>1.1603876366946639</v>
      </c>
      <c r="T190" s="18" t="str">
        <f t="shared" si="157"/>
        <v>1+0.00329746252333961i</v>
      </c>
      <c r="U190" s="18">
        <f t="shared" si="169"/>
        <v>1.0000054366147682</v>
      </c>
      <c r="V190" s="18">
        <f t="shared" si="170"/>
        <v>3.297450572029458E-3</v>
      </c>
      <c r="W190" s="32" t="str">
        <f t="shared" si="158"/>
        <v>1-0.0014809313936182i</v>
      </c>
      <c r="X190" s="18">
        <f t="shared" si="171"/>
        <v>1.0000010965782951</v>
      </c>
      <c r="Y190" s="18">
        <f t="shared" si="172"/>
        <v>-1.4809303109808826E-3</v>
      </c>
      <c r="Z190" s="32" t="str">
        <f t="shared" si="159"/>
        <v>0.99999972457713+0.000808260632713665i</v>
      </c>
      <c r="AA190" s="18">
        <f t="shared" si="173"/>
        <v>1.0000000512197917</v>
      </c>
      <c r="AB190" s="18">
        <f t="shared" si="174"/>
        <v>8.0826067931886298E-4</v>
      </c>
      <c r="AC190" s="68" t="str">
        <f t="shared" si="175"/>
        <v>3.37561291645066-7.73660890783346i</v>
      </c>
      <c r="AD190" s="66">
        <f t="shared" si="176"/>
        <v>18.527841369591119</v>
      </c>
      <c r="AE190" s="63">
        <f t="shared" si="177"/>
        <v>-66.427545163077397</v>
      </c>
      <c r="AF190" s="51" t="e">
        <f t="shared" si="178"/>
        <v>#NUM!</v>
      </c>
      <c r="AG190" s="51" t="str">
        <f t="shared" si="160"/>
        <v>1-1.41319822428841i</v>
      </c>
      <c r="AH190" s="51">
        <f t="shared" si="179"/>
        <v>1.7312218867412448</v>
      </c>
      <c r="AI190" s="51">
        <f t="shared" si="180"/>
        <v>-0.95497801003954752</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-0.000133283554228113</v>
      </c>
      <c r="AT190" s="32" t="str">
        <f t="shared" si="164"/>
        <v>0.00020147496017605i</v>
      </c>
      <c r="AU190" s="32">
        <f t="shared" si="188"/>
        <v>2.0147496017605001E-4</v>
      </c>
      <c r="AV190" s="32">
        <f t="shared" si="189"/>
        <v>1.5707963267948966</v>
      </c>
      <c r="AW190" s="32" t="str">
        <f t="shared" si="165"/>
        <v>1+0.0352264035651485i</v>
      </c>
      <c r="AX190" s="32">
        <f t="shared" si="190"/>
        <v>1.0006202573944496</v>
      </c>
      <c r="AY190" s="32">
        <f t="shared" si="191"/>
        <v>3.5211843595135441E-2</v>
      </c>
      <c r="AZ190" s="32" t="str">
        <f t="shared" si="166"/>
        <v>1+0.524959331178189i</v>
      </c>
      <c r="BA190" s="32">
        <f t="shared" si="192"/>
        <v>1.1294167961346473</v>
      </c>
      <c r="BB190" s="32">
        <f t="shared" si="193"/>
        <v>0.48341511954660954</v>
      </c>
      <c r="BC190" s="60" t="str">
        <f t="shared" si="194"/>
        <v>-0.323575931625741+0.672937468706355i</v>
      </c>
      <c r="BD190" s="51">
        <f t="shared" si="195"/>
        <v>-2.5371912398149981</v>
      </c>
      <c r="BE190" s="63">
        <f t="shared" si="196"/>
        <v>115.68015607595682</v>
      </c>
      <c r="BF190" s="60" t="str">
        <f t="shared" si="197"/>
        <v>4.11398692056008+4.774956846305i</v>
      </c>
      <c r="BG190" s="66">
        <f t="shared" si="198"/>
        <v>15.990650129776117</v>
      </c>
      <c r="BH190" s="63">
        <f t="shared" si="199"/>
        <v>49.252610912879405</v>
      </c>
      <c r="BI190" s="60" t="e">
        <f t="shared" si="203"/>
        <v>#NUM!</v>
      </c>
      <c r="BJ190" s="66" t="e">
        <f t="shared" si="200"/>
        <v>#NUM!</v>
      </c>
      <c r="BK190" s="63" t="e">
        <f t="shared" si="204"/>
        <v>#NUM!</v>
      </c>
      <c r="BL190" s="51">
        <f t="shared" si="201"/>
        <v>15.990650129776117</v>
      </c>
      <c r="BM190" s="63">
        <f t="shared" si="202"/>
        <v>49.252610912879405</v>
      </c>
    </row>
    <row r="191" spans="14:65" x14ac:dyDescent="0.3">
      <c r="N191" s="11">
        <v>73</v>
      </c>
      <c r="O191" s="52">
        <f t="shared" si="205"/>
        <v>537.03179637025301</v>
      </c>
      <c r="P191" s="50" t="str">
        <f t="shared" si="155"/>
        <v>21.1560044893378</v>
      </c>
      <c r="Q191" s="18" t="str">
        <f t="shared" si="156"/>
        <v>1+2.35176414321704i</v>
      </c>
      <c r="R191" s="18">
        <f t="shared" si="167"/>
        <v>2.5555419357391456</v>
      </c>
      <c r="S191" s="18">
        <f t="shared" si="168"/>
        <v>1.1687455275296739</v>
      </c>
      <c r="T191" s="18" t="str">
        <f t="shared" si="157"/>
        <v>1+0.00337427029244183i</v>
      </c>
      <c r="U191" s="18">
        <f t="shared" si="169"/>
        <v>1.000005692833799</v>
      </c>
      <c r="V191" s="18">
        <f t="shared" si="170"/>
        <v>3.3742574863862163E-3</v>
      </c>
      <c r="W191" s="32" t="str">
        <f t="shared" si="158"/>
        <v>1-0.00151542671713808i</v>
      </c>
      <c r="X191" s="18">
        <f t="shared" si="171"/>
        <v>1.0000011482584084</v>
      </c>
      <c r="Y191" s="18">
        <f t="shared" si="172"/>
        <v>-1.5154255570713657E-3</v>
      </c>
      <c r="Z191" s="32" t="str">
        <f t="shared" si="159"/>
        <v>0.99999971159685+0.0008270874413923i</v>
      </c>
      <c r="AA191" s="18">
        <f t="shared" si="173"/>
        <v>1.0000000536337081</v>
      </c>
      <c r="AB191" s="18">
        <f t="shared" si="174"/>
        <v>8.2708749133066875E-4</v>
      </c>
      <c r="AC191" s="68" t="str">
        <f t="shared" si="175"/>
        <v>3.24730325388506-7.61506362039567i</v>
      </c>
      <c r="AD191" s="66">
        <f t="shared" si="176"/>
        <v>18.359071725016999</v>
      </c>
      <c r="AE191" s="63">
        <f t="shared" si="177"/>
        <v>-66.905071450408713</v>
      </c>
      <c r="AF191" s="51" t="e">
        <f t="shared" si="178"/>
        <v>#NUM!</v>
      </c>
      <c r="AG191" s="51" t="str">
        <f t="shared" si="160"/>
        <v>1-1.44611583961793i</v>
      </c>
      <c r="AH191" s="51">
        <f t="shared" si="179"/>
        <v>1.7581953877751673</v>
      </c>
      <c r="AI191" s="51">
        <f t="shared" si="180"/>
        <v>-0.96579277191103841</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-0.000133283554228113</v>
      </c>
      <c r="AT191" s="32" t="str">
        <f t="shared" si="164"/>
        <v>0.000206167914868196i</v>
      </c>
      <c r="AU191" s="32">
        <f t="shared" si="188"/>
        <v>2.06167914868196E-4</v>
      </c>
      <c r="AV191" s="32">
        <f t="shared" si="189"/>
        <v>1.5707963267948966</v>
      </c>
      <c r="AW191" s="32" t="str">
        <f t="shared" si="165"/>
        <v>1+0.0360469319114702i</v>
      </c>
      <c r="AX191" s="32">
        <f t="shared" si="190"/>
        <v>1.00064947973815</v>
      </c>
      <c r="AY191" s="32">
        <f t="shared" si="191"/>
        <v>3.6031331169367277E-2</v>
      </c>
      <c r="AZ191" s="32" t="str">
        <f t="shared" si="166"/>
        <v>1+0.537187204827031i</v>
      </c>
      <c r="BA191" s="32">
        <f t="shared" si="192"/>
        <v>1.135152013181441</v>
      </c>
      <c r="BB191" s="32">
        <f t="shared" si="193"/>
        <v>0.49295294260617778</v>
      </c>
      <c r="BC191" s="60" t="str">
        <f t="shared" si="194"/>
        <v>-0.323557032882054+0.658143823410857i</v>
      </c>
      <c r="BD191" s="51">
        <f t="shared" si="195"/>
        <v>-2.6934492680859261</v>
      </c>
      <c r="BE191" s="63">
        <f t="shared" si="196"/>
        <v>116.17967990364573</v>
      </c>
      <c r="BF191" s="60" t="str">
        <f t="shared" si="197"/>
        <v>3.96111928094884+4.60109996950973i</v>
      </c>
      <c r="BG191" s="66">
        <f t="shared" si="198"/>
        <v>15.665622456931079</v>
      </c>
      <c r="BH191" s="63">
        <f t="shared" si="199"/>
        <v>49.27460845323705</v>
      </c>
      <c r="BI191" s="60" t="e">
        <f t="shared" si="203"/>
        <v>#NUM!</v>
      </c>
      <c r="BJ191" s="66" t="e">
        <f t="shared" si="200"/>
        <v>#NUM!</v>
      </c>
      <c r="BK191" s="63" t="e">
        <f t="shared" si="204"/>
        <v>#NUM!</v>
      </c>
      <c r="BL191" s="51">
        <f t="shared" si="201"/>
        <v>15.665622456931079</v>
      </c>
      <c r="BM191" s="63">
        <f t="shared" si="202"/>
        <v>49.27460845323705</v>
      </c>
    </row>
    <row r="192" spans="14:65" x14ac:dyDescent="0.3">
      <c r="N192" s="11">
        <v>74</v>
      </c>
      <c r="O192" s="52">
        <f t="shared" si="205"/>
        <v>549.54087385762534</v>
      </c>
      <c r="P192" s="50" t="str">
        <f t="shared" si="155"/>
        <v>21.1560044893378</v>
      </c>
      <c r="Q192" s="18" t="str">
        <f t="shared" si="156"/>
        <v>1+2.40654376725115i</v>
      </c>
      <c r="R192" s="18">
        <f t="shared" si="167"/>
        <v>2.6060416158794082</v>
      </c>
      <c r="S192" s="18">
        <f t="shared" si="168"/>
        <v>1.1769709759969227</v>
      </c>
      <c r="T192" s="18" t="str">
        <f t="shared" si="157"/>
        <v>1+0.00345286714431686i</v>
      </c>
      <c r="U192" s="18">
        <f t="shared" si="169"/>
        <v>1.0000059611279906</v>
      </c>
      <c r="V192" s="18">
        <f t="shared" si="170"/>
        <v>3.4528534223854644E-3</v>
      </c>
      <c r="W192" s="32" t="str">
        <f t="shared" si="158"/>
        <v>1-0.00155072553996242i</v>
      </c>
      <c r="X192" s="18">
        <f t="shared" si="171"/>
        <v>1.0000012023741274</v>
      </c>
      <c r="Y192" s="18">
        <f t="shared" si="172"/>
        <v>-1.5507242969286211E-3</v>
      </c>
      <c r="Z192" s="32" t="str">
        <f t="shared" si="159"/>
        <v>0.999999698004828+0.000846352782780161i</v>
      </c>
      <c r="AA192" s="18">
        <f t="shared" si="173"/>
        <v>1.0000000561613887</v>
      </c>
      <c r="AB192" s="18">
        <f t="shared" si="174"/>
        <v>8.4635283629008664E-4</v>
      </c>
      <c r="AC192" s="68" t="str">
        <f t="shared" si="175"/>
        <v>3.12302776958926-7.49336685134372i</v>
      </c>
      <c r="AD192" s="66">
        <f t="shared" si="176"/>
        <v>18.189107809902058</v>
      </c>
      <c r="AE192" s="63">
        <f t="shared" si="177"/>
        <v>-67.374978008537724</v>
      </c>
      <c r="AF192" s="51" t="e">
        <f t="shared" si="178"/>
        <v>#NUM!</v>
      </c>
      <c r="AG192" s="51" t="str">
        <f t="shared" si="160"/>
        <v>1-1.47980020470723i</v>
      </c>
      <c r="AH192" s="51">
        <f t="shared" si="179"/>
        <v>1.7860035402684846</v>
      </c>
      <c r="AI192" s="51">
        <f t="shared" si="180"/>
        <v>-0.97651999328911965</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-0.000133283554228113</v>
      </c>
      <c r="AT192" s="32" t="str">
        <f t="shared" si="164"/>
        <v>0.00021097018251776i</v>
      </c>
      <c r="AU192" s="32">
        <f t="shared" si="188"/>
        <v>2.1097018251775999E-4</v>
      </c>
      <c r="AV192" s="32">
        <f t="shared" si="189"/>
        <v>1.5707963267948966</v>
      </c>
      <c r="AW192" s="32" t="str">
        <f t="shared" si="165"/>
        <v>1+0.036886572818229i</v>
      </c>
      <c r="AX192" s="32">
        <f t="shared" si="190"/>
        <v>1.0006800783738401</v>
      </c>
      <c r="AY192" s="32">
        <f t="shared" si="191"/>
        <v>3.6869856935412781E-2</v>
      </c>
      <c r="AZ192" s="32" t="str">
        <f t="shared" si="166"/>
        <v>1+0.549699902242388i</v>
      </c>
      <c r="BA192" s="32">
        <f t="shared" si="192"/>
        <v>1.1411266286110804</v>
      </c>
      <c r="BB192" s="32">
        <f t="shared" si="193"/>
        <v>0.50261278038219481</v>
      </c>
      <c r="BC192" s="60" t="str">
        <f t="shared" si="194"/>
        <v>-0.323537245833983+0.643699070540477i</v>
      </c>
      <c r="BD192" s="51">
        <f t="shared" si="195"/>
        <v>-2.8481185437257004</v>
      </c>
      <c r="BE192" s="63">
        <f t="shared" si="196"/>
        <v>116.68510385158517</v>
      </c>
      <c r="BF192" s="60" t="str">
        <f t="shared" si="197"/>
        <v>3.81305747419282+4.43467334566412i</v>
      </c>
      <c r="BG192" s="66">
        <f t="shared" si="198"/>
        <v>15.340989266176363</v>
      </c>
      <c r="BH192" s="63">
        <f t="shared" si="199"/>
        <v>49.310125843047437</v>
      </c>
      <c r="BI192" s="60" t="e">
        <f t="shared" si="203"/>
        <v>#NUM!</v>
      </c>
      <c r="BJ192" s="66" t="e">
        <f t="shared" si="200"/>
        <v>#NUM!</v>
      </c>
      <c r="BK192" s="63" t="e">
        <f t="shared" si="204"/>
        <v>#NUM!</v>
      </c>
      <c r="BL192" s="51">
        <f t="shared" si="201"/>
        <v>15.340989266176363</v>
      </c>
      <c r="BM192" s="63">
        <f t="shared" si="202"/>
        <v>49.310125843047437</v>
      </c>
    </row>
    <row r="193" spans="14:65" x14ac:dyDescent="0.3">
      <c r="N193" s="11">
        <v>75</v>
      </c>
      <c r="O193" s="52">
        <f t="shared" si="205"/>
        <v>562.34132519034927</v>
      </c>
      <c r="P193" s="50" t="str">
        <f t="shared" si="155"/>
        <v>21.1560044893378</v>
      </c>
      <c r="Q193" s="18" t="str">
        <f t="shared" si="156"/>
        <v>1+2.46259937264503i</v>
      </c>
      <c r="R193" s="18">
        <f t="shared" si="167"/>
        <v>2.657893088548088</v>
      </c>
      <c r="S193" s="18">
        <f t="shared" si="168"/>
        <v>1.1850638901479427</v>
      </c>
      <c r="T193" s="18" t="str">
        <f t="shared" si="157"/>
        <v>1+0.0035332947520559i</v>
      </c>
      <c r="U193" s="18">
        <f t="shared" si="169"/>
        <v>1.0000062420664209</v>
      </c>
      <c r="V193" s="18">
        <f t="shared" si="170"/>
        <v>3.533280048746461E-3</v>
      </c>
      <c r="W193" s="32" t="str">
        <f t="shared" si="158"/>
        <v>1-0.00158684657799434i</v>
      </c>
      <c r="X193" s="18">
        <f t="shared" si="171"/>
        <v>1.0000012590402385</v>
      </c>
      <c r="Y193" s="18">
        <f t="shared" si="172"/>
        <v>-1.5868452460597179E-3</v>
      </c>
      <c r="Z193" s="32" t="str">
        <f t="shared" si="159"/>
        <v>0.999999683772234+0.000866066871616253i</v>
      </c>
      <c r="AA193" s="18">
        <f t="shared" si="173"/>
        <v>1.0000000588081954</v>
      </c>
      <c r="AB193" s="18">
        <f t="shared" si="174"/>
        <v>8.6606692895317033E-4</v>
      </c>
      <c r="AC193" s="68" t="str">
        <f t="shared" si="175"/>
        <v>3.00272476524902-7.37165168988408i</v>
      </c>
      <c r="AD193" s="66">
        <f t="shared" si="176"/>
        <v>18.017987496147185</v>
      </c>
      <c r="AE193" s="63">
        <f t="shared" si="177"/>
        <v>-67.837258839345694</v>
      </c>
      <c r="AF193" s="51" t="e">
        <f t="shared" si="178"/>
        <v>#NUM!</v>
      </c>
      <c r="AG193" s="51" t="str">
        <f t="shared" si="160"/>
        <v>1-1.51426917945253i</v>
      </c>
      <c r="AH193" s="51">
        <f t="shared" si="179"/>
        <v>1.8146655746555171</v>
      </c>
      <c r="AI193" s="51">
        <f t="shared" si="180"/>
        <v>-0.9871554865663571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-0.000133283554228113</v>
      </c>
      <c r="AT193" s="32" t="str">
        <f t="shared" si="164"/>
        <v>0.000215884309350615i</v>
      </c>
      <c r="AU193" s="32">
        <f t="shared" si="188"/>
        <v>2.1588430935061501E-4</v>
      </c>
      <c r="AV193" s="32">
        <f t="shared" si="189"/>
        <v>1.5707963267948966</v>
      </c>
      <c r="AW193" s="32" t="str">
        <f t="shared" si="165"/>
        <v>1+0.0377457714741475i</v>
      </c>
      <c r="AX193" s="32">
        <f t="shared" si="190"/>
        <v>1.0007121180760121</v>
      </c>
      <c r="AY193" s="32">
        <f t="shared" si="191"/>
        <v>3.7727860771328524E-2</v>
      </c>
      <c r="AZ193" s="32" t="str">
        <f t="shared" si="166"/>
        <v>1+0.562504057822051i</v>
      </c>
      <c r="BA193" s="32">
        <f t="shared" si="192"/>
        <v>1.1473494738161836</v>
      </c>
      <c r="BB193" s="32">
        <f t="shared" si="193"/>
        <v>0.51239254280522994</v>
      </c>
      <c r="BC193" s="60" t="str">
        <f t="shared" si="194"/>
        <v>-0.323516528844819+0.629595546721299i</v>
      </c>
      <c r="BD193" s="51">
        <f t="shared" si="195"/>
        <v>-3.0011590255088292</v>
      </c>
      <c r="BE193" s="63">
        <f t="shared" si="196"/>
        <v>117.19628296446177</v>
      </c>
      <c r="BF193" s="60" t="str">
        <f t="shared" si="197"/>
        <v>3.66972798280182+4.27535330679488i</v>
      </c>
      <c r="BG193" s="66">
        <f t="shared" si="198"/>
        <v>15.016828470638355</v>
      </c>
      <c r="BH193" s="63">
        <f t="shared" si="199"/>
        <v>49.359024125116051</v>
      </c>
      <c r="BI193" s="60" t="e">
        <f t="shared" si="203"/>
        <v>#NUM!</v>
      </c>
      <c r="BJ193" s="66" t="e">
        <f t="shared" si="200"/>
        <v>#NUM!</v>
      </c>
      <c r="BK193" s="63" t="e">
        <f t="shared" si="204"/>
        <v>#NUM!</v>
      </c>
      <c r="BL193" s="51">
        <f t="shared" si="201"/>
        <v>15.016828470638355</v>
      </c>
      <c r="BM193" s="63">
        <f t="shared" si="202"/>
        <v>49.359024125116051</v>
      </c>
    </row>
    <row r="194" spans="14:65" x14ac:dyDescent="0.3">
      <c r="N194" s="11">
        <v>76</v>
      </c>
      <c r="O194" s="52">
        <f t="shared" si="205"/>
        <v>575.43993733715706</v>
      </c>
      <c r="P194" s="50" t="str">
        <f t="shared" si="155"/>
        <v>21.1560044893378</v>
      </c>
      <c r="Q194" s="18" t="str">
        <f t="shared" si="156"/>
        <v>1+2.51996068082264i</v>
      </c>
      <c r="R194" s="18">
        <f t="shared" si="167"/>
        <v>2.7111255656815496</v>
      </c>
      <c r="S194" s="18">
        <f t="shared" si="168"/>
        <v>1.1930243195261414</v>
      </c>
      <c r="T194" s="18" t="str">
        <f t="shared" si="157"/>
        <v>1+0.00361559575944117i</v>
      </c>
      <c r="U194" s="18">
        <f t="shared" si="169"/>
        <v>1.0000065362449866</v>
      </c>
      <c r="V194" s="18">
        <f t="shared" si="170"/>
        <v>3.6155800045668172E-3</v>
      </c>
      <c r="W194" s="32" t="str">
        <f t="shared" si="158"/>
        <v>1-0.0016238089830863i</v>
      </c>
      <c r="X194" s="18">
        <f t="shared" si="171"/>
        <v>1.0000013183769378</v>
      </c>
      <c r="Y194" s="18">
        <f t="shared" si="172"/>
        <v>-1.6238075558927408E-3</v>
      </c>
      <c r="Z194" s="32" t="str">
        <f t="shared" si="159"/>
        <v>0.999999668868878+0.000886240160571428i</v>
      </c>
      <c r="AA194" s="18">
        <f t="shared" si="173"/>
        <v>1.0000000615797422</v>
      </c>
      <c r="AB194" s="18">
        <f t="shared" si="174"/>
        <v>8.862402220090412E-4</v>
      </c>
      <c r="AC194" s="68" t="str">
        <f t="shared" si="175"/>
        <v>2.88632827034922-7.25004493097183i</v>
      </c>
      <c r="AD194" s="66">
        <f t="shared" si="176"/>
        <v>17.845748051822746</v>
      </c>
      <c r="AE194" s="63">
        <f t="shared" si="177"/>
        <v>-68.291916034611233</v>
      </c>
      <c r="AF194" s="51" t="e">
        <f t="shared" si="178"/>
        <v>#NUM!</v>
      </c>
      <c r="AG194" s="51" t="str">
        <f t="shared" si="160"/>
        <v>1-1.5495410397605i</v>
      </c>
      <c r="AH194" s="51">
        <f t="shared" si="179"/>
        <v>1.8442010286034576</v>
      </c>
      <c r="AI194" s="51">
        <f t="shared" si="180"/>
        <v>-0.99769526657618757</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-0.000133283554228113</v>
      </c>
      <c r="AT194" s="32" t="str">
        <f t="shared" si="164"/>
        <v>0.000220912900901855i</v>
      </c>
      <c r="AU194" s="32">
        <f t="shared" si="188"/>
        <v>2.2091290090185499E-4</v>
      </c>
      <c r="AV194" s="32">
        <f t="shared" si="189"/>
        <v>1.5707963267948966</v>
      </c>
      <c r="AW194" s="32" t="str">
        <f t="shared" si="165"/>
        <v>1+0.0386249834377259i</v>
      </c>
      <c r="AX194" s="32">
        <f t="shared" si="190"/>
        <v>1.0007456666633958</v>
      </c>
      <c r="AY194" s="32">
        <f t="shared" si="191"/>
        <v>3.8605792546123424E-2</v>
      </c>
      <c r="AZ194" s="32" t="str">
        <f t="shared" si="166"/>
        <v>1+0.575606460498793i</v>
      </c>
      <c r="BA194" s="32">
        <f t="shared" si="192"/>
        <v>1.1538296223307618</v>
      </c>
      <c r="BB194" s="32">
        <f t="shared" si="193"/>
        <v>0.52228993153020664</v>
      </c>
      <c r="BC194" s="60" t="str">
        <f t="shared" si="194"/>
        <v>-0.32349483833748+0.615825769177916i</v>
      </c>
      <c r="BD194" s="51">
        <f t="shared" si="195"/>
        <v>-3.1525309401100636</v>
      </c>
      <c r="BE194" s="63">
        <f t="shared" si="196"/>
        <v>117.71305978120712</v>
      </c>
      <c r="BF194" s="60" t="str">
        <f t="shared" si="197"/>
        <v>3.53105219898466+4.12282744007197i</v>
      </c>
      <c r="BG194" s="66">
        <f t="shared" si="198"/>
        <v>14.693217111712682</v>
      </c>
      <c r="BH194" s="63">
        <f t="shared" si="199"/>
        <v>49.421143746595874</v>
      </c>
      <c r="BI194" s="60" t="e">
        <f t="shared" si="203"/>
        <v>#NUM!</v>
      </c>
      <c r="BJ194" s="66" t="e">
        <f t="shared" si="200"/>
        <v>#NUM!</v>
      </c>
      <c r="BK194" s="63" t="e">
        <f t="shared" si="204"/>
        <v>#NUM!</v>
      </c>
      <c r="BL194" s="51">
        <f t="shared" si="201"/>
        <v>14.693217111712682</v>
      </c>
      <c r="BM194" s="63">
        <f t="shared" si="202"/>
        <v>49.421143746595874</v>
      </c>
    </row>
    <row r="195" spans="14:65" x14ac:dyDescent="0.3">
      <c r="N195" s="11">
        <v>77</v>
      </c>
      <c r="O195" s="52">
        <f t="shared" si="205"/>
        <v>588.84365535558959</v>
      </c>
      <c r="P195" s="50" t="str">
        <f t="shared" si="155"/>
        <v>21.1560044893378</v>
      </c>
      <c r="Q195" s="18" t="str">
        <f t="shared" si="156"/>
        <v>1+2.57865810550884i</v>
      </c>
      <c r="R195" s="18">
        <f t="shared" si="167"/>
        <v>2.7657689030550685</v>
      </c>
      <c r="S195" s="18">
        <f t="shared" si="168"/>
        <v>1.2008524482978193</v>
      </c>
      <c r="T195" s="18" t="str">
        <f t="shared" si="157"/>
        <v>1+0.00369981380355616i</v>
      </c>
      <c r="U195" s="18">
        <f t="shared" si="169"/>
        <v>1.0000068442876684</v>
      </c>
      <c r="V195" s="18">
        <f t="shared" si="170"/>
        <v>3.6997969219103796E-3</v>
      </c>
      <c r="W195" s="32" t="str">
        <f t="shared" si="158"/>
        <v>1-0.00166163235319475i</v>
      </c>
      <c r="X195" s="18">
        <f t="shared" si="171"/>
        <v>1.0000013805100858</v>
      </c>
      <c r="Y195" s="18">
        <f t="shared" si="172"/>
        <v>-1.6616308239294131E-3</v>
      </c>
      <c r="Z195" s="32" t="str">
        <f t="shared" si="159"/>
        <v>0.99999965326315+0.000906883345790513i</v>
      </c>
      <c r="AA195" s="18">
        <f t="shared" si="173"/>
        <v>1.0000000644819094</v>
      </c>
      <c r="AB195" s="18">
        <f t="shared" si="174"/>
        <v>9.0688341162209951E-4</v>
      </c>
      <c r="AC195" s="68" t="str">
        <f t="shared" si="175"/>
        <v>2.7737685150895-7.12866705244999i</v>
      </c>
      <c r="AD195" s="66">
        <f t="shared" si="176"/>
        <v>17.672426103025277</v>
      </c>
      <c r="AE195" s="63">
        <f t="shared" si="177"/>
        <v>-68.738959382052371</v>
      </c>
      <c r="AF195" s="51" t="e">
        <f t="shared" si="178"/>
        <v>#NUM!</v>
      </c>
      <c r="AG195" s="51" t="str">
        <f t="shared" si="160"/>
        <v>1-1.58563448723836i</v>
      </c>
      <c r="AH195" s="51">
        <f t="shared" si="179"/>
        <v>1.8746297573440089</v>
      </c>
      <c r="AI195" s="51">
        <f t="shared" si="180"/>
        <v>-1.0081355548152289</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-0.000133283554228113</v>
      </c>
      <c r="AT195" s="32" t="str">
        <f t="shared" si="164"/>
        <v>0.000226058623397281i</v>
      </c>
      <c r="AU195" s="32">
        <f t="shared" si="188"/>
        <v>2.2605862339728099E-4</v>
      </c>
      <c r="AV195" s="32">
        <f t="shared" si="189"/>
        <v>1.5707963267948966</v>
      </c>
      <c r="AW195" s="32" t="str">
        <f t="shared" si="165"/>
        <v>1+0.0395246748787851i</v>
      </c>
      <c r="AX195" s="32">
        <f t="shared" si="190"/>
        <v>1.0007807951416103</v>
      </c>
      <c r="AY195" s="32">
        <f t="shared" si="191"/>
        <v>3.9504112334329156E-2</v>
      </c>
      <c r="AZ195" s="32" t="str">
        <f t="shared" si="166"/>
        <v>1+0.589014057339944i</v>
      </c>
      <c r="BA195" s="32">
        <f t="shared" si="192"/>
        <v>1.1605763911712417</v>
      </c>
      <c r="BB195" s="32">
        <f t="shared" si="193"/>
        <v>0.53230243737673466</v>
      </c>
      <c r="BC195" s="60" t="str">
        <f t="shared" si="194"/>
        <v>-0.323472128705172+0.602382431742869i</v>
      </c>
      <c r="BD195" s="51">
        <f t="shared" si="195"/>
        <v>-3.3021948829890695</v>
      </c>
      <c r="BE195" s="63">
        <f t="shared" si="196"/>
        <v>118.23526417604586</v>
      </c>
      <c r="BF195" s="60" t="str">
        <f t="shared" si="197"/>
        <v>3.39694698802871+3.97679452949784i</v>
      </c>
      <c r="BG195" s="66">
        <f t="shared" si="198"/>
        <v>14.370231220036207</v>
      </c>
      <c r="BH195" s="63">
        <f t="shared" si="199"/>
        <v>49.496304793993495</v>
      </c>
      <c r="BI195" s="60" t="e">
        <f t="shared" si="203"/>
        <v>#NUM!</v>
      </c>
      <c r="BJ195" s="66" t="e">
        <f t="shared" si="200"/>
        <v>#NUM!</v>
      </c>
      <c r="BK195" s="63" t="e">
        <f t="shared" si="204"/>
        <v>#NUM!</v>
      </c>
      <c r="BL195" s="51">
        <f t="shared" si="201"/>
        <v>14.370231220036207</v>
      </c>
      <c r="BM195" s="63">
        <f t="shared" si="202"/>
        <v>49.496304793993495</v>
      </c>
    </row>
    <row r="196" spans="14:65" x14ac:dyDescent="0.3">
      <c r="N196" s="11">
        <v>78</v>
      </c>
      <c r="O196" s="52">
        <f t="shared" si="205"/>
        <v>602.55958607435832</v>
      </c>
      <c r="P196" s="50" t="str">
        <f t="shared" si="155"/>
        <v>21.1560044893378</v>
      </c>
      <c r="Q196" s="18" t="str">
        <f t="shared" si="156"/>
        <v>1+2.63872276885516i</v>
      </c>
      <c r="R196" s="18">
        <f t="shared" si="167"/>
        <v>2.8218536196753088</v>
      </c>
      <c r="S196" s="18">
        <f t="shared" si="168"/>
        <v>1.2085485883754727</v>
      </c>
      <c r="T196" s="18" t="str">
        <f t="shared" si="157"/>
        <v>1+0.00378599353792262i</v>
      </c>
      <c r="U196" s="18">
        <f t="shared" si="169"/>
        <v>1.0000071668478527</v>
      </c>
      <c r="V196" s="18">
        <f t="shared" si="170"/>
        <v>3.7859754489202638E-3</v>
      </c>
      <c r="W196" s="32" t="str">
        <f t="shared" si="158"/>
        <v>1-0.00170033674277117i</v>
      </c>
      <c r="X196" s="18">
        <f t="shared" si="171"/>
        <v>1.0000014455714745</v>
      </c>
      <c r="Y196" s="18">
        <f t="shared" si="172"/>
        <v>-1.7003351041339665E-3</v>
      </c>
      <c r="Z196" s="32" t="str">
        <f t="shared" si="159"/>
        <v>0.999999636921945+0.000928007372563555i</v>
      </c>
      <c r="AA196" s="18">
        <f t="shared" si="173"/>
        <v>1.0000000675208505</v>
      </c>
      <c r="AB196" s="18">
        <f t="shared" si="174"/>
        <v>9.2800744310337008E-4</v>
      </c>
      <c r="AC196" s="68" t="str">
        <f t="shared" si="175"/>
        <v>2.66497238624628-7.00763222329108i</v>
      </c>
      <c r="AD196" s="66">
        <f t="shared" si="176"/>
        <v>17.498057600128508</v>
      </c>
      <c r="AE196" s="63">
        <f t="shared" si="177"/>
        <v>-69.17840597091606</v>
      </c>
      <c r="AF196" s="51" t="e">
        <f t="shared" si="178"/>
        <v>#NUM!</v>
      </c>
      <c r="AG196" s="51" t="str">
        <f t="shared" si="160"/>
        <v>1-1.6225686591097i</v>
      </c>
      <c r="AH196" s="51">
        <f t="shared" si="179"/>
        <v>1.9059719445797332</v>
      </c>
      <c r="AI196" s="51">
        <f t="shared" si="180"/>
        <v>-1.0184727826959292</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-0.000133283554228113</v>
      </c>
      <c r="AT196" s="32" t="str">
        <f t="shared" si="164"/>
        <v>0.000231324205167072i</v>
      </c>
      <c r="AU196" s="32">
        <f t="shared" si="188"/>
        <v>2.3132420516707201E-4</v>
      </c>
      <c r="AV196" s="32">
        <f t="shared" si="189"/>
        <v>1.5707963267948966</v>
      </c>
      <c r="AW196" s="32" t="str">
        <f t="shared" si="165"/>
        <v>1+0.040445322825636i</v>
      </c>
      <c r="AX196" s="32">
        <f t="shared" si="190"/>
        <v>1.0008175778524626</v>
      </c>
      <c r="AY196" s="32">
        <f t="shared" si="191"/>
        <v>4.0423290634282127E-2</v>
      </c>
      <c r="AZ196" s="32" t="str">
        <f t="shared" si="166"/>
        <v>1+0.602733957230819i</v>
      </c>
      <c r="BA196" s="32">
        <f t="shared" si="192"/>
        <v>1.1675993418973492</v>
      </c>
      <c r="BB196" s="32">
        <f t="shared" si="193"/>
        <v>0.54242733846959579</v>
      </c>
      <c r="BC196" s="60" t="str">
        <f t="shared" si="194"/>
        <v>-0.323448352218034+0.589258400958079i</v>
      </c>
      <c r="BD196" s="51">
        <f t="shared" si="195"/>
        <v>-3.4501119229266712</v>
      </c>
      <c r="BE196" s="63">
        <f t="shared" si="196"/>
        <v>118.76271323944697</v>
      </c>
      <c r="BF196" s="60" t="str">
        <f t="shared" si="197"/>
        <v>3.26732523136089+3.83696446249042i</v>
      </c>
      <c r="BG196" s="66">
        <f t="shared" si="198"/>
        <v>14.047945677201842</v>
      </c>
      <c r="BH196" s="63">
        <f t="shared" si="199"/>
        <v>49.584307268530935</v>
      </c>
      <c r="BI196" s="60" t="e">
        <f t="shared" si="203"/>
        <v>#NUM!</v>
      </c>
      <c r="BJ196" s="66" t="e">
        <f t="shared" si="200"/>
        <v>#NUM!</v>
      </c>
      <c r="BK196" s="63" t="e">
        <f t="shared" si="204"/>
        <v>#NUM!</v>
      </c>
      <c r="BL196" s="51">
        <f t="shared" si="201"/>
        <v>14.047945677201842</v>
      </c>
      <c r="BM196" s="63">
        <f t="shared" si="202"/>
        <v>49.584307268530935</v>
      </c>
    </row>
    <row r="197" spans="14:65" x14ac:dyDescent="0.3">
      <c r="N197" s="11">
        <v>79</v>
      </c>
      <c r="O197" s="52">
        <f t="shared" si="205"/>
        <v>616.59500186148273</v>
      </c>
      <c r="P197" s="50" t="str">
        <f t="shared" si="155"/>
        <v>21.1560044893378</v>
      </c>
      <c r="Q197" s="18" t="str">
        <f t="shared" si="156"/>
        <v>1+2.70018651794116i</v>
      </c>
      <c r="R197" s="18">
        <f t="shared" si="167"/>
        <v>2.8794109174744769</v>
      </c>
      <c r="S197" s="18">
        <f t="shared" si="168"/>
        <v>1.2161131725657754</v>
      </c>
      <c r="T197" s="18" t="str">
        <f t="shared" si="157"/>
        <v>1+0.00387418065617644i</v>
      </c>
      <c r="U197" s="18">
        <f t="shared" si="169"/>
        <v>1.0000075046097188</v>
      </c>
      <c r="V197" s="18">
        <f t="shared" si="170"/>
        <v>3.8741612734690587E-3</v>
      </c>
      <c r="W197" s="32" t="str">
        <f t="shared" si="158"/>
        <v>1-0.00173994267339522i</v>
      </c>
      <c r="X197" s="18">
        <f t="shared" si="171"/>
        <v>1.0000015136991076</v>
      </c>
      <c r="Y197" s="18">
        <f t="shared" si="172"/>
        <v>-1.7399409175639657E-3</v>
      </c>
      <c r="Z197" s="32" t="str">
        <f t="shared" si="159"/>
        <v>0.999999619810604+0.000949623441129162i</v>
      </c>
      <c r="AA197" s="18">
        <f t="shared" si="173"/>
        <v>1.0000000707030139</v>
      </c>
      <c r="AB197" s="18">
        <f t="shared" si="174"/>
        <v>9.496235167139336E-4</v>
      </c>
      <c r="AC197" s="68" t="str">
        <f t="shared" si="175"/>
        <v>2.55986386449381-6.88704834024509i</v>
      </c>
      <c r="AD197" s="66">
        <f t="shared" si="176"/>
        <v>17.322677788259455</v>
      </c>
      <c r="AE197" s="63">
        <f t="shared" si="177"/>
        <v>-69.610279798973522</v>
      </c>
      <c r="AF197" s="51" t="e">
        <f t="shared" si="178"/>
        <v>#NUM!</v>
      </c>
      <c r="AG197" s="51" t="str">
        <f t="shared" si="160"/>
        <v>1-1.66036313836133i</v>
      </c>
      <c r="AH197" s="51">
        <f t="shared" si="179"/>
        <v>1.9382481139495751</v>
      </c>
      <c r="AI197" s="51">
        <f t="shared" si="180"/>
        <v>-1.0287035938523552</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-0.000133283554228113</v>
      </c>
      <c r="AT197" s="32" t="str">
        <f t="shared" si="164"/>
        <v>0.00023671243809238i</v>
      </c>
      <c r="AU197" s="32">
        <f t="shared" si="188"/>
        <v>2.3671243809238001E-4</v>
      </c>
      <c r="AV197" s="32">
        <f t="shared" si="189"/>
        <v>1.5707963267948966</v>
      </c>
      <c r="AW197" s="32" t="str">
        <f t="shared" si="165"/>
        <v>1+0.0413874154180062i</v>
      </c>
      <c r="AX197" s="32">
        <f t="shared" si="190"/>
        <v>1.0008560926301955</v>
      </c>
      <c r="AY197" s="32">
        <f t="shared" si="191"/>
        <v>4.1363808590113467E-2</v>
      </c>
      <c r="AZ197" s="32" t="str">
        <f t="shared" si="166"/>
        <v>1+0.616773434643945i</v>
      </c>
      <c r="BA197" s="32">
        <f t="shared" si="192"/>
        <v>1.1749082813915683</v>
      </c>
      <c r="BB197" s="32">
        <f t="shared" si="193"/>
        <v>0.55266169913028607</v>
      </c>
      <c r="BC197" s="60" t="str">
        <f t="shared" si="194"/>
        <v>-0.3234234589256+0.576446712266124i</v>
      </c>
      <c r="BD197" s="51">
        <f t="shared" si="195"/>
        <v>-3.5962437098180851</v>
      </c>
      <c r="BE197" s="63">
        <f t="shared" si="196"/>
        <v>119.29521120189385</v>
      </c>
      <c r="BF197" s="60" t="str">
        <f t="shared" si="197"/>
        <v>3.14209634751891+3.70305810452619i</v>
      </c>
      <c r="BG197" s="66">
        <f t="shared" si="198"/>
        <v>13.726434078441374</v>
      </c>
      <c r="BH197" s="63">
        <f t="shared" si="199"/>
        <v>49.684931402920306</v>
      </c>
      <c r="BI197" s="60" t="e">
        <f t="shared" si="203"/>
        <v>#NUM!</v>
      </c>
      <c r="BJ197" s="66" t="e">
        <f t="shared" si="200"/>
        <v>#NUM!</v>
      </c>
      <c r="BK197" s="63" t="e">
        <f t="shared" si="204"/>
        <v>#NUM!</v>
      </c>
      <c r="BL197" s="51">
        <f t="shared" si="201"/>
        <v>13.726434078441374</v>
      </c>
      <c r="BM197" s="63">
        <f t="shared" si="202"/>
        <v>49.684931402920306</v>
      </c>
    </row>
    <row r="198" spans="14:65" x14ac:dyDescent="0.3">
      <c r="N198" s="11">
        <v>80</v>
      </c>
      <c r="O198" s="52">
        <f t="shared" si="205"/>
        <v>630.95734448019323</v>
      </c>
      <c r="P198" s="50" t="str">
        <f t="shared" si="155"/>
        <v>21.1560044893378</v>
      </c>
      <c r="Q198" s="18" t="str">
        <f t="shared" si="156"/>
        <v>1+2.76308194166016i</v>
      </c>
      <c r="R198" s="18">
        <f t="shared" si="167"/>
        <v>2.9384727013073442</v>
      </c>
      <c r="S198" s="18">
        <f t="shared" si="168"/>
        <v>1.2235467477717172</v>
      </c>
      <c r="T198" s="18" t="str">
        <f t="shared" si="157"/>
        <v>1+0.003964421916295i</v>
      </c>
      <c r="U198" s="18">
        <f t="shared" si="169"/>
        <v>1.0000078582896887</v>
      </c>
      <c r="V198" s="18">
        <f t="shared" si="170"/>
        <v>3.964401147358668E-3</v>
      </c>
      <c r="W198" s="32" t="str">
        <f t="shared" si="158"/>
        <v>1-0.00178047114465557i</v>
      </c>
      <c r="X198" s="18">
        <f t="shared" si="171"/>
        <v>1.0000015850374924</v>
      </c>
      <c r="Y198" s="18">
        <f t="shared" si="172"/>
        <v>-1.7804692632486451E-3</v>
      </c>
      <c r="Z198" s="32" t="str">
        <f t="shared" si="159"/>
        <v>0.999999601892829+0.000971743012613005i</v>
      </c>
      <c r="AA198" s="18">
        <f t="shared" si="173"/>
        <v>1.0000000740351467</v>
      </c>
      <c r="AB198" s="18">
        <f t="shared" si="174"/>
        <v>9.7174309360354609E-4</v>
      </c>
      <c r="AC198" s="68" t="str">
        <f t="shared" si="175"/>
        <v>2.45836444200011-6.76701709022016i</v>
      </c>
      <c r="AD198" s="66">
        <f t="shared" si="176"/>
        <v>17.146321181819186</v>
      </c>
      <c r="AE198" s="63">
        <f t="shared" si="177"/>
        <v>-70.034611382608176</v>
      </c>
      <c r="AF198" s="51" t="e">
        <f t="shared" si="178"/>
        <v>#NUM!</v>
      </c>
      <c r="AG198" s="51" t="str">
        <f t="shared" si="160"/>
        <v>1-1.69903796412643i</v>
      </c>
      <c r="AH198" s="51">
        <f t="shared" si="179"/>
        <v>1.9714791410367203</v>
      </c>
      <c r="AI198" s="51">
        <f t="shared" si="180"/>
        <v>-1.0388248455284055</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-0.000133283554228113</v>
      </c>
      <c r="AT198" s="32" t="str">
        <f t="shared" si="164"/>
        <v>0.000242226179085624i</v>
      </c>
      <c r="AU198" s="32">
        <f t="shared" si="188"/>
        <v>2.42226179085624E-4</v>
      </c>
      <c r="AV198" s="32">
        <f t="shared" si="189"/>
        <v>1.5707963267948966</v>
      </c>
      <c r="AW198" s="32" t="str">
        <f t="shared" si="165"/>
        <v>1+0.0423514521658581i</v>
      </c>
      <c r="AX198" s="32">
        <f t="shared" si="190"/>
        <v>1.0008964209650053</v>
      </c>
      <c r="AY198" s="32">
        <f t="shared" si="191"/>
        <v>4.2326158217436176E-2</v>
      </c>
      <c r="AZ198" s="32" t="str">
        <f t="shared" si="166"/>
        <v>1+0.63113993349608i</v>
      </c>
      <c r="BA198" s="32">
        <f t="shared" si="192"/>
        <v>1.1825132623583705</v>
      </c>
      <c r="BB198" s="32">
        <f t="shared" si="193"/>
        <v>0.56300236956766447</v>
      </c>
      <c r="BC198" s="60" t="str">
        <f t="shared" si="194"/>
        <v>-0.323397396554918+0.56394056628919i</v>
      </c>
      <c r="BD198" s="51">
        <f t="shared" si="195"/>
        <v>-3.7405525852764838</v>
      </c>
      <c r="BE198" s="63">
        <f t="shared" si="196"/>
        <v>119.83254940322976</v>
      </c>
      <c r="BF198" s="60" t="str">
        <f t="shared" si="197"/>
        <v>3.02116678962136+3.57480714498659i</v>
      </c>
      <c r="BG198" s="66">
        <f t="shared" si="198"/>
        <v>13.4057685965427</v>
      </c>
      <c r="BH198" s="63">
        <f t="shared" si="199"/>
        <v>49.797938020621629</v>
      </c>
      <c r="BI198" s="60" t="e">
        <f t="shared" si="203"/>
        <v>#NUM!</v>
      </c>
      <c r="BJ198" s="66" t="e">
        <f t="shared" si="200"/>
        <v>#NUM!</v>
      </c>
      <c r="BK198" s="63" t="e">
        <f t="shared" si="204"/>
        <v>#NUM!</v>
      </c>
      <c r="BL198" s="51">
        <f t="shared" si="201"/>
        <v>13.4057685965427</v>
      </c>
      <c r="BM198" s="63">
        <f t="shared" si="202"/>
        <v>49.797938020621629</v>
      </c>
    </row>
    <row r="199" spans="14:65" x14ac:dyDescent="0.3">
      <c r="N199" s="11">
        <v>81</v>
      </c>
      <c r="O199" s="52">
        <f t="shared" si="205"/>
        <v>645.65422903465594</v>
      </c>
      <c r="P199" s="50" t="str">
        <f t="shared" si="155"/>
        <v>21.1560044893378</v>
      </c>
      <c r="Q199" s="18" t="str">
        <f t="shared" si="156"/>
        <v>1+2.82744238799834i</v>
      </c>
      <c r="R199" s="18">
        <f t="shared" si="167"/>
        <v>2.999071599253635</v>
      </c>
      <c r="S199" s="18">
        <f t="shared" si="168"/>
        <v>1.2308499682754861</v>
      </c>
      <c r="T199" s="18" t="str">
        <f t="shared" si="157"/>
        <v>1+0.00405676516538891i</v>
      </c>
      <c r="U199" s="18">
        <f t="shared" si="169"/>
        <v>1.0000082286379484</v>
      </c>
      <c r="V199" s="18">
        <f t="shared" si="170"/>
        <v>4.0567429110825717E-3</v>
      </c>
      <c r="W199" s="32" t="str">
        <f t="shared" si="158"/>
        <v>1-0.00182194364528413i</v>
      </c>
      <c r="X199" s="18">
        <f t="shared" si="171"/>
        <v>1.000001659737946</v>
      </c>
      <c r="Y199" s="18">
        <f t="shared" si="172"/>
        <v>-1.82194162932047E-3</v>
      </c>
      <c r="Z199" s="32" t="str">
        <f t="shared" si="159"/>
        <v>0.999999583130617+0.000994377815104677i</v>
      </c>
      <c r="AA199" s="18">
        <f t="shared" si="173"/>
        <v>1.0000000775243205</v>
      </c>
      <c r="AB199" s="18">
        <f t="shared" si="174"/>
        <v>9.9437790188760243E-4</v>
      </c>
      <c r="AC199" s="68" t="str">
        <f t="shared" si="175"/>
        <v>2.3603935193947-6.6476340357689i</v>
      </c>
      <c r="AD199" s="66">
        <f t="shared" si="176"/>
        <v>16.969021542856456</v>
      </c>
      <c r="AE199" s="63">
        <f t="shared" si="177"/>
        <v>-70.451437371520441</v>
      </c>
      <c r="AF199" s="51" t="e">
        <f t="shared" si="178"/>
        <v>#NUM!</v>
      </c>
      <c r="AG199" s="51" t="str">
        <f t="shared" si="160"/>
        <v>1-1.73861364230954i</v>
      </c>
      <c r="AH199" s="51">
        <f t="shared" si="179"/>
        <v>2.0056862659012364</v>
      </c>
      <c r="AI199" s="51">
        <f t="shared" si="180"/>
        <v>-1.0488336090836194</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-0.000133283554228113</v>
      </c>
      <c r="AT199" s="32" t="str">
        <f t="shared" si="164"/>
        <v>0.000247868351605263i</v>
      </c>
      <c r="AU199" s="32">
        <f t="shared" si="188"/>
        <v>2.4786835160526302E-4</v>
      </c>
      <c r="AV199" s="32">
        <f t="shared" si="189"/>
        <v>1.5707963267948966</v>
      </c>
      <c r="AW199" s="32" t="str">
        <f t="shared" si="165"/>
        <v>1+0.0433379442142361i</v>
      </c>
      <c r="AX199" s="32">
        <f t="shared" si="190"/>
        <v>1.0009386481741607</v>
      </c>
      <c r="AY199" s="32">
        <f t="shared" si="191"/>
        <v>4.3310842632712572E-2</v>
      </c>
      <c r="AZ199" s="32" t="str">
        <f t="shared" si="166"/>
        <v>1+0.645841071095079i</v>
      </c>
      <c r="BA199" s="32">
        <f t="shared" si="192"/>
        <v>1.1904245835470801</v>
      </c>
      <c r="BB199" s="32">
        <f t="shared" si="193"/>
        <v>0.57344598641216238</v>
      </c>
      <c r="BC199" s="60" t="str">
        <f t="shared" si="194"/>
        <v>-0.323370110404124+0.551733325193618i</v>
      </c>
      <c r="BD199" s="51">
        <f t="shared" si="195"/>
        <v>-3.8830016955483231</v>
      </c>
      <c r="BE199" s="63">
        <f t="shared" si="196"/>
        <v>120.37450631012355</v>
      </c>
      <c r="BF199" s="60" t="str">
        <f t="shared" si="197"/>
        <v>2.9044405182612+3.45195391729391i</v>
      </c>
      <c r="BG199" s="66">
        <f t="shared" si="198"/>
        <v>13.086019847308135</v>
      </c>
      <c r="BH199" s="63">
        <f t="shared" si="199"/>
        <v>49.92306893860318</v>
      </c>
      <c r="BI199" s="60" t="e">
        <f t="shared" si="203"/>
        <v>#NUM!</v>
      </c>
      <c r="BJ199" s="66" t="e">
        <f t="shared" si="200"/>
        <v>#NUM!</v>
      </c>
      <c r="BK199" s="63" t="e">
        <f t="shared" si="204"/>
        <v>#NUM!</v>
      </c>
      <c r="BL199" s="51">
        <f t="shared" si="201"/>
        <v>13.086019847308135</v>
      </c>
      <c r="BM199" s="63">
        <f t="shared" si="202"/>
        <v>49.92306893860318</v>
      </c>
    </row>
    <row r="200" spans="14:65" x14ac:dyDescent="0.3">
      <c r="N200" s="11">
        <v>82</v>
      </c>
      <c r="O200" s="52">
        <f t="shared" si="205"/>
        <v>660.69344800759643</v>
      </c>
      <c r="P200" s="50" t="str">
        <f t="shared" si="155"/>
        <v>21.1560044893378</v>
      </c>
      <c r="Q200" s="18" t="str">
        <f t="shared" si="156"/>
        <v>1+2.89330198171626i</v>
      </c>
      <c r="R200" s="18">
        <f t="shared" si="167"/>
        <v>3.0612409832293892</v>
      </c>
      <c r="S200" s="18">
        <f t="shared" si="168"/>
        <v>1.2380235891258409</v>
      </c>
      <c r="T200" s="18" t="str">
        <f t="shared" si="157"/>
        <v>1+0.00415125936507115i</v>
      </c>
      <c r="U200" s="18">
        <f t="shared" si="169"/>
        <v>1.0000086164400366</v>
      </c>
      <c r="V200" s="18">
        <f t="shared" si="170"/>
        <v>4.1512355191633803E-3</v>
      </c>
      <c r="W200" s="32" t="str">
        <f t="shared" si="158"/>
        <v>1-0.00186438216454971i</v>
      </c>
      <c r="X200" s="18">
        <f t="shared" si="171"/>
        <v>1.0000017379589174</v>
      </c>
      <c r="Y200" s="18">
        <f t="shared" si="172"/>
        <v>-1.8643800044059323E-3</v>
      </c>
      <c r="Z200" s="32" t="str">
        <f t="shared" si="159"/>
        <v>0.999999563484168+0.00101753984987606i</v>
      </c>
      <c r="AA200" s="18">
        <f t="shared" si="173"/>
        <v>1.000000081177933</v>
      </c>
      <c r="AB200" s="18">
        <f t="shared" si="174"/>
        <v>1.0175399428656382E-3</v>
      </c>
      <c r="AC200" s="68" t="str">
        <f t="shared" si="175"/>
        <v>2.26586878146604-6.52898872112454i</v>
      </c>
      <c r="AD200" s="66">
        <f t="shared" si="176"/>
        <v>16.790811863096621</v>
      </c>
      <c r="AE200" s="63">
        <f t="shared" si="177"/>
        <v>-70.860800169409316</v>
      </c>
      <c r="AF200" s="51" t="e">
        <f t="shared" si="178"/>
        <v>#NUM!</v>
      </c>
      <c r="AG200" s="51" t="str">
        <f t="shared" si="160"/>
        <v>1-1.77911115645907i</v>
      </c>
      <c r="AH200" s="51">
        <f t="shared" si="179"/>
        <v>2.0408911061193664</v>
      </c>
      <c r="AI200" s="51">
        <f t="shared" si="180"/>
        <v>-1.0587271696568308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-0.000133283554228113</v>
      </c>
      <c r="AT200" s="32" t="str">
        <f t="shared" si="164"/>
        <v>0.000253641947205847i</v>
      </c>
      <c r="AU200" s="32">
        <f t="shared" si="188"/>
        <v>2.5364194720584699E-4</v>
      </c>
      <c r="AV200" s="32">
        <f t="shared" si="189"/>
        <v>1.5707963267948966</v>
      </c>
      <c r="AW200" s="32" t="str">
        <f t="shared" si="165"/>
        <v>1+0.0443474146142821i</v>
      </c>
      <c r="AX200" s="32">
        <f t="shared" si="190"/>
        <v>1.000982863581076</v>
      </c>
      <c r="AY200" s="32">
        <f t="shared" si="191"/>
        <v>4.4318376286275711E-2</v>
      </c>
      <c r="AZ200" s="32" t="str">
        <f t="shared" si="166"/>
        <v>1+0.660884642178692i</v>
      </c>
      <c r="BA200" s="32">
        <f t="shared" si="192"/>
        <v>1.1986527897050328</v>
      </c>
      <c r="BB200" s="32">
        <f t="shared" si="193"/>
        <v>0.58398897413363826</v>
      </c>
      <c r="BC200" s="60" t="str">
        <f t="shared" si="194"/>
        <v>-0.323341543231296+0.539818509137973i</v>
      </c>
      <c r="BD200" s="51">
        <f t="shared" si="195"/>
        <v>-4.0235551061921067</v>
      </c>
      <c r="BE200" s="63">
        <f t="shared" si="196"/>
        <v>120.92084758395576</v>
      </c>
      <c r="BF200" s="60" t="str">
        <f t="shared" si="197"/>
        <v>2.79181944905724+3.33425119634141i</v>
      </c>
      <c r="BG200" s="66">
        <f t="shared" si="198"/>
        <v>12.76725675690451</v>
      </c>
      <c r="BH200" s="63">
        <f t="shared" si="199"/>
        <v>50.06004741454651</v>
      </c>
      <c r="BI200" s="60" t="e">
        <f t="shared" si="203"/>
        <v>#NUM!</v>
      </c>
      <c r="BJ200" s="66" t="e">
        <f t="shared" si="200"/>
        <v>#NUM!</v>
      </c>
      <c r="BK200" s="63" t="e">
        <f t="shared" si="204"/>
        <v>#NUM!</v>
      </c>
      <c r="BL200" s="51">
        <f t="shared" si="201"/>
        <v>12.76725675690451</v>
      </c>
      <c r="BM200" s="63">
        <f t="shared" si="202"/>
        <v>50.06004741454651</v>
      </c>
    </row>
    <row r="201" spans="14:65" x14ac:dyDescent="0.3">
      <c r="N201" s="11">
        <v>83</v>
      </c>
      <c r="O201" s="52">
        <f t="shared" si="205"/>
        <v>676.08297539198213</v>
      </c>
      <c r="P201" s="50" t="str">
        <f t="shared" si="155"/>
        <v>21.1560044893378</v>
      </c>
      <c r="Q201" s="18" t="str">
        <f t="shared" si="156"/>
        <v>1+2.96069564244227i</v>
      </c>
      <c r="R201" s="18">
        <f t="shared" si="167"/>
        <v>3.1250149899123119</v>
      </c>
      <c r="S201" s="18">
        <f t="shared" si="168"/>
        <v>1.245068459651012</v>
      </c>
      <c r="T201" s="18" t="str">
        <f t="shared" si="157"/>
        <v>1+0.00424795461741716i</v>
      </c>
      <c r="U201" s="18">
        <f t="shared" si="169"/>
        <v>1.000009022518513</v>
      </c>
      <c r="V201" s="18">
        <f t="shared" si="170"/>
        <v>4.2479290660790842E-3</v>
      </c>
      <c r="W201" s="32" t="str">
        <f t="shared" si="158"/>
        <v>1-0.00190780920391694i</v>
      </c>
      <c r="X201" s="18">
        <f t="shared" si="171"/>
        <v>1.0000018198663234</v>
      </c>
      <c r="Y201" s="18">
        <f t="shared" si="172"/>
        <v>-1.9078068892814078E-3</v>
      </c>
      <c r="Z201" s="32" t="str">
        <f t="shared" si="159"/>
        <v>0.99999954291181+0.00104124139774459i</v>
      </c>
      <c r="AA201" s="18">
        <f t="shared" si="173"/>
        <v>1.0000000850037352</v>
      </c>
      <c r="AB201" s="18">
        <f t="shared" si="174"/>
        <v>1.0412414973847164E-3</v>
      </c>
      <c r="AC201" s="68" t="str">
        <f t="shared" si="175"/>
        <v>2.17470655118411-6.41116479631954i</v>
      </c>
      <c r="AD201" s="66">
        <f t="shared" si="176"/>
        <v>16.611724349422239</v>
      </c>
      <c r="AE201" s="63">
        <f t="shared" si="177"/>
        <v>-71.262747561835965</v>
      </c>
      <c r="AF201" s="51" t="e">
        <f t="shared" si="178"/>
        <v>#NUM!</v>
      </c>
      <c r="AG201" s="51" t="str">
        <f t="shared" si="160"/>
        <v>1-1.82055197889307i</v>
      </c>
      <c r="AH201" s="51">
        <f t="shared" si="179"/>
        <v>2.0771156703109899</v>
      </c>
      <c r="AI201" s="51">
        <f t="shared" si="180"/>
        <v>-1.0685030250322403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-0.000133283554228113</v>
      </c>
      <c r="AT201" s="32" t="str">
        <f t="shared" si="164"/>
        <v>0.000259550027124188i</v>
      </c>
      <c r="AU201" s="32">
        <f t="shared" si="188"/>
        <v>2.5955002712418798E-4</v>
      </c>
      <c r="AV201" s="32">
        <f t="shared" si="189"/>
        <v>1.5707963267948966</v>
      </c>
      <c r="AW201" s="32" t="str">
        <f t="shared" si="165"/>
        <v>1+0.045380398600564i</v>
      </c>
      <c r="AX201" s="32">
        <f t="shared" si="190"/>
        <v>1.0010291607026971</v>
      </c>
      <c r="AY201" s="32">
        <f t="shared" si="191"/>
        <v>4.5349285198972515E-2</v>
      </c>
      <c r="AZ201" s="32" t="str">
        <f t="shared" si="166"/>
        <v>1+0.676278623047429i</v>
      </c>
      <c r="BA201" s="32">
        <f t="shared" si="192"/>
        <v>1.2072086712705996</v>
      </c>
      <c r="BB201" s="32">
        <f t="shared" si="193"/>
        <v>0.59462754737784218</v>
      </c>
      <c r="BC201" s="60" t="str">
        <f t="shared" si="194"/>
        <v>-0.323311635138371+0.528189792802578i</v>
      </c>
      <c r="BD201" s="51">
        <f t="shared" si="195"/>
        <v>-4.162177917925959</v>
      </c>
      <c r="BE201" s="63">
        <f t="shared" si="196"/>
        <v>121.4713262011295</v>
      </c>
      <c r="BF201" s="60" t="str">
        <f t="shared" si="197"/>
        <v>2.68320387438174+3.22146197611598i</v>
      </c>
      <c r="BG201" s="66">
        <f t="shared" si="198"/>
        <v>12.449546431496287</v>
      </c>
      <c r="BH201" s="63">
        <f t="shared" si="199"/>
        <v>50.20857863929357</v>
      </c>
      <c r="BI201" s="60" t="e">
        <f t="shared" si="203"/>
        <v>#NUM!</v>
      </c>
      <c r="BJ201" s="66" t="e">
        <f t="shared" si="200"/>
        <v>#NUM!</v>
      </c>
      <c r="BK201" s="63" t="e">
        <f t="shared" si="204"/>
        <v>#NUM!</v>
      </c>
      <c r="BL201" s="51">
        <f t="shared" si="201"/>
        <v>12.449546431496287</v>
      </c>
      <c r="BM201" s="63">
        <f t="shared" si="202"/>
        <v>50.20857863929357</v>
      </c>
    </row>
    <row r="202" spans="14:65" x14ac:dyDescent="0.3">
      <c r="N202" s="11">
        <v>84</v>
      </c>
      <c r="O202" s="52">
        <f t="shared" si="205"/>
        <v>691.83097091893671</v>
      </c>
      <c r="P202" s="50" t="str">
        <f t="shared" si="155"/>
        <v>21.1560044893378</v>
      </c>
      <c r="Q202" s="18" t="str">
        <f t="shared" si="156"/>
        <v>1+3.02965910318734i</v>
      </c>
      <c r="R202" s="18">
        <f t="shared" si="167"/>
        <v>3.1904285419870981</v>
      </c>
      <c r="S202" s="18">
        <f t="shared" si="168"/>
        <v>1.2519855171155125</v>
      </c>
      <c r="T202" s="18" t="str">
        <f t="shared" si="157"/>
        <v>1+0.00434690219152965i</v>
      </c>
      <c r="U202" s="18">
        <f t="shared" si="169"/>
        <v>1.0000094477347015</v>
      </c>
      <c r="V202" s="18">
        <f t="shared" si="170"/>
        <v>4.3468748127915976E-3</v>
      </c>
      <c r="W202" s="32" t="str">
        <f t="shared" si="158"/>
        <v>1-0.00195224778897693i</v>
      </c>
      <c r="X202" s="18">
        <f t="shared" si="171"/>
        <v>1.0000019056338991</v>
      </c>
      <c r="Y202" s="18">
        <f t="shared" si="172"/>
        <v>-1.9522453088005277E-3</v>
      </c>
      <c r="Z202" s="32" t="str">
        <f t="shared" si="159"/>
        <v>0.999999521369908+0.00106549502558465i</v>
      </c>
      <c r="AA202" s="18">
        <f t="shared" si="173"/>
        <v>1.0000000890098433</v>
      </c>
      <c r="AB202" s="18">
        <f t="shared" si="174"/>
        <v>1.0654951323509655E-3</v>
      </c>
      <c r="AC202" s="68" t="str">
        <f t="shared" si="175"/>
        <v>2.08682212185909-6.29424015702415i</v>
      </c>
      <c r="AD202" s="66">
        <f t="shared" si="176"/>
        <v>16.43179041259944</v>
      </c>
      <c r="AE202" s="63">
        <f t="shared" si="177"/>
        <v>-71.657332352322044</v>
      </c>
      <c r="AF202" s="51" t="e">
        <f t="shared" si="178"/>
        <v>#NUM!</v>
      </c>
      <c r="AG202" s="51" t="str">
        <f t="shared" si="160"/>
        <v>1-1.86295808208414i</v>
      </c>
      <c r="AH202" s="51">
        <f t="shared" si="179"/>
        <v>2.1143823721367472</v>
      </c>
      <c r="AI202" s="51">
        <f t="shared" si="180"/>
        <v>-1.0781588837560616</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-0.000133283554228113</v>
      </c>
      <c r="AT202" s="32" t="str">
        <f t="shared" si="164"/>
        <v>0.000265595723902462i</v>
      </c>
      <c r="AU202" s="32">
        <f t="shared" si="188"/>
        <v>2.6559572390246199E-4</v>
      </c>
      <c r="AV202" s="32">
        <f t="shared" si="189"/>
        <v>1.5707963267948966</v>
      </c>
      <c r="AW202" s="32" t="str">
        <f t="shared" si="165"/>
        <v>1+0.0464374438748645i</v>
      </c>
      <c r="AX202" s="32">
        <f t="shared" si="190"/>
        <v>1.0010776374455836</v>
      </c>
      <c r="AY202" s="32">
        <f t="shared" si="191"/>
        <v>4.640410720238651E-2</v>
      </c>
      <c r="AZ202" s="32" t="str">
        <f t="shared" si="166"/>
        <v>1+0.692031175793711i</v>
      </c>
      <c r="BA202" s="32">
        <f t="shared" si="192"/>
        <v>1.2161032638186717</v>
      </c>
      <c r="BB202" s="32">
        <f t="shared" si="193"/>
        <v>0.60535771425063112</v>
      </c>
      <c r="BC202" s="60" t="str">
        <f t="shared" si="194"/>
        <v>-0.323280323449963+0.516841001998568i</v>
      </c>
      <c r="BD202" s="51">
        <f t="shared" si="195"/>
        <v>-4.2988363830046135</v>
      </c>
      <c r="BE202" s="63">
        <f t="shared" si="196"/>
        <v>122.02568262747829</v>
      </c>
      <c r="BF202" s="60" t="str">
        <f t="shared" si="197"/>
        <v>2.57849285903884+3.11335923028894i</v>
      </c>
      <c r="BG202" s="66">
        <f t="shared" si="198"/>
        <v>12.132954029594824</v>
      </c>
      <c r="BH202" s="63">
        <f t="shared" si="199"/>
        <v>50.368350275156239</v>
      </c>
      <c r="BI202" s="60" t="e">
        <f t="shared" si="203"/>
        <v>#NUM!</v>
      </c>
      <c r="BJ202" s="66" t="e">
        <f t="shared" si="200"/>
        <v>#NUM!</v>
      </c>
      <c r="BK202" s="63" t="e">
        <f t="shared" si="204"/>
        <v>#NUM!</v>
      </c>
      <c r="BL202" s="51">
        <f t="shared" si="201"/>
        <v>12.132954029594824</v>
      </c>
      <c r="BM202" s="63">
        <f t="shared" si="202"/>
        <v>50.368350275156239</v>
      </c>
    </row>
    <row r="203" spans="14:65" x14ac:dyDescent="0.3">
      <c r="N203" s="11">
        <v>85</v>
      </c>
      <c r="O203" s="52">
        <f t="shared" si="205"/>
        <v>707.94578438413873</v>
      </c>
      <c r="P203" s="50" t="str">
        <f t="shared" si="155"/>
        <v>21.1560044893378</v>
      </c>
      <c r="Q203" s="18" t="str">
        <f t="shared" si="156"/>
        <v>1+3.1002289292912i</v>
      </c>
      <c r="R203" s="18">
        <f t="shared" si="167"/>
        <v>3.2575173697179363</v>
      </c>
      <c r="S203" s="18">
        <f t="shared" si="168"/>
        <v>1.2587757805367541</v>
      </c>
      <c r="T203" s="18" t="str">
        <f t="shared" si="157"/>
        <v>1+0.00444815455072215i</v>
      </c>
      <c r="U203" s="18">
        <f t="shared" si="169"/>
        <v>1.0000098929905179</v>
      </c>
      <c r="V203" s="18">
        <f t="shared" si="170"/>
        <v>4.4481252138914486E-3</v>
      </c>
      <c r="W203" s="32" t="str">
        <f t="shared" si="158"/>
        <v>1-0.00199772148165569i</v>
      </c>
      <c r="X203" s="18">
        <f t="shared" si="171"/>
        <v>1.0000019954435682</v>
      </c>
      <c r="Y203" s="18">
        <f t="shared" si="172"/>
        <v>-1.997718824099081E-3</v>
      </c>
      <c r="Z203" s="32" t="str">
        <f t="shared" si="159"/>
        <v>0.999999498812766+0.00109031359299078i</v>
      </c>
      <c r="AA203" s="18">
        <f t="shared" si="173"/>
        <v>1.0000000932047528</v>
      </c>
      <c r="AB203" s="18">
        <f t="shared" si="174"/>
        <v>1.090313707392946E-3</v>
      </c>
      <c r="AC203" s="68" t="str">
        <f t="shared" si="175"/>
        <v>2.00213006743976-6.17828709785919i</v>
      </c>
      <c r="AD203" s="66">
        <f t="shared" si="176"/>
        <v>16.251040659043163</v>
      </c>
      <c r="AE203" s="63">
        <f t="shared" si="177"/>
        <v>-72.044612007593869</v>
      </c>
      <c r="AF203" s="51" t="e">
        <f t="shared" si="178"/>
        <v>#NUM!</v>
      </c>
      <c r="AG203" s="51" t="str">
        <f t="shared" si="160"/>
        <v>1-1.9063519503095i</v>
      </c>
      <c r="AH203" s="51">
        <f t="shared" si="179"/>
        <v>2.1527140447464994</v>
      </c>
      <c r="AI203" s="51">
        <f t="shared" si="180"/>
        <v>-1.0876926625547267</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-0.000133283554228113</v>
      </c>
      <c r="AT203" s="32" t="str">
        <f t="shared" si="164"/>
        <v>0.000271782243049123i</v>
      </c>
      <c r="AU203" s="32">
        <f t="shared" si="188"/>
        <v>2.7178224304912302E-4</v>
      </c>
      <c r="AV203" s="32">
        <f t="shared" si="189"/>
        <v>1.5707963267948966</v>
      </c>
      <c r="AW203" s="32" t="str">
        <f t="shared" si="165"/>
        <v>1+0.0475191108965797i</v>
      </c>
      <c r="AX203" s="32">
        <f t="shared" si="190"/>
        <v>1.0011283963110833</v>
      </c>
      <c r="AY203" s="32">
        <f t="shared" si="191"/>
        <v>4.7483392182587264E-2</v>
      </c>
      <c r="AZ203" s="32" t="str">
        <f t="shared" si="166"/>
        <v>1+0.708150652629516i</v>
      </c>
      <c r="BA203" s="32">
        <f t="shared" si="192"/>
        <v>1.2253478472742381</v>
      </c>
      <c r="BB203" s="32">
        <f t="shared" si="193"/>
        <v>0.61617528057246884</v>
      </c>
      <c r="BC203" s="60" t="str">
        <f t="shared" si="194"/>
        <v>-0.323247542586836+0.50576611035445i</v>
      </c>
      <c r="BD203" s="51">
        <f t="shared" si="195"/>
        <v>-4.4334980214494282</v>
      </c>
      <c r="BE203" s="63">
        <f t="shared" si="196"/>
        <v>122.58364504806507</v>
      </c>
      <c r="BF203" s="60" t="str">
        <f t="shared" si="197"/>
        <v>2.47758460989821+3.00972565841164i</v>
      </c>
      <c r="BG203" s="66">
        <f t="shared" si="198"/>
        <v>11.817542637593741</v>
      </c>
      <c r="BH203" s="63">
        <f t="shared" si="199"/>
        <v>50.539033040471189</v>
      </c>
      <c r="BI203" s="60" t="e">
        <f t="shared" si="203"/>
        <v>#NUM!</v>
      </c>
      <c r="BJ203" s="66" t="e">
        <f t="shared" si="200"/>
        <v>#NUM!</v>
      </c>
      <c r="BK203" s="63" t="e">
        <f t="shared" si="204"/>
        <v>#NUM!</v>
      </c>
      <c r="BL203" s="51">
        <f t="shared" si="201"/>
        <v>11.817542637593741</v>
      </c>
      <c r="BM203" s="63">
        <f t="shared" si="202"/>
        <v>50.539033040471189</v>
      </c>
    </row>
    <row r="204" spans="14:65" x14ac:dyDescent="0.3">
      <c r="N204" s="11">
        <v>86</v>
      </c>
      <c r="O204" s="52">
        <f t="shared" si="205"/>
        <v>724.43596007499025</v>
      </c>
      <c r="P204" s="50" t="str">
        <f t="shared" si="155"/>
        <v>21.1560044893378</v>
      </c>
      <c r="Q204" s="18" t="str">
        <f t="shared" si="156"/>
        <v>1+3.17244253780975i</v>
      </c>
      <c r="R204" s="18">
        <f t="shared" si="167"/>
        <v>3.326318032856264</v>
      </c>
      <c r="S204" s="18">
        <f t="shared" si="168"/>
        <v>1.2654403446749602</v>
      </c>
      <c r="T204" s="18" t="str">
        <f t="shared" si="157"/>
        <v>1+0.00455176538033572i</v>
      </c>
      <c r="U204" s="18">
        <f t="shared" si="169"/>
        <v>1.000010359230382</v>
      </c>
      <c r="V204" s="18">
        <f t="shared" si="170"/>
        <v>4.551733945372856E-3</v>
      </c>
      <c r="W204" s="32" t="str">
        <f t="shared" si="158"/>
        <v>1-0.00204425439270699i</v>
      </c>
      <c r="X204" s="18">
        <f t="shared" si="171"/>
        <v>1.0000020894858281</v>
      </c>
      <c r="Y204" s="18">
        <f t="shared" si="172"/>
        <v>-2.0442515450840998E-3</v>
      </c>
      <c r="Z204" s="32" t="str">
        <f t="shared" si="159"/>
        <v>0.99999947519254+0.00111571025909591i</v>
      </c>
      <c r="AA204" s="18">
        <f t="shared" si="173"/>
        <v>1.000000097597364</v>
      </c>
      <c r="AB204" s="18">
        <f t="shared" si="174"/>
        <v>1.1157103816800355E-3</v>
      </c>
      <c r="AC204" s="68" t="str">
        <f t="shared" si="175"/>
        <v>1.92054453112599-6.06337247706296i</v>
      </c>
      <c r="AD204" s="66">
        <f t="shared" si="176"/>
        <v>16.069504885414997</v>
      </c>
      <c r="AE204" s="63">
        <f t="shared" si="177"/>
        <v>-72.424648312744793</v>
      </c>
      <c r="AF204" s="51" t="e">
        <f t="shared" si="178"/>
        <v>#NUM!</v>
      </c>
      <c r="AG204" s="51" t="str">
        <f t="shared" si="160"/>
        <v>1-1.95075659157245i</v>
      </c>
      <c r="AH204" s="51">
        <f t="shared" si="179"/>
        <v>2.192133955661324</v>
      </c>
      <c r="AI204" s="51">
        <f t="shared" si="180"/>
        <v>-1.0971024831077614</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-0.000133283554228113</v>
      </c>
      <c r="AT204" s="32" t="str">
        <f t="shared" si="164"/>
        <v>0.000278112864738512i</v>
      </c>
      <c r="AU204" s="32">
        <f t="shared" si="188"/>
        <v>2.7811286473851198E-4</v>
      </c>
      <c r="AV204" s="32">
        <f t="shared" si="189"/>
        <v>1.5707963267948966</v>
      </c>
      <c r="AW204" s="32" t="str">
        <f t="shared" si="165"/>
        <v>1+0.048625973179882i</v>
      </c>
      <c r="AX204" s="32">
        <f t="shared" si="190"/>
        <v>1.0011815446100125</v>
      </c>
      <c r="AY204" s="32">
        <f t="shared" si="191"/>
        <v>4.8587702327344419E-2</v>
      </c>
      <c r="AZ204" s="32" t="str">
        <f t="shared" si="166"/>
        <v>1+0.724645600314826i</v>
      </c>
      <c r="BA204" s="32">
        <f t="shared" si="192"/>
        <v>1.2349539449127789</v>
      </c>
      <c r="BB204" s="32">
        <f t="shared" si="193"/>
        <v>0.62707585511856256</v>
      </c>
      <c r="BC204" s="60" t="str">
        <f t="shared" si="194"/>
        <v>-0.323213223933826+0.494959236078239i</v>
      </c>
      <c r="BD204" s="51">
        <f t="shared" si="195"/>
        <v>-4.5661317364209593</v>
      </c>
      <c r="BE204" s="63">
        <f t="shared" si="196"/>
        <v>123.1449296532559</v>
      </c>
      <c r="BF204" s="60" t="str">
        <f t="shared" si="197"/>
        <v>2.38037681969119+2.91035342020351i</v>
      </c>
      <c r="BG204" s="66">
        <f t="shared" si="198"/>
        <v>11.503373148994038</v>
      </c>
      <c r="BH204" s="63">
        <f t="shared" si="199"/>
        <v>50.720281340511164</v>
      </c>
      <c r="BI204" s="60" t="e">
        <f t="shared" si="203"/>
        <v>#NUM!</v>
      </c>
      <c r="BJ204" s="66" t="e">
        <f t="shared" si="200"/>
        <v>#NUM!</v>
      </c>
      <c r="BK204" s="63" t="e">
        <f t="shared" si="204"/>
        <v>#NUM!</v>
      </c>
      <c r="BL204" s="51">
        <f t="shared" si="201"/>
        <v>11.503373148994038</v>
      </c>
      <c r="BM204" s="63">
        <f t="shared" si="202"/>
        <v>50.720281340511164</v>
      </c>
    </row>
    <row r="205" spans="14:65" x14ac:dyDescent="0.3">
      <c r="N205" s="11">
        <v>87</v>
      </c>
      <c r="O205" s="52">
        <f t="shared" si="205"/>
        <v>741.31024130091828</v>
      </c>
      <c r="P205" s="50" t="str">
        <f t="shared" si="155"/>
        <v>21.1560044893378</v>
      </c>
      <c r="Q205" s="18" t="str">
        <f t="shared" si="156"/>
        <v>1+3.24633821735409i</v>
      </c>
      <c r="R205" s="18">
        <f t="shared" si="167"/>
        <v>3.3968679428929427</v>
      </c>
      <c r="S205" s="18">
        <f t="shared" si="168"/>
        <v>1.271980374207659</v>
      </c>
      <c r="T205" s="18" t="str">
        <f t="shared" si="157"/>
        <v>1+0.00465778961620368i</v>
      </c>
      <c r="U205" s="18">
        <f t="shared" si="169"/>
        <v>1.0000108474432208</v>
      </c>
      <c r="V205" s="18">
        <f t="shared" si="170"/>
        <v>4.6577559330538455E-3</v>
      </c>
      <c r="W205" s="32" t="str">
        <f t="shared" si="158"/>
        <v>1-0.00209187119449621i</v>
      </c>
      <c r="X205" s="18">
        <f t="shared" si="171"/>
        <v>1.0000021879601535</v>
      </c>
      <c r="Y205" s="18">
        <f t="shared" si="172"/>
        <v>-2.0918681432136699E-3</v>
      </c>
      <c r="Z205" s="32" t="str">
        <f t="shared" si="159"/>
        <v>0.999999450459126+0.00114169848954859i</v>
      </c>
      <c r="AA205" s="18">
        <f t="shared" si="173"/>
        <v>1.0000001021969924</v>
      </c>
      <c r="AB205" s="18">
        <f t="shared" si="174"/>
        <v>1.1416986208998433E-3</v>
      </c>
      <c r="AC205" s="68" t="str">
        <f t="shared" si="175"/>
        <v>1.841979492619-5.94955789052533i</v>
      </c>
      <c r="AD205" s="66">
        <f t="shared" si="176"/>
        <v>15.88721207585073</v>
      </c>
      <c r="AE205" s="63">
        <f t="shared" si="177"/>
        <v>-72.797507036961434</v>
      </c>
      <c r="AF205" s="51" t="e">
        <f t="shared" si="178"/>
        <v>#NUM!</v>
      </c>
      <c r="AG205" s="51" t="str">
        <f t="shared" si="160"/>
        <v>1-1.99619554980158i</v>
      </c>
      <c r="AH205" s="51">
        <f t="shared" si="179"/>
        <v>2.232665822071819</v>
      </c>
      <c r="AI205" s="51">
        <f t="shared" si="180"/>
        <v>-1.106386668229848</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-0.000133283554228113</v>
      </c>
      <c r="AT205" s="32" t="str">
        <f t="shared" si="164"/>
        <v>0.000284590945550045i</v>
      </c>
      <c r="AU205" s="32">
        <f t="shared" si="188"/>
        <v>2.8459094555004498E-4</v>
      </c>
      <c r="AV205" s="32">
        <f t="shared" si="189"/>
        <v>1.5707963267948966</v>
      </c>
      <c r="AW205" s="32" t="str">
        <f t="shared" si="165"/>
        <v>1+0.0497586175978051i</v>
      </c>
      <c r="AX205" s="32">
        <f t="shared" si="190"/>
        <v>1.0012371946872751</v>
      </c>
      <c r="AY205" s="32">
        <f t="shared" si="191"/>
        <v>4.9717612376732619E-2</v>
      </c>
      <c r="AZ205" s="32" t="str">
        <f t="shared" si="166"/>
        <v>1+0.741524764689242i</v>
      </c>
      <c r="BA205" s="32">
        <f t="shared" si="192"/>
        <v>1.2449333221692782</v>
      </c>
      <c r="BB205" s="32">
        <f t="shared" si="193"/>
        <v>0.63805485585218158</v>
      </c>
      <c r="BC205" s="60" t="str">
        <f t="shared" si="194"/>
        <v>-0.323177295702007+0.484414638793285i</v>
      </c>
      <c r="BD205" s="51">
        <f t="shared" si="195"/>
        <v>-4.6967079279962505</v>
      </c>
      <c r="BE205" s="63">
        <f t="shared" si="196"/>
        <v>123.70924098150394</v>
      </c>
      <c r="BF205" s="60" t="str">
        <f t="shared" si="197"/>
        <v>2.2867669853554+2.81504386026418i</v>
      </c>
      <c r="BG205" s="66">
        <f t="shared" si="198"/>
        <v>11.190504147854465</v>
      </c>
      <c r="BH205" s="63">
        <f t="shared" si="199"/>
        <v>50.91173394454249</v>
      </c>
      <c r="BI205" s="60" t="e">
        <f t="shared" si="203"/>
        <v>#NUM!</v>
      </c>
      <c r="BJ205" s="66" t="e">
        <f t="shared" si="200"/>
        <v>#NUM!</v>
      </c>
      <c r="BK205" s="63" t="e">
        <f t="shared" si="204"/>
        <v>#NUM!</v>
      </c>
      <c r="BL205" s="51">
        <f t="shared" si="201"/>
        <v>11.190504147854465</v>
      </c>
      <c r="BM205" s="63">
        <f t="shared" si="202"/>
        <v>50.91173394454249</v>
      </c>
    </row>
    <row r="206" spans="14:65" x14ac:dyDescent="0.3">
      <c r="N206" s="11">
        <v>88</v>
      </c>
      <c r="O206" s="52">
        <f t="shared" si="205"/>
        <v>758.57757502918378</v>
      </c>
      <c r="P206" s="50" t="str">
        <f t="shared" si="155"/>
        <v>21.1560044893378</v>
      </c>
      <c r="Q206" s="18" t="str">
        <f t="shared" si="156"/>
        <v>1+3.32195514839163i</v>
      </c>
      <c r="R206" s="18">
        <f t="shared" si="167"/>
        <v>3.4692053856648002</v>
      </c>
      <c r="S206" s="18">
        <f t="shared" si="168"/>
        <v>1.2783970980979209</v>
      </c>
      <c r="T206" s="18" t="str">
        <f t="shared" si="157"/>
        <v>1+0.00476628347377929i</v>
      </c>
      <c r="U206" s="18">
        <f t="shared" si="169"/>
        <v>1.0000113586645665</v>
      </c>
      <c r="V206" s="18">
        <f t="shared" si="170"/>
        <v>4.766247381656122E-3</v>
      </c>
      <c r="W206" s="32" t="str">
        <f t="shared" si="158"/>
        <v>1-0.00214059713408194i</v>
      </c>
      <c r="X206" s="18">
        <f t="shared" si="171"/>
        <v>1.0000022910754207</v>
      </c>
      <c r="Y206" s="18">
        <f t="shared" si="172"/>
        <v>-2.1405938645741975E-3</v>
      </c>
      <c r="Z206" s="32" t="str">
        <f t="shared" si="159"/>
        <v>0.999999424560063+0.0011682920636526i</v>
      </c>
      <c r="AA206" s="18">
        <f t="shared" si="173"/>
        <v>1.0000001070133957</v>
      </c>
      <c r="AB206" s="18">
        <f t="shared" si="174"/>
        <v>1.1682922043979988E-3</v>
      </c>
      <c r="AC206" s="68" t="str">
        <f t="shared" si="175"/>
        <v>1.76634901446134-5.83689985333741i</v>
      </c>
      <c r="AD206" s="66">
        <f t="shared" si="176"/>
        <v>15.704190401616881</v>
      </c>
      <c r="AE206" s="63">
        <f t="shared" si="177"/>
        <v>-73.163257610340267</v>
      </c>
      <c r="AF206" s="51" t="e">
        <f t="shared" si="178"/>
        <v>#NUM!</v>
      </c>
      <c r="AG206" s="51" t="str">
        <f t="shared" si="160"/>
        <v>1-2.04269291733398i</v>
      </c>
      <c r="AH206" s="51">
        <f t="shared" si="179"/>
        <v>2.274333826536115</v>
      </c>
      <c r="AI206" s="51">
        <f t="shared" si="180"/>
        <v>-1.1155437375173034</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-0.000133283554228113</v>
      </c>
      <c r="AT206" s="32" t="str">
        <f t="shared" si="164"/>
        <v>0.000291219920247914i</v>
      </c>
      <c r="AU206" s="32">
        <f t="shared" si="188"/>
        <v>2.9121992024791401E-4</v>
      </c>
      <c r="AV206" s="32">
        <f t="shared" si="189"/>
        <v>1.5707963267948966</v>
      </c>
      <c r="AW206" s="32" t="str">
        <f t="shared" si="165"/>
        <v>1+0.0509176446934118i</v>
      </c>
      <c r="AX206" s="32">
        <f t="shared" si="190"/>
        <v>1.0012954641568714</v>
      </c>
      <c r="AY206" s="32">
        <f t="shared" si="191"/>
        <v>5.0873709877040367E-2</v>
      </c>
      <c r="AZ206" s="32" t="str">
        <f t="shared" si="166"/>
        <v>1+0.758797095309136i</v>
      </c>
      <c r="BA206" s="32">
        <f t="shared" si="192"/>
        <v>1.2552979852806194</v>
      </c>
      <c r="BB206" s="32">
        <f t="shared" si="193"/>
        <v>0.64910751715033543</v>
      </c>
      <c r="BC206" s="60" t="str">
        <f t="shared" si="194"/>
        <v>-0.323139682784856+0.474126716445892i</v>
      </c>
      <c r="BD206" s="51">
        <f t="shared" si="195"/>
        <v>-4.8251986045941528</v>
      </c>
      <c r="BE206" s="63">
        <f t="shared" si="196"/>
        <v>124.27627231880254</v>
      </c>
      <c r="BF206" s="60" t="str">
        <f t="shared" si="197"/>
        <v>2.19665270146599+2.72360722537842i</v>
      </c>
      <c r="BG206" s="66">
        <f t="shared" si="198"/>
        <v>10.878991797022728</v>
      </c>
      <c r="BH206" s="63">
        <f t="shared" si="199"/>
        <v>51.113014708462359</v>
      </c>
      <c r="BI206" s="60" t="e">
        <f t="shared" si="203"/>
        <v>#NUM!</v>
      </c>
      <c r="BJ206" s="66" t="e">
        <f t="shared" si="200"/>
        <v>#NUM!</v>
      </c>
      <c r="BK206" s="63" t="e">
        <f t="shared" si="204"/>
        <v>#NUM!</v>
      </c>
      <c r="BL206" s="51">
        <f t="shared" si="201"/>
        <v>10.878991797022728</v>
      </c>
      <c r="BM206" s="63">
        <f t="shared" si="202"/>
        <v>51.113014708462359</v>
      </c>
    </row>
    <row r="207" spans="14:65" x14ac:dyDescent="0.3">
      <c r="N207" s="11">
        <v>89</v>
      </c>
      <c r="O207" s="52">
        <f t="shared" si="205"/>
        <v>776.24711662869231</v>
      </c>
      <c r="P207" s="50" t="str">
        <f t="shared" si="155"/>
        <v>21.1560044893378</v>
      </c>
      <c r="Q207" s="18" t="str">
        <f t="shared" si="156"/>
        <v>1+3.39933342402013i</v>
      </c>
      <c r="R207" s="18">
        <f t="shared" si="167"/>
        <v>3.5433695443264761</v>
      </c>
      <c r="S207" s="18">
        <f t="shared" si="168"/>
        <v>1.2846918041635962</v>
      </c>
      <c r="T207" s="18" t="str">
        <f t="shared" si="157"/>
        <v>1+0.00487730447794192i</v>
      </c>
      <c r="U207" s="18">
        <f t="shared" si="169"/>
        <v>1.0000118939787519</v>
      </c>
      <c r="V207" s="18">
        <f t="shared" si="170"/>
        <v>4.8772658045600215E-3</v>
      </c>
      <c r="W207" s="32" t="str">
        <f t="shared" si="158"/>
        <v>1-0.00219045804660232i</v>
      </c>
      <c r="X207" s="18">
        <f t="shared" si="171"/>
        <v>1.0000023990503493</v>
      </c>
      <c r="Y207" s="18">
        <f t="shared" si="172"/>
        <v>-2.1904545432621086E-3</v>
      </c>
      <c r="Z207" s="32" t="str">
        <f t="shared" si="159"/>
        <v>0.999999397440414+0.00119550508167292i</v>
      </c>
      <c r="AA207" s="18">
        <f t="shared" si="173"/>
        <v>1.0000001120567894</v>
      </c>
      <c r="AB207" s="18">
        <f t="shared" si="174"/>
        <v>1.1955052324843275E-3</v>
      </c>
      <c r="AC207" s="68" t="str">
        <f t="shared" si="175"/>
        <v>1.69356746802822-5.725449987144i</v>
      </c>
      <c r="AD207" s="66">
        <f t="shared" si="176"/>
        <v>15.520467223001278</v>
      </c>
      <c r="AE207" s="63">
        <f t="shared" si="177"/>
        <v>-73.521972812207935</v>
      </c>
      <c r="AF207" s="51" t="e">
        <f t="shared" si="178"/>
        <v>#NUM!</v>
      </c>
      <c r="AG207" s="51" t="str">
        <f t="shared" si="160"/>
        <v>1-2.0902733476894i</v>
      </c>
      <c r="AH207" s="51">
        <f t="shared" si="179"/>
        <v>2.3171626330623951</v>
      </c>
      <c r="AI207" s="51">
        <f t="shared" si="180"/>
        <v>-1.1245724025144597</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-0.000133283554228113</v>
      </c>
      <c r="AT207" s="32" t="str">
        <f t="shared" si="164"/>
        <v>0.000298003303602251i</v>
      </c>
      <c r="AU207" s="32">
        <f t="shared" si="188"/>
        <v>2.98003303602251E-4</v>
      </c>
      <c r="AV207" s="32">
        <f t="shared" si="189"/>
        <v>1.5707963267948966</v>
      </c>
      <c r="AW207" s="32" t="str">
        <f t="shared" si="165"/>
        <v>1+0.0521036689982097i</v>
      </c>
      <c r="AX207" s="32">
        <f t="shared" si="190"/>
        <v>1.0013564761477678</v>
      </c>
      <c r="AY207" s="32">
        <f t="shared" si="191"/>
        <v>5.2056595437883366E-2</v>
      </c>
      <c r="AZ207" s="32" t="str">
        <f t="shared" si="166"/>
        <v>1+0.776471750192831i</v>
      </c>
      <c r="BA207" s="32">
        <f t="shared" si="192"/>
        <v>1.2660601797890645</v>
      </c>
      <c r="BB207" s="32">
        <f t="shared" si="193"/>
        <v>0.66022889801229223</v>
      </c>
      <c r="BC207" s="60" t="str">
        <f t="shared" si="194"/>
        <v>-0.323100306608178+0.464090002282852i</v>
      </c>
      <c r="BD207" s="51">
        <f t="shared" si="195"/>
        <v>-4.9515774912799211</v>
      </c>
      <c r="BE207" s="63">
        <f t="shared" si="196"/>
        <v>124.84570615426694</v>
      </c>
      <c r="BF207" s="60" t="str">
        <f t="shared" si="197"/>
        <v>2.10993192942246+2.6358623764194i</v>
      </c>
      <c r="BG207" s="66">
        <f t="shared" si="198"/>
        <v>10.568889731721365</v>
      </c>
      <c r="BH207" s="63">
        <f t="shared" si="199"/>
        <v>51.323733342059057</v>
      </c>
      <c r="BI207" s="60" t="e">
        <f t="shared" si="203"/>
        <v>#NUM!</v>
      </c>
      <c r="BJ207" s="66" t="e">
        <f t="shared" si="200"/>
        <v>#NUM!</v>
      </c>
      <c r="BK207" s="63" t="e">
        <f t="shared" si="204"/>
        <v>#NUM!</v>
      </c>
      <c r="BL207" s="51">
        <f t="shared" si="201"/>
        <v>10.568889731721365</v>
      </c>
      <c r="BM207" s="63">
        <f t="shared" si="202"/>
        <v>51.323733342059057</v>
      </c>
    </row>
    <row r="208" spans="14:65" x14ac:dyDescent="0.3">
      <c r="N208" s="11">
        <v>90</v>
      </c>
      <c r="O208" s="52">
        <f t="shared" si="205"/>
        <v>794.32823472428208</v>
      </c>
      <c r="P208" s="50" t="str">
        <f t="shared" si="155"/>
        <v>21.1560044893378</v>
      </c>
      <c r="Q208" s="18" t="str">
        <f t="shared" si="156"/>
        <v>1+3.47851407122554i</v>
      </c>
      <c r="R208" s="18">
        <f t="shared" si="167"/>
        <v>3.6194005226990393</v>
      </c>
      <c r="S208" s="18">
        <f t="shared" si="168"/>
        <v>1.2908658338529808</v>
      </c>
      <c r="T208" s="18" t="str">
        <f t="shared" si="157"/>
        <v>1+0.00499091149349751i</v>
      </c>
      <c r="U208" s="18">
        <f t="shared" si="169"/>
        <v>1.0000124545212103</v>
      </c>
      <c r="V208" s="18">
        <f t="shared" si="170"/>
        <v>4.9908700542500807E-3</v>
      </c>
      <c r="W208" s="32" t="str">
        <f t="shared" si="158"/>
        <v>1-0.00224148036897314i</v>
      </c>
      <c r="X208" s="18">
        <f t="shared" si="171"/>
        <v>1.0000025121139668</v>
      </c>
      <c r="Y208" s="18">
        <f t="shared" si="172"/>
        <v>-2.2414766150769803E-3</v>
      </c>
      <c r="Z208" s="32" t="str">
        <f t="shared" si="159"/>
        <v>0.999999369042656+0.00122335197231193i</v>
      </c>
      <c r="AA208" s="18">
        <f t="shared" si="173"/>
        <v>1.0000001173378723</v>
      </c>
      <c r="AB208" s="18">
        <f t="shared" si="174"/>
        <v>1.2233521339092589E-3</v>
      </c>
      <c r="AC208" s="68" t="str">
        <f t="shared" si="175"/>
        <v>1.62354973982277-5.61525521172446i</v>
      </c>
      <c r="AD208" s="66">
        <f t="shared" si="176"/>
        <v>15.336069093248703</v>
      </c>
      <c r="AE208" s="63">
        <f t="shared" si="177"/>
        <v>-73.873728471257266</v>
      </c>
      <c r="AF208" s="51" t="e">
        <f t="shared" si="178"/>
        <v>#NUM!</v>
      </c>
      <c r="AG208" s="51" t="str">
        <f t="shared" si="160"/>
        <v>1-2.13896206864179i</v>
      </c>
      <c r="AH208" s="51">
        <f t="shared" si="179"/>
        <v>2.3611774035612751</v>
      </c>
      <c r="AI208" s="51">
        <f t="shared" si="180"/>
        <v>-1.1334715614549029</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-0.000133283554228113</v>
      </c>
      <c r="AT208" s="32" t="str">
        <f t="shared" si="164"/>
        <v>0.000304944692252698i</v>
      </c>
      <c r="AU208" s="32">
        <f t="shared" si="188"/>
        <v>3.0494469225269801E-4</v>
      </c>
      <c r="AV208" s="32">
        <f t="shared" si="189"/>
        <v>1.5707963267948966</v>
      </c>
      <c r="AW208" s="32" t="str">
        <f t="shared" si="165"/>
        <v>1+0.0533173193579839i</v>
      </c>
      <c r="AX208" s="32">
        <f t="shared" si="190"/>
        <v>1.0014203595611193</v>
      </c>
      <c r="AY208" s="32">
        <f t="shared" si="191"/>
        <v>5.3266882992408372E-2</v>
      </c>
      <c r="AZ208" s="32" t="str">
        <f t="shared" si="166"/>
        <v>1+0.794558100676297i</v>
      </c>
      <c r="BA208" s="32">
        <f t="shared" si="192"/>
        <v>1.2772323889372381</v>
      </c>
      <c r="BB208" s="32">
        <f t="shared" si="193"/>
        <v>0.67141389123230977</v>
      </c>
      <c r="BC208" s="60" t="str">
        <f t="shared" si="194"/>
        <v>-0.323059084973569+0.454299161897094i</v>
      </c>
      <c r="BD208" s="51">
        <f t="shared" si="195"/>
        <v>-5.0758201341760945</v>
      </c>
      <c r="BE208" s="63">
        <f t="shared" si="196"/>
        <v>125.41721469078492</v>
      </c>
      <c r="BF208" s="60" t="str">
        <f t="shared" si="197"/>
        <v>2.02650324316849+2.5516364966925i</v>
      </c>
      <c r="BG208" s="66">
        <f t="shared" si="198"/>
        <v>10.26024895907261</v>
      </c>
      <c r="BH208" s="63">
        <f t="shared" si="199"/>
        <v>51.543486219527686</v>
      </c>
      <c r="BI208" s="60" t="e">
        <f t="shared" si="203"/>
        <v>#NUM!</v>
      </c>
      <c r="BJ208" s="66" t="e">
        <f t="shared" si="200"/>
        <v>#NUM!</v>
      </c>
      <c r="BK208" s="63" t="e">
        <f t="shared" si="204"/>
        <v>#NUM!</v>
      </c>
      <c r="BL208" s="51">
        <f t="shared" si="201"/>
        <v>10.26024895907261</v>
      </c>
      <c r="BM208" s="63">
        <f t="shared" si="202"/>
        <v>51.543486219527686</v>
      </c>
    </row>
    <row r="209" spans="14:65" x14ac:dyDescent="0.3">
      <c r="N209" s="11">
        <v>91</v>
      </c>
      <c r="O209" s="52">
        <f t="shared" si="205"/>
        <v>812.83051616409978</v>
      </c>
      <c r="P209" s="50" t="str">
        <f t="shared" si="155"/>
        <v>21.1560044893378</v>
      </c>
      <c r="Q209" s="18" t="str">
        <f t="shared" si="156"/>
        <v>1+3.55953907263509i</v>
      </c>
      <c r="R209" s="18">
        <f t="shared" si="167"/>
        <v>3.6973393690079193</v>
      </c>
      <c r="S209" s="18">
        <f t="shared" si="168"/>
        <v>1.2969205772307395</v>
      </c>
      <c r="T209" s="18" t="str">
        <f t="shared" si="157"/>
        <v>1+0.00510716475638947i</v>
      </c>
      <c r="U209" s="18">
        <f t="shared" si="169"/>
        <v>1.0000130414808843</v>
      </c>
      <c r="V209" s="18">
        <f t="shared" si="170"/>
        <v>5.1071203534671303E-3</v>
      </c>
      <c r="W209" s="32" t="str">
        <f t="shared" si="158"/>
        <v>1-0.00229369115390509i</v>
      </c>
      <c r="X209" s="18">
        <f t="shared" si="171"/>
        <v>1.0000026305060949</v>
      </c>
      <c r="Y209" s="18">
        <f t="shared" si="172"/>
        <v>-2.2936871315334564E-3</v>
      </c>
      <c r="Z209" s="32" t="str">
        <f t="shared" si="159"/>
        <v>0.999999339306552+0.00125184750035964i</v>
      </c>
      <c r="AA209" s="18">
        <f t="shared" si="173"/>
        <v>1.0000001228678448</v>
      </c>
      <c r="AB209" s="18">
        <f t="shared" si="174"/>
        <v>1.2518476735142918E-3</v>
      </c>
      <c r="AC209" s="68" t="str">
        <f t="shared" si="175"/>
        <v>1.55621141880155-5.50635793936345i</v>
      </c>
      <c r="AD209" s="66">
        <f t="shared" si="176"/>
        <v>15.151021764358081</v>
      </c>
      <c r="AE209" s="63">
        <f t="shared" si="177"/>
        <v>-74.218603177718833</v>
      </c>
      <c r="AF209" s="51" t="e">
        <f t="shared" si="178"/>
        <v>#NUM!</v>
      </c>
      <c r="AG209" s="51" t="str">
        <f t="shared" si="160"/>
        <v>1-2.18878489559549i</v>
      </c>
      <c r="AH209" s="51">
        <f t="shared" si="179"/>
        <v>2.4064038146551714</v>
      </c>
      <c r="AI209" s="51">
        <f t="shared" si="180"/>
        <v>-1.1422402936317535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-0.000133283554228113</v>
      </c>
      <c r="AT209" s="32" t="str">
        <f t="shared" si="164"/>
        <v>0.000312047766615397i</v>
      </c>
      <c r="AU209" s="32">
        <f t="shared" si="188"/>
        <v>3.1204776661539701E-4</v>
      </c>
      <c r="AV209" s="32">
        <f t="shared" si="189"/>
        <v>1.5707963267948966</v>
      </c>
      <c r="AW209" s="32" t="str">
        <f t="shared" si="165"/>
        <v>1+0.0545592392662199i</v>
      </c>
      <c r="AX209" s="32">
        <f t="shared" si="190"/>
        <v>1.0014872493393556</v>
      </c>
      <c r="AY209" s="32">
        <f t="shared" si="191"/>
        <v>5.4505200060458468E-2</v>
      </c>
      <c r="AZ209" s="32" t="str">
        <f t="shared" si="166"/>
        <v>1+0.813065736381959i</v>
      </c>
      <c r="BA209" s="32">
        <f t="shared" si="192"/>
        <v>1.288827331987624</v>
      </c>
      <c r="BB209" s="32">
        <f t="shared" si="193"/>
        <v>0.6826572335087352</v>
      </c>
      <c r="BC209" s="60" t="str">
        <f t="shared" si="194"/>
        <v>-0.323015931895151+0.444748990339612i</v>
      </c>
      <c r="BD209" s="51">
        <f t="shared" si="195"/>
        <v>-5.197904000213307</v>
      </c>
      <c r="BE209" s="63">
        <f t="shared" si="196"/>
        <v>125.99046040914672</v>
      </c>
      <c r="BF209" s="60" t="str">
        <f t="shared" si="197"/>
        <v>1.94626605231034+2.47076479839871i</v>
      </c>
      <c r="BG209" s="66">
        <f t="shared" si="198"/>
        <v>9.9531177641447659</v>
      </c>
      <c r="BH209" s="63">
        <f t="shared" si="199"/>
        <v>51.771857231427923</v>
      </c>
      <c r="BI209" s="60" t="e">
        <f t="shared" si="203"/>
        <v>#NUM!</v>
      </c>
      <c r="BJ209" s="66" t="e">
        <f t="shared" si="200"/>
        <v>#NUM!</v>
      </c>
      <c r="BK209" s="63" t="e">
        <f t="shared" si="204"/>
        <v>#NUM!</v>
      </c>
      <c r="BL209" s="51">
        <f t="shared" si="201"/>
        <v>9.9531177641447659</v>
      </c>
      <c r="BM209" s="63">
        <f t="shared" si="202"/>
        <v>51.771857231427923</v>
      </c>
    </row>
    <row r="210" spans="14:65" x14ac:dyDescent="0.3">
      <c r="N210" s="11">
        <v>92</v>
      </c>
      <c r="O210" s="52">
        <f t="shared" si="205"/>
        <v>831.7637711026714</v>
      </c>
      <c r="P210" s="50" t="str">
        <f t="shared" si="155"/>
        <v>21.1560044893378</v>
      </c>
      <c r="Q210" s="18" t="str">
        <f t="shared" si="156"/>
        <v>1+3.64245138877702i</v>
      </c>
      <c r="R210" s="18">
        <f t="shared" si="167"/>
        <v>3.7772281000230365</v>
      </c>
      <c r="S210" s="18">
        <f t="shared" si="168"/>
        <v>1.3028574681763878</v>
      </c>
      <c r="T210" s="18" t="str">
        <f t="shared" si="157"/>
        <v>1+0.00522612590563659i</v>
      </c>
      <c r="U210" s="18">
        <f t="shared" si="169"/>
        <v>1.0000136561027462</v>
      </c>
      <c r="V210" s="18">
        <f t="shared" si="170"/>
        <v>5.2260783270831846E-3</v>
      </c>
      <c r="W210" s="32" t="str">
        <f t="shared" si="158"/>
        <v>1-0.00234711808424744i</v>
      </c>
      <c r="X210" s="18">
        <f t="shared" si="171"/>
        <v>1.0000027544778571</v>
      </c>
      <c r="Y210" s="18">
        <f t="shared" si="172"/>
        <v>-2.3471137741992226E-3</v>
      </c>
      <c r="Z210" s="32" t="str">
        <f t="shared" si="159"/>
        <v>0.999999308169029+0.0012810067745222i</v>
      </c>
      <c r="AA210" s="18">
        <f t="shared" si="173"/>
        <v>1.0000001286584383</v>
      </c>
      <c r="AB210" s="18">
        <f t="shared" si="174"/>
        <v>1.2810069600607454E-3</v>
      </c>
      <c r="AC210" s="68" t="str">
        <f t="shared" si="175"/>
        <v>1.49146896551606-5.39879627070742i</v>
      </c>
      <c r="AD210" s="66">
        <f t="shared" si="176"/>
        <v>14.965350194566337</v>
      </c>
      <c r="AE210" s="63">
        <f t="shared" si="177"/>
        <v>-74.556678007697357</v>
      </c>
      <c r="AF210" s="51" t="e">
        <f t="shared" si="178"/>
        <v>#NUM!</v>
      </c>
      <c r="AG210" s="51" t="str">
        <f t="shared" si="160"/>
        <v>1-2.23976824527283i</v>
      </c>
      <c r="AH210" s="51">
        <f t="shared" si="179"/>
        <v>2.4528680748325074</v>
      </c>
      <c r="AI210" s="51">
        <f t="shared" si="180"/>
        <v>-1.1508778534496942</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-0.000133283554228113</v>
      </c>
      <c r="AT210" s="32" t="str">
        <f t="shared" si="164"/>
        <v>0.000319316292834396i</v>
      </c>
      <c r="AU210" s="32">
        <f t="shared" si="188"/>
        <v>3.1931629283439599E-4</v>
      </c>
      <c r="AV210" s="32">
        <f t="shared" si="189"/>
        <v>1.5707963267948966</v>
      </c>
      <c r="AW210" s="32" t="str">
        <f t="shared" si="165"/>
        <v>1+0.0558300872052918i</v>
      </c>
      <c r="AX210" s="32">
        <f t="shared" si="190"/>
        <v>1.0015572867476681</v>
      </c>
      <c r="AY210" s="32">
        <f t="shared" si="191"/>
        <v>5.5772188014551471E-2</v>
      </c>
      <c r="AZ210" s="32" t="str">
        <f t="shared" si="166"/>
        <v>1+0.83200447030325i</v>
      </c>
      <c r="BA210" s="32">
        <f t="shared" si="192"/>
        <v>1.3008579625018988</v>
      </c>
      <c r="BB210" s="32">
        <f t="shared" si="193"/>
        <v>0.69395351645229619</v>
      </c>
      <c r="BC210" s="60" t="str">
        <f t="shared" si="194"/>
        <v>-0.322970757429329+0.435434409295853i</v>
      </c>
      <c r="BD210" s="51">
        <f t="shared" si="195"/>
        <v>-5.3178085714694472</v>
      </c>
      <c r="BE210" s="63">
        <f t="shared" si="196"/>
        <v>126.56509668353507</v>
      </c>
      <c r="BF210" s="60" t="str">
        <f t="shared" si="197"/>
        <v>1.86912080356908+2.39309022873959i</v>
      </c>
      <c r="BG210" s="66">
        <f t="shared" si="198"/>
        <v>9.6475416230968811</v>
      </c>
      <c r="BH210" s="63">
        <f t="shared" si="199"/>
        <v>52.00841867583766</v>
      </c>
      <c r="BI210" s="60" t="e">
        <f t="shared" si="203"/>
        <v>#NUM!</v>
      </c>
      <c r="BJ210" s="66" t="e">
        <f t="shared" si="200"/>
        <v>#NUM!</v>
      </c>
      <c r="BK210" s="63" t="e">
        <f t="shared" si="204"/>
        <v>#NUM!</v>
      </c>
      <c r="BL210" s="51">
        <f t="shared" si="201"/>
        <v>9.6475416230968811</v>
      </c>
      <c r="BM210" s="63">
        <f t="shared" si="202"/>
        <v>52.00841867583766</v>
      </c>
    </row>
    <row r="211" spans="14:65" x14ac:dyDescent="0.3">
      <c r="N211" s="11">
        <v>93</v>
      </c>
      <c r="O211" s="52">
        <f t="shared" si="205"/>
        <v>851.13803820237763</v>
      </c>
      <c r="P211" s="50" t="str">
        <f t="shared" ref="P211:P274" si="206">COMPLEX(Adc,0)</f>
        <v>21.1560044893378</v>
      </c>
      <c r="Q211" s="18" t="str">
        <f t="shared" ref="Q211:Q274" si="207">IMSUM(COMPLEX(1,0),IMDIV(COMPLEX(0,2*PI()*O211),COMPLEX(wp_lf,0)))</f>
        <v>1+3.72729498085883i</v>
      </c>
      <c r="R211" s="18">
        <f t="shared" si="167"/>
        <v>3.8591097256148887</v>
      </c>
      <c r="S211" s="18">
        <f t="shared" si="168"/>
        <v>1.3086779797963057</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1-0.00240178948766584i</v>
      </c>
      <c r="X211" s="18">
        <f t="shared" si="171"/>
        <v>1.000002884292212</v>
      </c>
      <c r="Y211" s="18">
        <f t="shared" si="172"/>
        <v>-2.4017848693666886E-3</v>
      </c>
      <c r="Z211" s="32" t="str">
        <f t="shared" ref="Z211:Z274" si="210">IMSUM(COMPLEX(1,0),IMDIV(COMPLEX(0,2*PI()*O211),COMPLEX(Q*(wsl/2),0)),IMDIV(IMPOWER(COMPLEX(0,2*PI()*O211),2),IMPOWER(COMPLEX(wsl/2,0),2)))</f>
        <v>0.99999927556404+0.00131084525543274i</v>
      </c>
      <c r="AA211" s="18">
        <f t="shared" si="173"/>
        <v>1.0000001347219352</v>
      </c>
      <c r="AB211" s="18">
        <f t="shared" si="174"/>
        <v>1.3108454542408656E-3</v>
      </c>
      <c r="AC211" s="68" t="str">
        <f t="shared" si="175"/>
        <v>1.42923986389947-5.29260419093108i</v>
      </c>
      <c r="AD211" s="66">
        <f t="shared" si="176"/>
        <v>14.779078557349791</v>
      </c>
      <c r="AE211" s="63">
        <f t="shared" si="177"/>
        <v>-74.888036259730626</v>
      </c>
      <c r="AF211" s="51" t="e">
        <f t="shared" si="178"/>
        <v>#NUM!</v>
      </c>
      <c r="AG211" s="51" t="str">
        <f t="shared" ref="AG211:AG274" si="211">IMSUM(COMPLEX(1,0),IMDIV(COMPLEX(0,2*PI()*O211),COMPLEX(wp_lf_DCM,0)))</f>
        <v>1-2.29193914972065i</v>
      </c>
      <c r="AH211" s="51">
        <f t="shared" si="179"/>
        <v>2.5005969419365077</v>
      </c>
      <c r="AI211" s="51">
        <f t="shared" si="180"/>
        <v>-1.1593836642098381</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-0.000133283554228113</v>
      </c>
      <c r="AT211" s="32" t="str">
        <f t="shared" ref="AT211:AT274" si="215">COMPLEX(0,2*PI()*O211*wp0_ea)</f>
        <v>0.000326754124778506i</v>
      </c>
      <c r="AU211" s="32">
        <f t="shared" si="188"/>
        <v>3.26754124778506E-4</v>
      </c>
      <c r="AV211" s="32">
        <f t="shared" si="189"/>
        <v>1.5707963267948966</v>
      </c>
      <c r="AW211" s="32" t="str">
        <f t="shared" ref="AW211:AW274" si="216">IMSUM(COMPLEX(1,0),IMDIV(COMPLEX(0,2*PI()*O211),COMPLEX(wp1_ea,0)))</f>
        <v>1+0.0571305369955986i</v>
      </c>
      <c r="AX211" s="32">
        <f t="shared" si="190"/>
        <v>1.001630619668451</v>
      </c>
      <c r="AY211" s="32">
        <f t="shared" si="191"/>
        <v>5.7068502348509187E-2</v>
      </c>
      <c r="AZ211" s="32" t="str">
        <f t="shared" ref="AZ211:AZ274" si="217">IMSUM(COMPLEX(1,0),IMDIV(COMPLEX(0,2*PI()*O211),COMPLEX(wz_ea,0)))</f>
        <v>1+0.851384344007578i</v>
      </c>
      <c r="BA211" s="32">
        <f t="shared" si="192"/>
        <v>1.3133374666174775</v>
      </c>
      <c r="BB211" s="32">
        <f t="shared" si="193"/>
        <v>0.70529719844715966</v>
      </c>
      <c r="BC211" s="60" t="str">
        <f t="shared" si="194"/>
        <v>-0.322923467497301+0.426350464324838i</v>
      </c>
      <c r="BD211" s="51">
        <f t="shared" si="195"/>
        <v>-5.4355154333693232</v>
      </c>
      <c r="BE211" s="63">
        <f t="shared" si="196"/>
        <v>127.14076844572112</v>
      </c>
      <c r="BF211" s="60" t="str">
        <f t="shared" si="197"/>
        <v>1.79496916155526+2.31846317703132i</v>
      </c>
      <c r="BG211" s="66">
        <f t="shared" si="198"/>
        <v>9.3435631239804682</v>
      </c>
      <c r="BH211" s="63">
        <f t="shared" si="199"/>
        <v>52.252732185990553</v>
      </c>
      <c r="BI211" s="60" t="e">
        <f t="shared" si="203"/>
        <v>#NUM!</v>
      </c>
      <c r="BJ211" s="66" t="e">
        <f t="shared" si="200"/>
        <v>#NUM!</v>
      </c>
      <c r="BK211" s="63" t="e">
        <f t="shared" si="204"/>
        <v>#NUM!</v>
      </c>
      <c r="BL211" s="51">
        <f t="shared" si="201"/>
        <v>9.3435631239804682</v>
      </c>
      <c r="BM211" s="63">
        <f t="shared" si="202"/>
        <v>52.252732185990553</v>
      </c>
    </row>
    <row r="212" spans="14:65" x14ac:dyDescent="0.3">
      <c r="N212" s="11">
        <v>94</v>
      </c>
      <c r="O212" s="52">
        <f t="shared" si="205"/>
        <v>870.96358995608091</v>
      </c>
      <c r="P212" s="50" t="str">
        <f t="shared" si="206"/>
        <v>21.1560044893378</v>
      </c>
      <c r="Q212" s="18" t="str">
        <f t="shared" si="207"/>
        <v>1+3.81411483407606i</v>
      </c>
      <c r="R212" s="18">
        <f t="shared" ref="R212:R275" si="218">IMABS(Q212)</f>
        <v>3.943028273740762</v>
      </c>
      <c r="S212" s="18">
        <f t="shared" ref="S212:S275" si="219">IMARGUMENT(Q212)</f>
        <v>1.3143836200490335</v>
      </c>
      <c r="T212" s="18" t="str">
        <f t="shared" si="208"/>
        <v>1+0.00547242563150043i</v>
      </c>
      <c r="U212" s="18">
        <f t="shared" ref="U212:U275" si="220">IMABS(T212)</f>
        <v>1.0000149736090416</v>
      </c>
      <c r="V212" s="18">
        <f t="shared" ref="V212:V275" si="221">IMARGUMENT(T212)</f>
        <v>5.4723710040983971E-3</v>
      </c>
      <c r="W212" s="32" t="str">
        <f t="shared" si="209"/>
        <v>1-0.00245773435166203i</v>
      </c>
      <c r="X212" s="18">
        <f t="shared" ref="X212:X275" si="222">IMABS(W212)</f>
        <v>1.0000030202245107</v>
      </c>
      <c r="Y212" s="18">
        <f t="shared" ref="Y212:Y275" si="223">IMARGUMENT(W212)</f>
        <v>-2.4577294030661387E-3</v>
      </c>
      <c r="Z212" s="32" t="str">
        <f t="shared" si="210"/>
        <v>0.999999241422425+0.00134137876384879i</v>
      </c>
      <c r="AA212" s="18">
        <f t="shared" ref="AA212:AA275" si="224">IMABS(Z212)</f>
        <v>1.0000001410711969</v>
      </c>
      <c r="AB212" s="18">
        <f t="shared" ref="AB212:AB275" si="225">IMARGUMENT(Z212)</f>
        <v>1.3413789768755261E-3</v>
      </c>
      <c r="AC212" s="68" t="str">
        <f t="shared" ref="AC212:AC275" si="226">(IMDIV(IMPRODUCT(P212,T212,W212),IMPRODUCT(Q212,Z212)))</f>
        <v>1.36944275656035-5.18781176516399i</v>
      </c>
      <c r="AD212" s="66">
        <f t="shared" ref="AD212:AD275" si="227">20*LOG(IMABS(AC212))</f>
        <v>14.59223025178451</v>
      </c>
      <c r="AE212" s="63">
        <f t="shared" ref="AE212:AE275" si="228">(180/PI())*IMARGUMENT(AC212)</f>
        <v>-75.212763203555212</v>
      </c>
      <c r="AF212" s="51" t="e">
        <f t="shared" ref="AF212:AF275" si="229">COMPLEX($B$68,0)</f>
        <v>#NUM!</v>
      </c>
      <c r="AG212" s="51" t="str">
        <f t="shared" si="211"/>
        <v>1-2.34532527064305i</v>
      </c>
      <c r="AH212" s="51">
        <f t="shared" ref="AH212:AH275" si="230">IMABS(AG212)</f>
        <v>2.5496177409793996</v>
      </c>
      <c r="AI212" s="51">
        <f t="shared" ref="AI212:AI275" si="231">IMARGUMENT(AG212)</f>
        <v>-1.167757311676396</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-0.000133283554228113</v>
      </c>
      <c r="AT212" s="32" t="str">
        <f t="shared" si="215"/>
        <v>0.000334365206084676i</v>
      </c>
      <c r="AU212" s="32">
        <f t="shared" ref="AU212:AU275" si="239">IMABS(AT212)</f>
        <v>3.34365206084676E-4</v>
      </c>
      <c r="AV212" s="32">
        <f t="shared" ref="AV212:AV275" si="240">IMARGUMENT(AT212)</f>
        <v>1.5707963267948966</v>
      </c>
      <c r="AW212" s="32" t="str">
        <f t="shared" si="216"/>
        <v>1+0.0584612781528323i</v>
      </c>
      <c r="AX212" s="32">
        <f t="shared" ref="AX212:AX275" si="241">IMABS(AW212)</f>
        <v>1.0017074029092841</v>
      </c>
      <c r="AY212" s="32">
        <f t="shared" ref="AY212:AY275" si="242">IMARGUMENT(AW212)</f>
        <v>5.8394812948551839E-2</v>
      </c>
      <c r="AZ212" s="32" t="str">
        <f t="shared" si="217"/>
        <v>1+0.871215632960499i</v>
      </c>
      <c r="BA212" s="32">
        <f t="shared" ref="BA212:BA275" si="243">IMABS(AZ212)</f>
        <v>1.3262792613604282</v>
      </c>
      <c r="BB212" s="32">
        <f t="shared" ref="BB212:BB275" si="244">IMARGUMENT(AZ212)</f>
        <v>0.71668261730935601</v>
      </c>
      <c r="BC212" s="60" t="str">
        <f t="shared" ref="BC212:BC275" si="245">IMPRODUCT(AS212,IMDIV(AZ212,IMPRODUCT(AT212,AW212)))</f>
        <v>-0.322873963700081+0.417492322159193i</v>
      </c>
      <c r="BD212" s="51">
        <f t="shared" ref="BD212:BD275" si="246">20*LOG(IMABS(BC212))</f>
        <v>-5.5510083560521526</v>
      </c>
      <c r="BE212" s="63">
        <f t="shared" ref="BE212:BE275" si="247">(180/PI())*IMARGUMENT(BC212)</f>
        <v>127.71711289480774</v>
      </c>
      <c r="BF212" s="60" t="str">
        <f t="shared" ref="BF212:BF275" si="248">IMPRODUCT(AC212,BC212)</f>
        <v>1.72371416989209+2.24674118404888i</v>
      </c>
      <c r="BG212" s="66">
        <f t="shared" ref="BG212:BG275" si="249">20*LOG(IMABS(BF212))</f>
        <v>9.0412218957323613</v>
      </c>
      <c r="BH212" s="63">
        <f t="shared" ref="BH212:BH275" si="250">(180/PI())*IMARGUMENT(BF212)</f>
        <v>52.504349691252571</v>
      </c>
      <c r="BI212" s="60" t="e">
        <f t="shared" si="203"/>
        <v>#NUM!</v>
      </c>
      <c r="BJ212" s="66" t="e">
        <f t="shared" ref="BJ212:BJ275" si="251">20*LOG(IMABS(BI212))</f>
        <v>#NUM!</v>
      </c>
      <c r="BK212" s="63" t="e">
        <f t="shared" si="204"/>
        <v>#NUM!</v>
      </c>
      <c r="BL212" s="51">
        <f t="shared" ref="BL212:BL275" si="252">IF($B$31=0,BJ212,BG212)</f>
        <v>9.0412218957323613</v>
      </c>
      <c r="BM212" s="63">
        <f t="shared" ref="BM212:BM275" si="253">IF($B$31=0,BK212,BH212)</f>
        <v>52.504349691252571</v>
      </c>
    </row>
    <row r="213" spans="14:65" x14ac:dyDescent="0.3">
      <c r="N213" s="11">
        <v>95</v>
      </c>
      <c r="O213" s="52">
        <f t="shared" si="205"/>
        <v>891.25093813374656</v>
      </c>
      <c r="P213" s="50" t="str">
        <f t="shared" si="206"/>
        <v>21.1560044893378</v>
      </c>
      <c r="Q213" s="18" t="str">
        <f t="shared" si="207"/>
        <v>1+3.90295698146411i</v>
      </c>
      <c r="R213" s="18">
        <f t="shared" si="218"/>
        <v>4.0290288158760346</v>
      </c>
      <c r="S213" s="18">
        <f t="shared" si="219"/>
        <v>1.3199759275825345</v>
      </c>
      <c r="T213" s="18" t="str">
        <f t="shared" si="208"/>
        <v>1+0.00559989479949198i</v>
      </c>
      <c r="U213" s="18">
        <f t="shared" si="220"/>
        <v>1.0000156792879626</v>
      </c>
      <c r="V213" s="18">
        <f t="shared" si="221"/>
        <v>5.5998362652256743E-3</v>
      </c>
      <c r="W213" s="32" t="str">
        <f t="shared" si="209"/>
        <v>1-0.00251498233894344i</v>
      </c>
      <c r="X213" s="18">
        <f t="shared" si="222"/>
        <v>1.0000031625630816</v>
      </c>
      <c r="Y213" s="18">
        <f t="shared" si="223"/>
        <v>-2.5149770364283146E-3</v>
      </c>
      <c r="Z213" s="32" t="str">
        <f t="shared" si="210"/>
        <v>0.999999205671765+0.00137262348904069i</v>
      </c>
      <c r="AA213" s="18">
        <f t="shared" si="224"/>
        <v>1.0000001477196909</v>
      </c>
      <c r="AB213" s="18">
        <f t="shared" si="225"/>
        <v>1.3726237173029411E-3</v>
      </c>
      <c r="AC213" s="68" t="str">
        <f t="shared" si="226"/>
        <v>1.31199756446462-5.08444533224436i</v>
      </c>
      <c r="AD213" s="66">
        <f t="shared" si="227"/>
        <v>14.404827914112461</v>
      </c>
      <c r="AE213" s="63">
        <f t="shared" si="228"/>
        <v>-75.530945841004154</v>
      </c>
      <c r="AF213" s="51" t="e">
        <f t="shared" si="229"/>
        <v>#NUM!</v>
      </c>
      <c r="AG213" s="51" t="str">
        <f t="shared" si="211"/>
        <v>1-2.39995491406799i</v>
      </c>
      <c r="AH213" s="51">
        <f t="shared" si="230"/>
        <v>2.5999583822744343</v>
      </c>
      <c r="AI213" s="51">
        <f t="shared" si="231"/>
        <v>-1.175998537471806</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-0.000133283554228113</v>
      </c>
      <c r="AT213" s="32" t="str">
        <f t="shared" si="215"/>
        <v>0.00034215357224896i</v>
      </c>
      <c r="AU213" s="32">
        <f t="shared" si="239"/>
        <v>3.4215357224896001E-4</v>
      </c>
      <c r="AV213" s="32">
        <f t="shared" si="240"/>
        <v>1.5707963267948966</v>
      </c>
      <c r="AW213" s="32" t="str">
        <f t="shared" si="216"/>
        <v>1+0.0598230162535693i</v>
      </c>
      <c r="AX213" s="32">
        <f t="shared" si="241"/>
        <v>1.0017877985250543</v>
      </c>
      <c r="AY213" s="32">
        <f t="shared" si="242"/>
        <v>5.9751804366655246E-2</v>
      </c>
      <c r="AZ213" s="32" t="str">
        <f t="shared" si="217"/>
        <v>1+0.891508851973922i</v>
      </c>
      <c r="BA213" s="32">
        <f t="shared" si="243"/>
        <v>1.3396969930353133</v>
      </c>
      <c r="BB213" s="32">
        <f t="shared" si="244"/>
        <v>0.72810400367851125</v>
      </c>
      <c r="BC213" s="60" t="str">
        <f t="shared" si="245"/>
        <v>-0.322822143125728+0.408855268064377i</v>
      </c>
      <c r="BD213" s="51">
        <f t="shared" si="246"/>
        <v>-5.6642733682571151</v>
      </c>
      <c r="BE213" s="63">
        <f t="shared" si="247"/>
        <v>128.29376024885568</v>
      </c>
      <c r="BF213" s="60" t="str">
        <f t="shared" si="248"/>
        <v>1.65526039373723+2.17778865467972i</v>
      </c>
      <c r="BG213" s="66">
        <f t="shared" si="249"/>
        <v>8.7405545458553373</v>
      </c>
      <c r="BH213" s="63">
        <f t="shared" si="250"/>
        <v>52.762814407851579</v>
      </c>
      <c r="BI213" s="60" t="e">
        <f t="shared" si="203"/>
        <v>#NUM!</v>
      </c>
      <c r="BJ213" s="66" t="e">
        <f t="shared" si="251"/>
        <v>#NUM!</v>
      </c>
      <c r="BK213" s="63" t="e">
        <f t="shared" si="204"/>
        <v>#NUM!</v>
      </c>
      <c r="BL213" s="51">
        <f t="shared" si="252"/>
        <v>8.7405545458553373</v>
      </c>
      <c r="BM213" s="63">
        <f t="shared" si="253"/>
        <v>52.762814407851579</v>
      </c>
    </row>
    <row r="214" spans="14:65" x14ac:dyDescent="0.3">
      <c r="N214" s="11">
        <v>96</v>
      </c>
      <c r="O214" s="52">
        <f t="shared" si="205"/>
        <v>912.01083935590987</v>
      </c>
      <c r="P214" s="50" t="str">
        <f t="shared" si="206"/>
        <v>21.1560044893378</v>
      </c>
      <c r="Q214" s="18" t="str">
        <f t="shared" si="207"/>
        <v>1+3.99386852830546i</v>
      </c>
      <c r="R214" s="18">
        <f t="shared" si="218"/>
        <v>4.1171574929056121</v>
      </c>
      <c r="S214" s="18">
        <f t="shared" si="219"/>
        <v>1.3254564677811309</v>
      </c>
      <c r="T214" s="18" t="str">
        <f t="shared" si="208"/>
        <v>1+0.00573033310582957i</v>
      </c>
      <c r="U214" s="18">
        <f t="shared" si="220"/>
        <v>1.0000164182239728</v>
      </c>
      <c r="V214" s="18">
        <f t="shared" si="221"/>
        <v>5.7302703852888208E-3</v>
      </c>
      <c r="W214" s="32" t="str">
        <f t="shared" si="209"/>
        <v>1-0.00257356380315068i</v>
      </c>
      <c r="X214" s="18">
        <f t="shared" si="222"/>
        <v>1.000003311609841</v>
      </c>
      <c r="Y214" s="18">
        <f t="shared" si="223"/>
        <v>-2.5735581214043732E-3</v>
      </c>
      <c r="Z214" s="32" t="str">
        <f t="shared" si="210"/>
        <v>0.999999168236229+0.0014045959973753i</v>
      </c>
      <c r="AA214" s="18">
        <f t="shared" si="224"/>
        <v>1.0000001546815209</v>
      </c>
      <c r="AB214" s="18">
        <f t="shared" si="225"/>
        <v>1.4045962419626974E-3</v>
      </c>
      <c r="AC214" s="68" t="str">
        <f t="shared" si="226"/>
        <v>1.25682559189778-4.98252769598076i</v>
      </c>
      <c r="AD214" s="66">
        <f t="shared" si="227"/>
        <v>14.216893430370739</v>
      </c>
      <c r="AE214" s="63">
        <f t="shared" si="228"/>
        <v>-75.842672678903284</v>
      </c>
      <c r="AF214" s="51" t="e">
        <f t="shared" si="229"/>
        <v>#NUM!</v>
      </c>
      <c r="AG214" s="51" t="str">
        <f t="shared" si="211"/>
        <v>1-2.45585704535553i</v>
      </c>
      <c r="AH214" s="51">
        <f t="shared" si="230"/>
        <v>2.6516473798796087</v>
      </c>
      <c r="AI214" s="51">
        <f t="shared" si="231"/>
        <v>-1.1841072323444366</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-0.000133283554228113</v>
      </c>
      <c r="AT214" s="32" t="str">
        <f t="shared" si="215"/>
        <v>0.000350123352766187i</v>
      </c>
      <c r="AU214" s="32">
        <f t="shared" si="239"/>
        <v>3.5012335276618701E-4</v>
      </c>
      <c r="AV214" s="32">
        <f t="shared" si="240"/>
        <v>1.5707963267948966</v>
      </c>
      <c r="AW214" s="32" t="str">
        <f t="shared" si="216"/>
        <v>1+0.061216473309375i</v>
      </c>
      <c r="AX214" s="32">
        <f t="shared" si="241"/>
        <v>1.0018719761548565</v>
      </c>
      <c r="AY214" s="32">
        <f t="shared" si="242"/>
        <v>6.1140176095939483E-2</v>
      </c>
      <c r="AZ214" s="32" t="str">
        <f t="shared" si="217"/>
        <v>1+0.912274760781173i</v>
      </c>
      <c r="BA214" s="32">
        <f t="shared" si="243"/>
        <v>1.3536045357335156</v>
      </c>
      <c r="BB214" s="32">
        <f t="shared" si="244"/>
        <v>0.73955549507066287</v>
      </c>
      <c r="BC214" s="60" t="str">
        <f t="shared" si="245"/>
        <v>-0.322767898148522+0.40043470325534i</v>
      </c>
      <c r="BD214" s="51">
        <f t="shared" si="246"/>
        <v>-5.7752988231302247</v>
      </c>
      <c r="BE214" s="63">
        <f t="shared" si="247"/>
        <v>128.8703345342731</v>
      </c>
      <c r="BF214" s="60" t="str">
        <f t="shared" si="248"/>
        <v>1.58951404476545+2.11147657483381i</v>
      </c>
      <c r="BG214" s="66">
        <f t="shared" si="249"/>
        <v>8.441594607240507</v>
      </c>
      <c r="BH214" s="63">
        <f t="shared" si="250"/>
        <v>53.027661855369793</v>
      </c>
      <c r="BI214" s="60" t="e">
        <f t="shared" si="203"/>
        <v>#NUM!</v>
      </c>
      <c r="BJ214" s="66" t="e">
        <f t="shared" si="251"/>
        <v>#NUM!</v>
      </c>
      <c r="BK214" s="63" t="e">
        <f t="shared" si="204"/>
        <v>#NUM!</v>
      </c>
      <c r="BL214" s="51">
        <f t="shared" si="252"/>
        <v>8.441594607240507</v>
      </c>
      <c r="BM214" s="63">
        <f t="shared" si="253"/>
        <v>53.027661855369793</v>
      </c>
    </row>
    <row r="215" spans="14:65" x14ac:dyDescent="0.3">
      <c r="N215" s="11">
        <v>97</v>
      </c>
      <c r="O215" s="52">
        <f t="shared" si="205"/>
        <v>933.25430079699106</v>
      </c>
      <c r="P215" s="50" t="str">
        <f t="shared" si="206"/>
        <v>21.1560044893378</v>
      </c>
      <c r="Q215" s="18" t="str">
        <f t="shared" si="207"/>
        <v>1+4.08689767710563i</v>
      </c>
      <c r="R215" s="18">
        <f t="shared" si="218"/>
        <v>4.2074615414916616</v>
      </c>
      <c r="S215" s="18">
        <f t="shared" si="219"/>
        <v>1.3308268290190259</v>
      </c>
      <c r="T215" s="18" t="str">
        <f t="shared" si="208"/>
        <v>1+0.00586380971062981i</v>
      </c>
      <c r="U215" s="18">
        <f t="shared" si="220"/>
        <v>1.000017191984379</v>
      </c>
      <c r="V215" s="18">
        <f t="shared" si="221"/>
        <v>5.8637425044219642E-3</v>
      </c>
      <c r="W215" s="32" t="str">
        <f t="shared" si="209"/>
        <v>1-0.0026335098049515i</v>
      </c>
      <c r="X215" s="18">
        <f t="shared" si="222"/>
        <v>1.000003467680934</v>
      </c>
      <c r="Y215" s="18">
        <f t="shared" si="223"/>
        <v>-2.6335037168517847E-3</v>
      </c>
      <c r="Z215" s="32" t="str">
        <f t="shared" si="210"/>
        <v>0.99999912903641+0.00143731324109974i</v>
      </c>
      <c r="AA215" s="18">
        <f t="shared" si="224"/>
        <v>1.0000001619714527</v>
      </c>
      <c r="AB215" s="18">
        <f t="shared" si="225"/>
        <v>1.4373135031798463E-3</v>
      </c>
      <c r="AC215" s="68" t="str">
        <f t="shared" si="226"/>
        <v>1.20384961760006-4.88207831320819i</v>
      </c>
      <c r="AD215" s="66">
        <f t="shared" si="227"/>
        <v>14.028447949949378</v>
      </c>
      <c r="AE215" s="63">
        <f t="shared" si="228"/>
        <v>-76.148033513790807</v>
      </c>
      <c r="AF215" s="51" t="e">
        <f t="shared" si="229"/>
        <v>#NUM!</v>
      </c>
      <c r="AG215" s="51" t="str">
        <f t="shared" si="211"/>
        <v>1-2.51306130455564i</v>
      </c>
      <c r="AH215" s="51">
        <f t="shared" si="230"/>
        <v>2.7047138703483764</v>
      </c>
      <c r="AI215" s="51">
        <f t="shared" si="231"/>
        <v>-1.1920834293502631</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-0.000133283554228113</v>
      </c>
      <c r="AT215" s="32" t="str">
        <f t="shared" si="215"/>
        <v>0.000358278773319481i</v>
      </c>
      <c r="AU215" s="32">
        <f t="shared" si="239"/>
        <v>3.58278773319481E-4</v>
      </c>
      <c r="AV215" s="32">
        <f t="shared" si="240"/>
        <v>1.5707963267948966</v>
      </c>
      <c r="AW215" s="32" t="str">
        <f t="shared" si="216"/>
        <v>1+0.0626423881496253i</v>
      </c>
      <c r="AX215" s="32">
        <f t="shared" si="241"/>
        <v>1.0019601133743241</v>
      </c>
      <c r="AY215" s="32">
        <f t="shared" si="242"/>
        <v>6.2560642847842851E-2</v>
      </c>
      <c r="AZ215" s="32" t="str">
        <f t="shared" si="217"/>
        <v>1+0.933524369741976i</v>
      </c>
      <c r="BA215" s="32">
        <f t="shared" si="243"/>
        <v>1.3680159900023658</v>
      </c>
      <c r="BB215" s="32">
        <f t="shared" si="244"/>
        <v>0.75103115051257319</v>
      </c>
      <c r="BC215" s="60" t="str">
        <f t="shared" si="245"/>
        <v>-0.3227111162198+0.392226142368883i</v>
      </c>
      <c r="BD215" s="51">
        <f t="shared" si="246"/>
        <v>-5.8840754554167853</v>
      </c>
      <c r="BE215" s="63">
        <f t="shared" si="247"/>
        <v>129.44645440841833</v>
      </c>
      <c r="BF215" s="60" t="str">
        <f t="shared" si="248"/>
        <v>1.52638308967594+2.04768223343142i</v>
      </c>
      <c r="BG215" s="66">
        <f t="shared" si="249"/>
        <v>8.1443724945326004</v>
      </c>
      <c r="BH215" s="63">
        <f t="shared" si="250"/>
        <v>53.29842089462749</v>
      </c>
      <c r="BI215" s="60" t="e">
        <f t="shared" si="203"/>
        <v>#NUM!</v>
      </c>
      <c r="BJ215" s="66" t="e">
        <f t="shared" si="251"/>
        <v>#NUM!</v>
      </c>
      <c r="BK215" s="63" t="e">
        <f t="shared" si="204"/>
        <v>#NUM!</v>
      </c>
      <c r="BL215" s="51">
        <f t="shared" si="252"/>
        <v>8.1443724945326004</v>
      </c>
      <c r="BM215" s="63">
        <f t="shared" si="253"/>
        <v>53.29842089462749</v>
      </c>
    </row>
    <row r="216" spans="14:65" x14ac:dyDescent="0.3">
      <c r="N216" s="11">
        <v>98</v>
      </c>
      <c r="O216" s="52">
        <f t="shared" si="205"/>
        <v>954.99258602143675</v>
      </c>
      <c r="P216" s="50" t="str">
        <f t="shared" si="206"/>
        <v>21.1560044893378</v>
      </c>
      <c r="Q216" s="18" t="str">
        <f t="shared" si="207"/>
        <v>1+4.18209375315069i</v>
      </c>
      <c r="R216" s="18">
        <f t="shared" si="218"/>
        <v>4.299989320933487</v>
      </c>
      <c r="S216" s="18">
        <f t="shared" si="219"/>
        <v>1.3360886191165473</v>
      </c>
      <c r="T216" s="18" t="str">
        <f t="shared" si="208"/>
        <v>1+0.00600039538495533i</v>
      </c>
      <c r="U216" s="18">
        <f t="shared" si="220"/>
        <v>1.0000180022103482</v>
      </c>
      <c r="V216" s="18">
        <f t="shared" si="221"/>
        <v>6.0003233722762065E-3</v>
      </c>
      <c r="W216" s="32" t="str">
        <f t="shared" si="209"/>
        <v>1-0.00269485212850952i</v>
      </c>
      <c r="X216" s="18">
        <f t="shared" si="222"/>
        <v>1.0000036311074048</v>
      </c>
      <c r="Y216" s="18">
        <f t="shared" si="223"/>
        <v>-2.6948456049944221E-3</v>
      </c>
      <c r="Z216" s="32" t="str">
        <f t="shared" si="210"/>
        <v>0.999999087989161+0.0014707925673297i</v>
      </c>
      <c r="AA216" s="18">
        <f t="shared" si="224"/>
        <v>1.0000001696049505</v>
      </c>
      <c r="AB216" s="18">
        <f t="shared" si="225"/>
        <v>1.4707928481535791E-3</v>
      </c>
      <c r="AC216" s="68" t="str">
        <f t="shared" si="226"/>
        <v>1.15299397296095-4.78311347802282i</v>
      </c>
      <c r="AD216" s="66">
        <f t="shared" si="227"/>
        <v>13.839511899950111</v>
      </c>
      <c r="AE216" s="63">
        <f t="shared" si="228"/>
        <v>-76.447119228237995</v>
      </c>
      <c r="AF216" s="51" t="e">
        <f t="shared" si="229"/>
        <v>#NUM!</v>
      </c>
      <c r="AG216" s="51" t="str">
        <f t="shared" si="211"/>
        <v>1-2.57159802212372i</v>
      </c>
      <c r="AH216" s="51">
        <f t="shared" si="230"/>
        <v>2.7591876317841506</v>
      </c>
      <c r="AI216" s="51">
        <f t="shared" si="231"/>
        <v>-1.1999272969870964</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-0.000133283554228113</v>
      </c>
      <c r="AT216" s="32" t="str">
        <f t="shared" si="215"/>
        <v>0.000366624158020771i</v>
      </c>
      <c r="AU216" s="32">
        <f t="shared" si="239"/>
        <v>3.6662415802077102E-4</v>
      </c>
      <c r="AV216" s="32">
        <f t="shared" si="240"/>
        <v>1.5707963267948966</v>
      </c>
      <c r="AW216" s="32" t="str">
        <f t="shared" si="216"/>
        <v>1+0.0641015168132426i</v>
      </c>
      <c r="AX216" s="32">
        <f t="shared" si="241"/>
        <v>1.0020523960640773</v>
      </c>
      <c r="AY216" s="32">
        <f t="shared" si="242"/>
        <v>6.4013934830798772E-2</v>
      </c>
      <c r="AZ216" s="32" t="str">
        <f t="shared" si="217"/>
        <v>1+0.955268945680273i</v>
      </c>
      <c r="BA216" s="32">
        <f t="shared" si="243"/>
        <v>1.382945681717507</v>
      </c>
      <c r="BB216" s="32">
        <f t="shared" si="244"/>
        <v>0.76252496567115113</v>
      </c>
      <c r="BC216" s="60" t="str">
        <f t="shared" si="245"/>
        <v>-0.322651679650154+0.384225210989993i</v>
      </c>
      <c r="BD216" s="51">
        <f t="shared" si="246"/>
        <v>-5.990596429573003</v>
      </c>
      <c r="BE216" s="63">
        <f t="shared" si="247"/>
        <v>130.02173401048464</v>
      </c>
      <c r="BF216" s="60" t="str">
        <f t="shared" si="248"/>
        <v>1.46577734328004+1.98628895017246i</v>
      </c>
      <c r="BG216" s="66">
        <f t="shared" si="249"/>
        <v>7.84891547037709</v>
      </c>
      <c r="BH216" s="63">
        <f t="shared" si="250"/>
        <v>53.574614782246627</v>
      </c>
      <c r="BI216" s="60" t="e">
        <f t="shared" si="203"/>
        <v>#NUM!</v>
      </c>
      <c r="BJ216" s="66" t="e">
        <f t="shared" si="251"/>
        <v>#NUM!</v>
      </c>
      <c r="BK216" s="63" t="e">
        <f t="shared" si="204"/>
        <v>#NUM!</v>
      </c>
      <c r="BL216" s="51">
        <f t="shared" si="252"/>
        <v>7.84891547037709</v>
      </c>
      <c r="BM216" s="63">
        <f t="shared" si="253"/>
        <v>53.574614782246627</v>
      </c>
    </row>
    <row r="217" spans="14:65" x14ac:dyDescent="0.3">
      <c r="N217" s="11">
        <v>99</v>
      </c>
      <c r="O217" s="52">
        <f t="shared" si="205"/>
        <v>977.23722095581138</v>
      </c>
      <c r="P217" s="50" t="str">
        <f t="shared" si="206"/>
        <v>21.1560044893378</v>
      </c>
      <c r="Q217" s="18" t="str">
        <f t="shared" si="207"/>
        <v>1+4.27950723066022i</v>
      </c>
      <c r="R217" s="18">
        <f t="shared" si="218"/>
        <v>4.3947903405365212</v>
      </c>
      <c r="S217" s="18">
        <f t="shared" si="219"/>
        <v>1.3412434619946871</v>
      </c>
      <c r="T217" s="18" t="str">
        <f t="shared" si="208"/>
        <v>1+0.00614016254833857i</v>
      </c>
      <c r="U217" s="18">
        <f t="shared" si="220"/>
        <v>1.0000188506203871</v>
      </c>
      <c r="V217" s="18">
        <f t="shared" si="221"/>
        <v>6.1400853854412249E-3</v>
      </c>
      <c r="W217" s="32" t="str">
        <f t="shared" si="209"/>
        <v>1-0.00275762329833667i</v>
      </c>
      <c r="X217" s="18">
        <f t="shared" si="222"/>
        <v>1.0000038022358992</v>
      </c>
      <c r="Y217" s="18">
        <f t="shared" si="223"/>
        <v>-2.7576163082657398E-3</v>
      </c>
      <c r="Z217" s="32" t="str">
        <f t="shared" si="210"/>
        <v>0.999999045007414+0.00150505172724711i</v>
      </c>
      <c r="AA217" s="18">
        <f t="shared" si="224"/>
        <v>1.000000177598205</v>
      </c>
      <c r="AB217" s="18">
        <f t="shared" si="225"/>
        <v>1.5050520281553032E-3</v>
      </c>
      <c r="AC217" s="68" t="str">
        <f t="shared" si="226"/>
        <v>1.10418460814652-4.68564650167309i</v>
      </c>
      <c r="AD217" s="66">
        <f t="shared" si="227"/>
        <v>13.650105000228944</v>
      </c>
      <c r="AE217" s="63">
        <f t="shared" si="228"/>
        <v>-76.74002159851608</v>
      </c>
      <c r="AF217" s="51" t="e">
        <f t="shared" si="229"/>
        <v>#NUM!</v>
      </c>
      <c r="AG217" s="51" t="str">
        <f t="shared" si="211"/>
        <v>1-2.63149823500225i</v>
      </c>
      <c r="AH217" s="51">
        <f t="shared" si="230"/>
        <v>2.8150991031968942</v>
      </c>
      <c r="AI217" s="51">
        <f t="shared" si="231"/>
        <v>-1.2076391323170519</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-0.000133283554228113</v>
      </c>
      <c r="AT217" s="32" t="str">
        <f t="shared" si="215"/>
        <v>0.000375163931703486i</v>
      </c>
      <c r="AU217" s="32">
        <f t="shared" si="239"/>
        <v>3.7516393170348598E-4</v>
      </c>
      <c r="AV217" s="32">
        <f t="shared" si="240"/>
        <v>1.5707963267948966</v>
      </c>
      <c r="AW217" s="32" t="str">
        <f t="shared" si="216"/>
        <v>1+0.0655946329495581i</v>
      </c>
      <c r="AX217" s="32">
        <f t="shared" si="241"/>
        <v>1.0021490187950031</v>
      </c>
      <c r="AY217" s="32">
        <f t="shared" si="242"/>
        <v>6.5500798030114604E-2</v>
      </c>
      <c r="AZ217" s="32" t="str">
        <f t="shared" si="217"/>
        <v>1+0.977520017858048i</v>
      </c>
      <c r="BA217" s="32">
        <f t="shared" si="243"/>
        <v>1.3984081612008701</v>
      </c>
      <c r="BB217" s="32">
        <f t="shared" si="244"/>
        <v>0.77403088838594047</v>
      </c>
      <c r="BC217" s="60" t="str">
        <f t="shared" si="245"/>
        <v>-0.322589465382735+0.376427643230422i</v>
      </c>
      <c r="BD217" s="51">
        <f t="shared" si="246"/>
        <v>-6.0948573784059406</v>
      </c>
      <c r="BE217" s="63">
        <f t="shared" si="247"/>
        <v>130.59578383541171</v>
      </c>
      <c r="BF217" s="60" t="str">
        <f t="shared" si="248"/>
        <v>1.40760854720984+1.92718580968311i</v>
      </c>
      <c r="BG217" s="66">
        <f t="shared" si="249"/>
        <v>7.5552476218230158</v>
      </c>
      <c r="BH217" s="63">
        <f t="shared" si="250"/>
        <v>53.855762236895721</v>
      </c>
      <c r="BI217" s="60" t="e">
        <f t="shared" si="203"/>
        <v>#NUM!</v>
      </c>
      <c r="BJ217" s="66" t="e">
        <f t="shared" si="251"/>
        <v>#NUM!</v>
      </c>
      <c r="BK217" s="63" t="e">
        <f t="shared" si="204"/>
        <v>#NUM!</v>
      </c>
      <c r="BL217" s="51">
        <f t="shared" si="252"/>
        <v>7.5552476218230158</v>
      </c>
      <c r="BM217" s="63">
        <f t="shared" si="253"/>
        <v>53.855762236895721</v>
      </c>
    </row>
    <row r="218" spans="14:65" x14ac:dyDescent="0.3">
      <c r="N218" s="11">
        <v>100</v>
      </c>
      <c r="O218" s="52">
        <f t="shared" si="205"/>
        <v>1000</v>
      </c>
      <c r="P218" s="50" t="str">
        <f t="shared" si="206"/>
        <v>21.1560044893378</v>
      </c>
      <c r="Q218" s="18" t="str">
        <f t="shared" si="207"/>
        <v>1+4.37918975954942i</v>
      </c>
      <c r="R218" s="18">
        <f t="shared" si="218"/>
        <v>4.4919152875073802</v>
      </c>
      <c r="S218" s="18">
        <f t="shared" si="219"/>
        <v>1.3462929945229476</v>
      </c>
      <c r="T218" s="18" t="str">
        <f t="shared" si="208"/>
        <v>1+0.00628318530717959i</v>
      </c>
      <c r="U218" s="18">
        <f t="shared" si="220"/>
        <v>1.0000197390139878</v>
      </c>
      <c r="V218" s="18">
        <f t="shared" si="221"/>
        <v>6.28310262573358E-3</v>
      </c>
      <c r="W218" s="32" t="str">
        <f t="shared" si="209"/>
        <v>1-0.00282185659653805i</v>
      </c>
      <c r="X218" s="18">
        <f t="shared" si="222"/>
        <v>1.0000039814293997</v>
      </c>
      <c r="Y218" s="18">
        <f t="shared" si="223"/>
        <v>-2.8218491065437144E-3</v>
      </c>
      <c r="Z218" s="32" t="str">
        <f t="shared" si="210"/>
        <v>0.999999+0.00154010888551201i</v>
      </c>
      <c r="AA218" s="18">
        <f t="shared" si="224"/>
        <v>1.0000001859681722</v>
      </c>
      <c r="AB218" s="18">
        <f t="shared" si="225"/>
        <v>1.5401092079409312E-3</v>
      </c>
      <c r="AC218" s="68" t="str">
        <f t="shared" si="226"/>
        <v>1.05734914701411-4.58968788766887i</v>
      </c>
      <c r="AD218" s="66">
        <f t="shared" si="227"/>
        <v>13.460246279012127</v>
      </c>
      <c r="AE218" s="63">
        <f t="shared" si="228"/>
        <v>-77.026833113324003</v>
      </c>
      <c r="AF218" s="51" t="e">
        <f t="shared" si="229"/>
        <v>#NUM!</v>
      </c>
      <c r="AG218" s="51" t="str">
        <f t="shared" si="211"/>
        <v>1-2.69279370307697i</v>
      </c>
      <c r="AH218" s="51">
        <f t="shared" si="230"/>
        <v>2.8724794041613211</v>
      </c>
      <c r="AI218" s="51">
        <f t="shared" si="231"/>
        <v>-1.2152193541099894</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-0.000133283554228113</v>
      </c>
      <c r="AT218" s="32" t="str">
        <f t="shared" si="215"/>
        <v>0.000383902622268673i</v>
      </c>
      <c r="AU218" s="32">
        <f t="shared" si="239"/>
        <v>3.8390262226867299E-4</v>
      </c>
      <c r="AV218" s="32">
        <f t="shared" si="240"/>
        <v>1.5707963267948966</v>
      </c>
      <c r="AW218" s="32" t="str">
        <f t="shared" si="216"/>
        <v>1+0.067122528228511i</v>
      </c>
      <c r="AX218" s="32">
        <f t="shared" si="241"/>
        <v>1.0022501852311065</v>
      </c>
      <c r="AY218" s="32">
        <f t="shared" si="242"/>
        <v>6.7021994488715569E-2</v>
      </c>
      <c r="AZ218" s="32" t="str">
        <f t="shared" si="217"/>
        <v>1+1.0002893840883i</v>
      </c>
      <c r="BA218" s="32">
        <f t="shared" si="243"/>
        <v>1.414418202625995</v>
      </c>
      <c r="BB218" s="32">
        <f t="shared" si="244"/>
        <v>0.78554283450783013</v>
      </c>
      <c r="BC218" s="60" t="str">
        <f t="shared" si="245"/>
        <v>-0.322524344757307+0.368829279357791i</v>
      </c>
      <c r="BD218" s="51">
        <f t="shared" si="246"/>
        <v>-6.1968564319338979</v>
      </c>
      <c r="BE218" s="63">
        <f t="shared" si="247"/>
        <v>131.16821162528984</v>
      </c>
      <c r="BF218" s="60" t="str">
        <f t="shared" si="248"/>
        <v>1.35179043526567+1.87026740253374i</v>
      </c>
      <c r="BG218" s="66">
        <f t="shared" si="249"/>
        <v>7.2633898470782343</v>
      </c>
      <c r="BH218" s="63">
        <f t="shared" si="250"/>
        <v>54.141378511965804</v>
      </c>
      <c r="BI218" s="60" t="e">
        <f t="shared" si="203"/>
        <v>#NUM!</v>
      </c>
      <c r="BJ218" s="66" t="e">
        <f t="shared" si="251"/>
        <v>#NUM!</v>
      </c>
      <c r="BK218" s="63" t="e">
        <f t="shared" si="204"/>
        <v>#NUM!</v>
      </c>
      <c r="BL218" s="51">
        <f t="shared" si="252"/>
        <v>7.2633898470782343</v>
      </c>
      <c r="BM218" s="63">
        <f t="shared" si="253"/>
        <v>54.141378511965804</v>
      </c>
    </row>
    <row r="219" spans="14:65" x14ac:dyDescent="0.3">
      <c r="N219" s="11">
        <v>1</v>
      </c>
      <c r="O219" s="52">
        <f>10^(3+(N219/100))</f>
        <v>1023.2929922807547</v>
      </c>
      <c r="P219" s="50" t="str">
        <f t="shared" si="206"/>
        <v>21.1560044893378</v>
      </c>
      <c r="Q219" s="18" t="str">
        <f t="shared" si="207"/>
        <v>1+4.48119419281456i</v>
      </c>
      <c r="R219" s="18">
        <f t="shared" si="218"/>
        <v>4.591416055392382</v>
      </c>
      <c r="S219" s="18">
        <f t="shared" si="219"/>
        <v>1.351238863555082</v>
      </c>
      <c r="T219" s="18" t="str">
        <f t="shared" si="208"/>
        <v>1+0.00642953949403827i</v>
      </c>
      <c r="U219" s="18">
        <f t="shared" si="220"/>
        <v>1.0000206692754432</v>
      </c>
      <c r="V219" s="18">
        <f t="shared" si="221"/>
        <v>6.4294508993715839E-3</v>
      </c>
      <c r="W219" s="32" t="str">
        <f t="shared" si="209"/>
        <v>1-0.00288758608045861i</v>
      </c>
      <c r="X219" s="18">
        <f t="shared" si="222"/>
        <v>1.0000041690679955</v>
      </c>
      <c r="Y219" s="18">
        <f t="shared" si="223"/>
        <v>-2.8875780547868903E-3</v>
      </c>
      <c r="Z219" s="32" t="str">
        <f t="shared" si="210"/>
        <v>0.999998952871452+0.00157598262989376i</v>
      </c>
      <c r="AA219" s="18">
        <f t="shared" si="224"/>
        <v>1.0000001947326063</v>
      </c>
      <c r="AB219" s="18">
        <f t="shared" si="225"/>
        <v>1.5759829753825543E-3</v>
      </c>
      <c r="AC219" s="68" t="str">
        <f t="shared" si="226"/>
        <v>1.01241693164566-4.49524550174877i</v>
      </c>
      <c r="AD219" s="66">
        <f t="shared" si="227"/>
        <v>13.269954088983285</v>
      </c>
      <c r="AE219" s="63">
        <f t="shared" si="228"/>
        <v>-77.307646803267147</v>
      </c>
      <c r="AF219" s="51" t="e">
        <f t="shared" si="229"/>
        <v>#NUM!</v>
      </c>
      <c r="AG219" s="51" t="str">
        <f t="shared" si="211"/>
        <v>1-2.75551692601641i</v>
      </c>
      <c r="AH219" s="51">
        <f t="shared" si="230"/>
        <v>2.9313603547777816</v>
      </c>
      <c r="AI219" s="51">
        <f t="shared" si="231"/>
        <v>-1.2226684960377576</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-0.000133283554228113</v>
      </c>
      <c r="AT219" s="32" t="str">
        <f t="shared" si="215"/>
        <v>0.000392844863085738i</v>
      </c>
      <c r="AU219" s="32">
        <f t="shared" si="239"/>
        <v>3.9284486308573802E-4</v>
      </c>
      <c r="AV219" s="32">
        <f t="shared" si="240"/>
        <v>1.5707963267948966</v>
      </c>
      <c r="AW219" s="32" t="str">
        <f t="shared" si="216"/>
        <v>1+0.0686860127604024i</v>
      </c>
      <c r="AX219" s="32">
        <f t="shared" si="241"/>
        <v>1.0023561085507098</v>
      </c>
      <c r="AY219" s="32">
        <f t="shared" si="242"/>
        <v>6.8578302588387791E-2</v>
      </c>
      <c r="AZ219" s="32" t="str">
        <f t="shared" si="217"/>
        <v>1+1.02358911699039i</v>
      </c>
      <c r="BA219" s="32">
        <f t="shared" si="243"/>
        <v>1.430990803751431</v>
      </c>
      <c r="BB219" s="32">
        <f t="shared" si="244"/>
        <v>0.79705470394351596</v>
      </c>
      <c r="BC219" s="60" t="str">
        <f t="shared" si="245"/>
        <v>-0.32245618326482+0.361426063473487i</v>
      </c>
      <c r="BD219" s="51">
        <f t="shared" si="246"/>
        <v>-6.2965942362449656</v>
      </c>
      <c r="BE219" s="63">
        <f t="shared" si="247"/>
        <v>131.73862327252709</v>
      </c>
      <c r="BF219" s="60" t="str">
        <f t="shared" si="248"/>
        <v>1.29823878639282+1.81543357353086i</v>
      </c>
      <c r="BG219" s="66">
        <f t="shared" si="249"/>
        <v>6.9733598527383345</v>
      </c>
      <c r="BH219" s="63">
        <f t="shared" si="250"/>
        <v>54.430976469259996</v>
      </c>
      <c r="BI219" s="60" t="e">
        <f t="shared" si="203"/>
        <v>#NUM!</v>
      </c>
      <c r="BJ219" s="66" t="e">
        <f t="shared" si="251"/>
        <v>#NUM!</v>
      </c>
      <c r="BK219" s="63" t="e">
        <f t="shared" si="204"/>
        <v>#NUM!</v>
      </c>
      <c r="BL219" s="51">
        <f t="shared" si="252"/>
        <v>6.9733598527383345</v>
      </c>
      <c r="BM219" s="63">
        <f t="shared" si="253"/>
        <v>54.430976469259996</v>
      </c>
    </row>
    <row r="220" spans="14:65" x14ac:dyDescent="0.3">
      <c r="N220" s="11">
        <v>2</v>
      </c>
      <c r="O220" s="52">
        <f t="shared" ref="O220:O283" si="254">10^(3+(N220/100))</f>
        <v>1047.1285480509</v>
      </c>
      <c r="P220" s="50" t="str">
        <f t="shared" si="206"/>
        <v>21.1560044893378</v>
      </c>
      <c r="Q220" s="18" t="str">
        <f t="shared" si="207"/>
        <v>1+4.58557461455635i</v>
      </c>
      <c r="R220" s="18">
        <f t="shared" si="218"/>
        <v>4.6933457730774126</v>
      </c>
      <c r="S220" s="18">
        <f t="shared" si="219"/>
        <v>1.356082723146977</v>
      </c>
      <c r="T220" s="18" t="str">
        <f t="shared" si="208"/>
        <v>1+0.00657930270784171i</v>
      </c>
      <c r="U220" s="18">
        <f t="shared" si="220"/>
        <v>1.0000216433778428</v>
      </c>
      <c r="V220" s="18">
        <f t="shared" si="221"/>
        <v>6.5792077770569796E-3</v>
      </c>
      <c r="W220" s="32" t="str">
        <f t="shared" si="209"/>
        <v>1-0.00295484660074075i</v>
      </c>
      <c r="X220" s="18">
        <f t="shared" si="222"/>
        <v>1.000004365549688</v>
      </c>
      <c r="Y220" s="18">
        <f t="shared" si="223"/>
        <v>-2.9548380010805922E-3</v>
      </c>
      <c r="Z220" s="32" t="str">
        <f t="shared" si="210"/>
        <v>0.999998903521804+0.00161269198112648i</v>
      </c>
      <c r="AA220" s="18">
        <f t="shared" si="224"/>
        <v>1.0000002039100975</v>
      </c>
      <c r="AB220" s="18">
        <f t="shared" si="225"/>
        <v>1.6126923513243711E-3</v>
      </c>
      <c r="AC220" s="68" t="str">
        <f t="shared" si="226"/>
        <v>0.969319057304166-4.40232473641738i</v>
      </c>
      <c r="AD220" s="66">
        <f t="shared" si="227"/>
        <v>13.07924612374814</v>
      </c>
      <c r="AE220" s="63">
        <f t="shared" si="228"/>
        <v>-77.582556080755168</v>
      </c>
      <c r="AF220" s="51" t="e">
        <f t="shared" si="229"/>
        <v>#NUM!</v>
      </c>
      <c r="AG220" s="51" t="str">
        <f t="shared" si="211"/>
        <v>1-2.81970116050359i</v>
      </c>
      <c r="AH220" s="51">
        <f t="shared" si="230"/>
        <v>2.9917744959380368</v>
      </c>
      <c r="AI220" s="51">
        <f t="shared" si="231"/>
        <v>-1.2299871999461496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-0.000133283554228113</v>
      </c>
      <c r="AT220" s="32" t="str">
        <f t="shared" si="215"/>
        <v>0.000401995395449128i</v>
      </c>
      <c r="AU220" s="32">
        <f t="shared" si="239"/>
        <v>4.0199539544912802E-4</v>
      </c>
      <c r="AV220" s="32">
        <f t="shared" si="240"/>
        <v>1.5707963267948966</v>
      </c>
      <c r="AW220" s="32" t="str">
        <f t="shared" si="216"/>
        <v>1+0.0702859155254262i</v>
      </c>
      <c r="AX220" s="32">
        <f t="shared" si="241"/>
        <v>1.0024670118867989</v>
      </c>
      <c r="AY220" s="32">
        <f t="shared" si="242"/>
        <v>7.0170517331119259E-2</v>
      </c>
      <c r="AZ220" s="32" t="str">
        <f t="shared" si="217"/>
        <v>1+1.04743157039111i</v>
      </c>
      <c r="BA220" s="32">
        <f t="shared" si="243"/>
        <v>1.4481411860215796</v>
      </c>
      <c r="BB220" s="32">
        <f t="shared" si="244"/>
        <v>0.80856039680281167</v>
      </c>
      <c r="BC220" s="60" t="str">
        <f t="shared" si="245"/>
        <v>-0.322384840292155+0.354214041237631i</v>
      </c>
      <c r="BD220" s="51">
        <f t="shared" si="246"/>
        <v>-6.3940739622226079</v>
      </c>
      <c r="BE220" s="63">
        <f t="shared" si="247"/>
        <v>132.30662372890163</v>
      </c>
      <c r="BF220" s="60" t="str">
        <f t="shared" si="248"/>
        <v>1.24687146624564+1.76258917760048i</v>
      </c>
      <c r="BG220" s="66">
        <f t="shared" si="249"/>
        <v>6.6851721615255268</v>
      </c>
      <c r="BH220" s="63">
        <f t="shared" si="250"/>
        <v>54.724067648146516</v>
      </c>
      <c r="BI220" s="60" t="e">
        <f t="shared" si="203"/>
        <v>#NUM!</v>
      </c>
      <c r="BJ220" s="66" t="e">
        <f t="shared" si="251"/>
        <v>#NUM!</v>
      </c>
      <c r="BK220" s="63" t="e">
        <f t="shared" si="204"/>
        <v>#NUM!</v>
      </c>
      <c r="BL220" s="51">
        <f t="shared" si="252"/>
        <v>6.6851721615255268</v>
      </c>
      <c r="BM220" s="63">
        <f t="shared" si="253"/>
        <v>54.724067648146516</v>
      </c>
    </row>
    <row r="221" spans="14:65" x14ac:dyDescent="0.3">
      <c r="N221" s="11">
        <v>3</v>
      </c>
      <c r="O221" s="52">
        <f t="shared" si="254"/>
        <v>1071.5193052376069</v>
      </c>
      <c r="P221" s="50" t="str">
        <f t="shared" si="206"/>
        <v>21.1560044893378</v>
      </c>
      <c r="Q221" s="18" t="str">
        <f t="shared" si="207"/>
        <v>1+4.69238636865603i</v>
      </c>
      <c r="R221" s="18">
        <f t="shared" si="218"/>
        <v>4.7977588343672428</v>
      </c>
      <c r="S221" s="18">
        <f t="shared" si="219"/>
        <v>1.3608262319506299</v>
      </c>
      <c r="T221" s="18" t="str">
        <f t="shared" si="208"/>
        <v>1+0.00673255435502821i</v>
      </c>
      <c r="U221" s="18">
        <f t="shared" si="220"/>
        <v>1.0000226633872571</v>
      </c>
      <c r="V221" s="18">
        <f t="shared" si="221"/>
        <v>6.7324526349842144E-3</v>
      </c>
      <c r="W221" s="32" t="str">
        <f t="shared" si="209"/>
        <v>1-0.00302367381980261i</v>
      </c>
      <c r="X221" s="18">
        <f t="shared" si="222"/>
        <v>1.000004571291236</v>
      </c>
      <c r="Y221" s="18">
        <f t="shared" si="223"/>
        <v>-3.0236646051030078E-3</v>
      </c>
      <c r="Z221" s="32" t="str">
        <f t="shared" si="210"/>
        <v>0.999998851846378+0.00165025640299409i</v>
      </c>
      <c r="AA221" s="18">
        <f t="shared" si="224"/>
        <v>1.0000002135201123</v>
      </c>
      <c r="AB221" s="18">
        <f t="shared" si="225"/>
        <v>1.650256799668254E-3</v>
      </c>
      <c r="AC221" s="68" t="str">
        <f t="shared" si="226"/>
        <v>0.927988398587146-4.31092866982832i</v>
      </c>
      <c r="AD221" s="66">
        <f t="shared" si="227"/>
        <v>12.888139434588911</v>
      </c>
      <c r="AE221" s="63">
        <f t="shared" si="228"/>
        <v>-77.851654589974828</v>
      </c>
      <c r="AF221" s="51" t="e">
        <f t="shared" si="229"/>
        <v>#NUM!</v>
      </c>
      <c r="AG221" s="51" t="str">
        <f t="shared" si="211"/>
        <v>1-2.88538043786924i</v>
      </c>
      <c r="AH221" s="51">
        <f t="shared" si="230"/>
        <v>3.0537551098996931</v>
      </c>
      <c r="AI221" s="51">
        <f t="shared" si="231"/>
        <v>-1.2371762092286926</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-0.000133283554228113</v>
      </c>
      <c r="AT221" s="32" t="str">
        <f t="shared" si="215"/>
        <v>0.000411359071092224i</v>
      </c>
      <c r="AU221" s="32">
        <f t="shared" si="239"/>
        <v>4.1135907109222399E-4</v>
      </c>
      <c r="AV221" s="32">
        <f t="shared" si="240"/>
        <v>1.5707963267948966</v>
      </c>
      <c r="AW221" s="32" t="str">
        <f t="shared" si="216"/>
        <v>1+0.0719230848132057i</v>
      </c>
      <c r="AX221" s="32">
        <f t="shared" si="241"/>
        <v>1.0025831287873577</v>
      </c>
      <c r="AY221" s="32">
        <f t="shared" si="242"/>
        <v>7.1799450620102442E-2</v>
      </c>
      <c r="AZ221" s="32" t="str">
        <f t="shared" si="217"/>
        <v>1+1.07182938587485i</v>
      </c>
      <c r="BA221" s="32">
        <f t="shared" si="243"/>
        <v>1.4658847950725384</v>
      </c>
      <c r="BB221" s="32">
        <f t="shared" si="244"/>
        <v>0.82005382954464701</v>
      </c>
      <c r="BC221" s="60" t="str">
        <f t="shared" si="245"/>
        <v>-0.322310168856763+0.347189357639365i</v>
      </c>
      <c r="BD221" s="51">
        <f t="shared" si="246"/>
        <v>-6.4893013040992189</v>
      </c>
      <c r="BE221" s="63">
        <f t="shared" si="247"/>
        <v>132.87181791455905</v>
      </c>
      <c r="BF221" s="60" t="str">
        <f t="shared" si="248"/>
        <v>1.19760845826108+1.71164384350408i</v>
      </c>
      <c r="BG221" s="66">
        <f t="shared" si="249"/>
        <v>6.3988381304897004</v>
      </c>
      <c r="BH221" s="63">
        <f t="shared" si="250"/>
        <v>55.020163324584146</v>
      </c>
      <c r="BI221" s="60" t="e">
        <f t="shared" si="203"/>
        <v>#NUM!</v>
      </c>
      <c r="BJ221" s="66" t="e">
        <f t="shared" si="251"/>
        <v>#NUM!</v>
      </c>
      <c r="BK221" s="63" t="e">
        <f t="shared" si="204"/>
        <v>#NUM!</v>
      </c>
      <c r="BL221" s="51">
        <f t="shared" si="252"/>
        <v>6.3988381304897004</v>
      </c>
      <c r="BM221" s="63">
        <f t="shared" si="253"/>
        <v>55.020163324584146</v>
      </c>
    </row>
    <row r="222" spans="14:65" x14ac:dyDescent="0.3">
      <c r="N222" s="11">
        <v>4</v>
      </c>
      <c r="O222" s="52">
        <f t="shared" si="254"/>
        <v>1096.4781961431863</v>
      </c>
      <c r="P222" s="50" t="str">
        <f t="shared" si="206"/>
        <v>21.1560044893378</v>
      </c>
      <c r="Q222" s="18" t="str">
        <f t="shared" si="207"/>
        <v>1+4.80168608811945i</v>
      </c>
      <c r="R222" s="18">
        <f t="shared" si="218"/>
        <v>4.9047109281628281</v>
      </c>
      <c r="S222" s="18">
        <f t="shared" si="219"/>
        <v>1.3654710507779722</v>
      </c>
      <c r="T222" s="18" t="str">
        <f t="shared" si="208"/>
        <v>1+0.00688937569164964i</v>
      </c>
      <c r="U222" s="18">
        <f t="shared" si="220"/>
        <v>1.0000237314671192</v>
      </c>
      <c r="V222" s="18">
        <f t="shared" si="221"/>
        <v>6.8892666967984659E-3</v>
      </c>
      <c r="W222" s="32" t="str">
        <f t="shared" si="209"/>
        <v>1-0.00309410423074679i</v>
      </c>
      <c r="X222" s="18">
        <f t="shared" si="222"/>
        <v>1.0000047867290389</v>
      </c>
      <c r="Y222" s="18">
        <f t="shared" si="223"/>
        <v>-3.0940943570208269E-3</v>
      </c>
      <c r="Z222" s="32" t="str">
        <f t="shared" si="210"/>
        <v>0.999998797735565+0.0016886958126503i</v>
      </c>
      <c r="AA222" s="18">
        <f t="shared" si="224"/>
        <v>1.0000002235830365</v>
      </c>
      <c r="AB222" s="18">
        <f t="shared" si="225"/>
        <v>1.6886962376942971E-3</v>
      </c>
      <c r="AC222" s="68" t="str">
        <f t="shared" si="226"/>
        <v>0.888359627519263-4.22105821884872i</v>
      </c>
      <c r="AD222" s="66">
        <f t="shared" si="227"/>
        <v>12.696650447430111</v>
      </c>
      <c r="AE222" s="63">
        <f t="shared" si="228"/>
        <v>-78.115036066577005</v>
      </c>
      <c r="AF222" s="51" t="e">
        <f t="shared" si="229"/>
        <v>#NUM!</v>
      </c>
      <c r="AG222" s="51" t="str">
        <f t="shared" si="211"/>
        <v>1-2.95258958213556i</v>
      </c>
      <c r="AH222" s="51">
        <f t="shared" si="230"/>
        <v>3.1173362411737755</v>
      </c>
      <c r="AI222" s="51">
        <f t="shared" si="231"/>
        <v>-1.2442363623235744</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-0.000133283554228113</v>
      </c>
      <c r="AT222" s="32" t="str">
        <f t="shared" si="215"/>
        <v>0.000420940854759793i</v>
      </c>
      <c r="AU222" s="32">
        <f t="shared" si="239"/>
        <v>4.2094085475979302E-4</v>
      </c>
      <c r="AV222" s="32">
        <f t="shared" si="240"/>
        <v>1.5707963267948966</v>
      </c>
      <c r="AW222" s="32" t="str">
        <f t="shared" si="216"/>
        <v>1+0.0735983886725678i</v>
      </c>
      <c r="AX222" s="32">
        <f t="shared" si="241"/>
        <v>1.0027047036965562</v>
      </c>
      <c r="AY222" s="32">
        <f t="shared" si="242"/>
        <v>7.3465931539921689E-2</v>
      </c>
      <c r="AZ222" s="32" t="str">
        <f t="shared" si="217"/>
        <v>1+1.09679549948631i</v>
      </c>
      <c r="BA222" s="32">
        <f t="shared" si="243"/>
        <v>1.4842373016783483</v>
      </c>
      <c r="BB222" s="32">
        <f t="shared" si="244"/>
        <v>0.83152895101760582</v>
      </c>
      <c r="BC222" s="60" t="str">
        <f t="shared" si="245"/>
        <v>-0.322232015330908+0.340348254810744i</v>
      </c>
      <c r="BD222" s="51">
        <f t="shared" si="246"/>
        <v>-6.5822844678910357</v>
      </c>
      <c r="BE222" s="63">
        <f t="shared" si="247"/>
        <v>133.43381162101474</v>
      </c>
      <c r="BF222" s="60" t="str">
        <f t="shared" si="248"/>
        <v>1.15037188512556+1.66251174555922i</v>
      </c>
      <c r="BG222" s="66">
        <f t="shared" si="249"/>
        <v>6.1143659795390723</v>
      </c>
      <c r="BH222" s="63">
        <f t="shared" si="250"/>
        <v>55.318775554437813</v>
      </c>
      <c r="BI222" s="60" t="e">
        <f t="shared" si="203"/>
        <v>#NUM!</v>
      </c>
      <c r="BJ222" s="66" t="e">
        <f t="shared" si="251"/>
        <v>#NUM!</v>
      </c>
      <c r="BK222" s="63" t="e">
        <f t="shared" si="204"/>
        <v>#NUM!</v>
      </c>
      <c r="BL222" s="51">
        <f t="shared" si="252"/>
        <v>6.1143659795390723</v>
      </c>
      <c r="BM222" s="63">
        <f t="shared" si="253"/>
        <v>55.318775554437813</v>
      </c>
    </row>
    <row r="223" spans="14:65" x14ac:dyDescent="0.3">
      <c r="N223" s="11">
        <v>5</v>
      </c>
      <c r="O223" s="52">
        <f t="shared" si="254"/>
        <v>1122.0184543019636</v>
      </c>
      <c r="P223" s="50" t="str">
        <f t="shared" si="206"/>
        <v>21.1560044893378</v>
      </c>
      <c r="Q223" s="18" t="str">
        <f t="shared" si="207"/>
        <v>1+4.91353172510462i</v>
      </c>
      <c r="R223" s="18">
        <f t="shared" si="218"/>
        <v>5.0142590692553553</v>
      </c>
      <c r="S223" s="18">
        <f t="shared" si="219"/>
        <v>1.3700188403281375</v>
      </c>
      <c r="T223" s="18" t="str">
        <f t="shared" si="208"/>
        <v>1+0.00704984986645445i</v>
      </c>
      <c r="U223" s="18">
        <f t="shared" si="220"/>
        <v>1.0000248498828115</v>
      </c>
      <c r="V223" s="18">
        <f t="shared" si="221"/>
        <v>7.0497330765239867E-3</v>
      </c>
      <c r="W223" s="32" t="str">
        <f t="shared" si="209"/>
        <v>1-0.00316617517670943i</v>
      </c>
      <c r="X223" s="18">
        <f t="shared" si="222"/>
        <v>1.0000050123200632</v>
      </c>
      <c r="Y223" s="18">
        <f t="shared" si="223"/>
        <v>-3.1661645968243095E-3</v>
      </c>
      <c r="Z223" s="32" t="str">
        <f t="shared" si="210"/>
        <v>0.999998741074588+0.0017280305911789i</v>
      </c>
      <c r="AA223" s="18">
        <f t="shared" si="224"/>
        <v>1.000000234120215</v>
      </c>
      <c r="AB223" s="18">
        <f t="shared" si="225"/>
        <v>1.7280310466217179E-3</v>
      </c>
      <c r="AC223" s="68" t="str">
        <f t="shared" si="226"/>
        <v>0.850369224291696-4.13271228619217i</v>
      </c>
      <c r="AD223" s="66">
        <f t="shared" si="227"/>
        <v>12.504794979941877</v>
      </c>
      <c r="AE223" s="63">
        <f t="shared" si="228"/>
        <v>-78.372794206711873</v>
      </c>
      <c r="AF223" s="51" t="e">
        <f t="shared" si="229"/>
        <v>#NUM!</v>
      </c>
      <c r="AG223" s="51" t="str">
        <f t="shared" si="211"/>
        <v>1-3.02136422848048i</v>
      </c>
      <c r="AH223" s="51">
        <f t="shared" si="230"/>
        <v>3.1825527177317028</v>
      </c>
      <c r="AI223" s="51">
        <f t="shared" si="231"/>
        <v>-1.2511685863524511</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-0.000133283554228113</v>
      </c>
      <c r="AT223" s="32" t="str">
        <f t="shared" si="215"/>
        <v>0.000430745826840367i</v>
      </c>
      <c r="AU223" s="32">
        <f t="shared" si="239"/>
        <v>4.3074582684036702E-4</v>
      </c>
      <c r="AV223" s="32">
        <f t="shared" si="240"/>
        <v>1.5707963267948966</v>
      </c>
      <c r="AW223" s="32" t="str">
        <f t="shared" si="216"/>
        <v>1+0.0753127153717938i</v>
      </c>
      <c r="AX223" s="32">
        <f t="shared" si="241"/>
        <v>1.0028319924576961</v>
      </c>
      <c r="AY223" s="32">
        <f t="shared" si="242"/>
        <v>7.5170806635407497E-2</v>
      </c>
      <c r="AZ223" s="32" t="str">
        <f t="shared" si="217"/>
        <v>1+1.12234314858941i</v>
      </c>
      <c r="BA223" s="32">
        <f t="shared" si="243"/>
        <v>1.5032146031706819</v>
      </c>
      <c r="BB223" s="32">
        <f t="shared" si="244"/>
        <v>0.84297975829217719</v>
      </c>
      <c r="BC223" s="60" t="str">
        <f t="shared" si="245"/>
        <v>-0.322150219155196+0.333687069882433i</v>
      </c>
      <c r="BD223" s="51">
        <f t="shared" si="246"/>
        <v>-6.6730341498615111</v>
      </c>
      <c r="BE223" s="63">
        <f t="shared" si="247"/>
        <v>133.9922124022971</v>
      </c>
      <c r="BF223" s="60" t="str">
        <f t="shared" si="248"/>
        <v>1.10508602147819+1.61511138347427i</v>
      </c>
      <c r="BG223" s="66">
        <f t="shared" si="249"/>
        <v>5.8317608300803512</v>
      </c>
      <c r="BH223" s="63">
        <f t="shared" si="250"/>
        <v>55.619418195585247</v>
      </c>
      <c r="BI223" s="60" t="e">
        <f t="shared" si="203"/>
        <v>#NUM!</v>
      </c>
      <c r="BJ223" s="66" t="e">
        <f t="shared" si="251"/>
        <v>#NUM!</v>
      </c>
      <c r="BK223" s="63" t="e">
        <f t="shared" si="204"/>
        <v>#NUM!</v>
      </c>
      <c r="BL223" s="51">
        <f t="shared" si="252"/>
        <v>5.8317608300803512</v>
      </c>
      <c r="BM223" s="63">
        <f t="shared" si="253"/>
        <v>55.619418195585247</v>
      </c>
    </row>
    <row r="224" spans="14:65" x14ac:dyDescent="0.3">
      <c r="N224" s="11">
        <v>6</v>
      </c>
      <c r="O224" s="52">
        <f t="shared" si="254"/>
        <v>1148.1536214968839</v>
      </c>
      <c r="P224" s="50" t="str">
        <f t="shared" si="206"/>
        <v>21.1560044893378</v>
      </c>
      <c r="Q224" s="18" t="str">
        <f t="shared" si="207"/>
        <v>1+5.02798258164873i</v>
      </c>
      <c r="R224" s="18">
        <f t="shared" si="218"/>
        <v>5.1264616297562426</v>
      </c>
      <c r="S224" s="18">
        <f t="shared" si="219"/>
        <v>1.3744712590716746</v>
      </c>
      <c r="T224" s="18" t="str">
        <f t="shared" si="208"/>
        <v>1+0.00721406196497425i</v>
      </c>
      <c r="U224" s="18">
        <f t="shared" si="220"/>
        <v>1.0000260210064709</v>
      </c>
      <c r="V224" s="18">
        <f t="shared" si="221"/>
        <v>7.2139368224849662E-3</v>
      </c>
      <c r="W224" s="32" t="str">
        <f t="shared" si="209"/>
        <v>1-0.00323992487066003i</v>
      </c>
      <c r="X224" s="18">
        <f t="shared" si="222"/>
        <v>1.0000052485428101</v>
      </c>
      <c r="Y224" s="18">
        <f t="shared" si="223"/>
        <v>-3.2399135341120901E-3</v>
      </c>
      <c r="Z224" s="32" t="str">
        <f t="shared" si="210"/>
        <v>0.999998681743261+0.00176828159440014i</v>
      </c>
      <c r="AA224" s="18">
        <f t="shared" si="224"/>
        <v>1.0000002451539984</v>
      </c>
      <c r="AB224" s="18">
        <f t="shared" si="225"/>
        <v>1.7682820824158779E-3</v>
      </c>
      <c r="AC224" s="68" t="str">
        <f t="shared" si="226"/>
        <v>0.8139554813209-4.04588790155496i</v>
      </c>
      <c r="AD224" s="66">
        <f t="shared" si="227"/>
        <v>12.312588258715023</v>
      </c>
      <c r="AE224" s="63">
        <f t="shared" si="228"/>
        <v>-78.625022545039883</v>
      </c>
      <c r="AF224" s="51" t="e">
        <f t="shared" si="229"/>
        <v>#NUM!</v>
      </c>
      <c r="AG224" s="51" t="str">
        <f t="shared" si="211"/>
        <v>1-3.09174084213183i</v>
      </c>
      <c r="AH224" s="51">
        <f t="shared" si="230"/>
        <v>3.2494401725383462</v>
      </c>
      <c r="AI224" s="51">
        <f t="shared" si="231"/>
        <v>-1.257973890917272</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-0.000133283554228113</v>
      </c>
      <c r="AT224" s="32" t="str">
        <f t="shared" si="215"/>
        <v>0.000440779186059927i</v>
      </c>
      <c r="AU224" s="32">
        <f t="shared" si="239"/>
        <v>4.4077918605992699E-4</v>
      </c>
      <c r="AV224" s="32">
        <f t="shared" si="240"/>
        <v>1.5707963267948966</v>
      </c>
      <c r="AW224" s="32" t="str">
        <f t="shared" si="216"/>
        <v>1+0.0770669738695916i</v>
      </c>
      <c r="AX224" s="32">
        <f t="shared" si="241"/>
        <v>1.0029652628388563</v>
      </c>
      <c r="AY224" s="32">
        <f t="shared" si="242"/>
        <v>7.6914940188596681E-2</v>
      </c>
      <c r="AZ224" s="32" t="str">
        <f t="shared" si="217"/>
        <v>1+1.14848587888586i</v>
      </c>
      <c r="BA224" s="32">
        <f t="shared" si="243"/>
        <v>1.5228328253620707</v>
      </c>
      <c r="BB224" s="32">
        <f t="shared" si="244"/>
        <v>0.85440031218425383</v>
      </c>
      <c r="BC224" s="60" t="str">
        <f t="shared" si="245"/>
        <v>-0.322064612541104+0.327202232879483i</v>
      </c>
      <c r="BD224" s="51">
        <f t="shared" si="246"/>
        <v>-6.7615635052488852</v>
      </c>
      <c r="BE224" s="63">
        <f t="shared" si="247"/>
        <v>134.54663044851003</v>
      </c>
      <c r="BF224" s="60" t="str">
        <f t="shared" si="248"/>
        <v>1.06167729865155+1.56936537035173i</v>
      </c>
      <c r="BG224" s="66">
        <f t="shared" si="249"/>
        <v>5.5510247534661419</v>
      </c>
      <c r="BH224" s="63">
        <f t="shared" si="250"/>
        <v>55.921607903470026</v>
      </c>
      <c r="BI224" s="60" t="e">
        <f t="shared" si="203"/>
        <v>#NUM!</v>
      </c>
      <c r="BJ224" s="66" t="e">
        <f t="shared" si="251"/>
        <v>#NUM!</v>
      </c>
      <c r="BK224" s="63" t="e">
        <f t="shared" si="204"/>
        <v>#NUM!</v>
      </c>
      <c r="BL224" s="51">
        <f t="shared" si="252"/>
        <v>5.5510247534661419</v>
      </c>
      <c r="BM224" s="63">
        <f t="shared" si="253"/>
        <v>55.921607903470026</v>
      </c>
    </row>
    <row r="225" spans="14:65" x14ac:dyDescent="0.3">
      <c r="N225" s="11">
        <v>7</v>
      </c>
      <c r="O225" s="52">
        <f t="shared" si="254"/>
        <v>1174.8975549395295</v>
      </c>
      <c r="P225" s="50" t="str">
        <f t="shared" si="206"/>
        <v>21.1560044893378</v>
      </c>
      <c r="Q225" s="18" t="str">
        <f t="shared" si="207"/>
        <v>1+5.14509934111083i</v>
      </c>
      <c r="R225" s="18">
        <f t="shared" si="218"/>
        <v>5.2413783711824413</v>
      </c>
      <c r="S225" s="18">
        <f t="shared" si="219"/>
        <v>1.3788299612851596</v>
      </c>
      <c r="T225" s="18" t="str">
        <f t="shared" si="208"/>
        <v>1+0.00738209905463727i</v>
      </c>
      <c r="U225" s="18">
        <f t="shared" si="220"/>
        <v>1.000027247322018</v>
      </c>
      <c r="V225" s="18">
        <f t="shared" si="221"/>
        <v>7.3819649622414215E-3</v>
      </c>
      <c r="W225" s="32" t="str">
        <f t="shared" si="209"/>
        <v>1-0.00331539241566254i</v>
      </c>
      <c r="X225" s="18">
        <f t="shared" si="222"/>
        <v>1.0000054958983324</v>
      </c>
      <c r="Y225" s="18">
        <f t="shared" si="223"/>
        <v>-3.3153802683361729E-3</v>
      </c>
      <c r="Z225" s="32" t="str">
        <f t="shared" si="210"/>
        <v>0.999998619615735+0.0018094701639287i</v>
      </c>
      <c r="AA225" s="18">
        <f t="shared" si="224"/>
        <v>1.0000002567077919</v>
      </c>
      <c r="AB225" s="18">
        <f t="shared" si="225"/>
        <v>1.8094706868469462E-3</v>
      </c>
      <c r="AC225" s="68" t="str">
        <f t="shared" si="226"/>
        <v>0.779058501263627-3.96058035673192i</v>
      </c>
      <c r="AD225" s="66">
        <f t="shared" si="227"/>
        <v>12.120044936447904</v>
      </c>
      <c r="AE225" s="63">
        <f t="shared" si="228"/>
        <v>-78.871814341342045</v>
      </c>
      <c r="AF225" s="51" t="e">
        <f t="shared" si="229"/>
        <v>#NUM!</v>
      </c>
      <c r="AG225" s="51" t="str">
        <f t="shared" si="211"/>
        <v>1-3.16375673770169i</v>
      </c>
      <c r="AH225" s="51">
        <f t="shared" si="230"/>
        <v>3.318035065419418</v>
      </c>
      <c r="AI225" s="51">
        <f t="shared" si="231"/>
        <v>-1.2646533620689275</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-0.000133283554228113</v>
      </c>
      <c r="AT225" s="32" t="str">
        <f t="shared" si="215"/>
        <v>0.000451046252238337i</v>
      </c>
      <c r="AU225" s="32">
        <f t="shared" si="239"/>
        <v>4.5104625223833702E-4</v>
      </c>
      <c r="AV225" s="32">
        <f t="shared" si="240"/>
        <v>1.5707963267948966</v>
      </c>
      <c r="AW225" s="32" t="str">
        <f t="shared" si="216"/>
        <v>1+0.078862094297037i</v>
      </c>
      <c r="AX225" s="32">
        <f t="shared" si="241"/>
        <v>1.0031047950822061</v>
      </c>
      <c r="AY225" s="32">
        <f t="shared" si="242"/>
        <v>7.8699214493186703E-2</v>
      </c>
      <c r="AZ225" s="32" t="str">
        <f t="shared" si="217"/>
        <v>1+1.17523755159731i</v>
      </c>
      <c r="BA225" s="32">
        <f t="shared" si="243"/>
        <v>1.5431083250000435</v>
      </c>
      <c r="BB225" s="32">
        <f t="shared" si="244"/>
        <v>0.8657847523732457</v>
      </c>
      <c r="BC225" s="60" t="str">
        <f t="shared" si="245"/>
        <v>-0.321975020162249+0.320890264655374i</v>
      </c>
      <c r="BD225" s="51">
        <f t="shared" si="246"/>
        <v>-6.8478881075809914</v>
      </c>
      <c r="BE225" s="63">
        <f t="shared" si="247"/>
        <v>135.09667943631166</v>
      </c>
      <c r="BF225" s="60" t="str">
        <f t="shared" si="248"/>
        <v>1.02007430220865+1.52520022886547i</v>
      </c>
      <c r="BG225" s="66">
        <f t="shared" si="249"/>
        <v>5.2721568288668985</v>
      </c>
      <c r="BH225" s="63">
        <f t="shared" si="250"/>
        <v>56.224865094969715</v>
      </c>
      <c r="BI225" s="60" t="e">
        <f t="shared" si="203"/>
        <v>#NUM!</v>
      </c>
      <c r="BJ225" s="66" t="e">
        <f t="shared" si="251"/>
        <v>#NUM!</v>
      </c>
      <c r="BK225" s="63" t="e">
        <f t="shared" si="204"/>
        <v>#NUM!</v>
      </c>
      <c r="BL225" s="51">
        <f t="shared" si="252"/>
        <v>5.2721568288668985</v>
      </c>
      <c r="BM225" s="63">
        <f t="shared" si="253"/>
        <v>56.224865094969715</v>
      </c>
    </row>
    <row r="226" spans="14:65" x14ac:dyDescent="0.3">
      <c r="N226" s="11">
        <v>8</v>
      </c>
      <c r="O226" s="52">
        <f t="shared" si="254"/>
        <v>1202.2644346174138</v>
      </c>
      <c r="P226" s="50" t="str">
        <f t="shared" si="206"/>
        <v>21.1560044893378</v>
      </c>
      <c r="Q226" s="18" t="str">
        <f t="shared" si="207"/>
        <v>1+5.26494410034705i</v>
      </c>
      <c r="R226" s="18">
        <f t="shared" si="218"/>
        <v>5.3590704772170339</v>
      </c>
      <c r="S226" s="18">
        <f t="shared" si="219"/>
        <v>1.3830965952296617</v>
      </c>
      <c r="T226" s="18" t="str">
        <f t="shared" si="208"/>
        <v>1+0.00755405023093271i</v>
      </c>
      <c r="U226" s="18">
        <f t="shared" si="220"/>
        <v>1.0000285314304245</v>
      </c>
      <c r="V226" s="18">
        <f t="shared" si="221"/>
        <v>7.5539065485632738E-3</v>
      </c>
      <c r="W226" s="32" t="str">
        <f t="shared" si="209"/>
        <v>1-0.00339261782560824i</v>
      </c>
      <c r="X226" s="18">
        <f t="shared" si="222"/>
        <v>1.000005754911296</v>
      </c>
      <c r="Y226" s="18">
        <f t="shared" si="223"/>
        <v>-3.3926048095175763E-3</v>
      </c>
      <c r="Z226" s="32" t="str">
        <f t="shared" si="210"/>
        <v>0.999998554560229+0.00185161813848935i</v>
      </c>
      <c r="AA226" s="18">
        <f t="shared" si="224"/>
        <v>1.0000002688061029</v>
      </c>
      <c r="AB226" s="18">
        <f t="shared" si="225"/>
        <v>1.8516186988063025E-3</v>
      </c>
      <c r="AC226" s="68" t="str">
        <f t="shared" si="226"/>
        <v>0.745620189588848-3.87678333472461i</v>
      </c>
      <c r="AD226" s="66">
        <f t="shared" si="227"/>
        <v>11.927179109090517</v>
      </c>
      <c r="AE226" s="63">
        <f t="shared" si="228"/>
        <v>-79.113262475354901</v>
      </c>
      <c r="AF226" s="51" t="e">
        <f t="shared" si="229"/>
        <v>#NUM!</v>
      </c>
      <c r="AG226" s="51" t="str">
        <f t="shared" si="211"/>
        <v>1-3.23745009897117i</v>
      </c>
      <c r="AH226" s="51">
        <f t="shared" si="230"/>
        <v>3.3883747052721951</v>
      </c>
      <c r="AI226" s="51">
        <f t="shared" si="231"/>
        <v>-1.2712081564592492</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-0.000133283554228113</v>
      </c>
      <c r="AT226" s="32" t="str">
        <f t="shared" si="215"/>
        <v>0.000461552469109988i</v>
      </c>
      <c r="AU226" s="32">
        <f t="shared" si="239"/>
        <v>4.61552469109988E-4</v>
      </c>
      <c r="AV226" s="32">
        <f t="shared" si="240"/>
        <v>1.5707963267948966</v>
      </c>
      <c r="AW226" s="32" t="str">
        <f t="shared" si="216"/>
        <v>1+0.0806990284507422i</v>
      </c>
      <c r="AX226" s="32">
        <f t="shared" si="241"/>
        <v>1.003250882478004</v>
      </c>
      <c r="AY226" s="32">
        <f t="shared" si="242"/>
        <v>8.0524530125826208E-2</v>
      </c>
      <c r="AZ226" s="32" t="str">
        <f t="shared" si="217"/>
        <v>1+1.20261235081472i</v>
      </c>
      <c r="BA226" s="32">
        <f t="shared" si="243"/>
        <v>1.564057692776103</v>
      </c>
      <c r="BB226" s="32">
        <f t="shared" si="244"/>
        <v>0.87712731202277994</v>
      </c>
      <c r="BC226" s="60" t="str">
        <f t="shared" si="245"/>
        <v>-0.321881258834065+0.314747774862497i</v>
      </c>
      <c r="BD226" s="51">
        <f t="shared" si="246"/>
        <v>-6.9320258989831789</v>
      </c>
      <c r="BE226" s="63">
        <f t="shared" si="247"/>
        <v>135.64197735107587</v>
      </c>
      <c r="BF226" s="60" t="str">
        <f t="shared" si="248"/>
        <v>0.980207762991629+1.48254619557372i</v>
      </c>
      <c r="BG226" s="66">
        <f t="shared" si="249"/>
        <v>4.9951532101073219</v>
      </c>
      <c r="BH226" s="63">
        <f t="shared" si="250"/>
        <v>56.528714875720901</v>
      </c>
      <c r="BI226" s="60" t="e">
        <f t="shared" si="203"/>
        <v>#NUM!</v>
      </c>
      <c r="BJ226" s="66" t="e">
        <f t="shared" si="251"/>
        <v>#NUM!</v>
      </c>
      <c r="BK226" s="63" t="e">
        <f t="shared" si="204"/>
        <v>#NUM!</v>
      </c>
      <c r="BL226" s="51">
        <f t="shared" si="252"/>
        <v>4.9951532101073219</v>
      </c>
      <c r="BM226" s="63">
        <f t="shared" si="253"/>
        <v>56.528714875720901</v>
      </c>
    </row>
    <row r="227" spans="14:65" x14ac:dyDescent="0.3">
      <c r="N227" s="11">
        <v>9</v>
      </c>
      <c r="O227" s="52">
        <f t="shared" si="254"/>
        <v>1230.2687708123824</v>
      </c>
      <c r="P227" s="50" t="str">
        <f t="shared" si="206"/>
        <v>21.1560044893378</v>
      </c>
      <c r="Q227" s="18" t="str">
        <f t="shared" si="207"/>
        <v>1+5.38758040263503i</v>
      </c>
      <c r="R227" s="18">
        <f t="shared" si="218"/>
        <v>5.4796005871648186</v>
      </c>
      <c r="S227" s="18">
        <f t="shared" si="219"/>
        <v>1.3872728014665281</v>
      </c>
      <c r="T227" s="18" t="str">
        <f t="shared" si="208"/>
        <v>1+0.00773000666465025i</v>
      </c>
      <c r="U227" s="18">
        <f t="shared" si="220"/>
        <v>1.0000298760552284</v>
      </c>
      <c r="V227" s="18">
        <f t="shared" si="221"/>
        <v>7.7298527064659913E-3</v>
      </c>
      <c r="W227" s="32" t="str">
        <f t="shared" si="209"/>
        <v>1-0.00347164204643168i</v>
      </c>
      <c r="X227" s="18">
        <f t="shared" si="222"/>
        <v>1.0000060261310921</v>
      </c>
      <c r="Y227" s="18">
        <f t="shared" si="223"/>
        <v>-3.4716280994437948E-3</v>
      </c>
      <c r="Z227" s="32" t="str">
        <f t="shared" si="210"/>
        <v>0.999998486438752+0.00189474786549608i</v>
      </c>
      <c r="AA227" s="18">
        <f t="shared" si="224"/>
        <v>1.0000002814745947</v>
      </c>
      <c r="AB227" s="18">
        <f t="shared" si="225"/>
        <v>1.8947484658864621E-3</v>
      </c>
      <c r="AC227" s="68" t="str">
        <f t="shared" si="226"/>
        <v>0.713584242271508-3.79448903288717i</v>
      </c>
      <c r="AD227" s="66">
        <f t="shared" si="227"/>
        <v>11.734004332897772</v>
      </c>
      <c r="AE227" s="63">
        <f t="shared" si="228"/>
        <v>-79.349459349455273</v>
      </c>
      <c r="AF227" s="51" t="e">
        <f t="shared" si="229"/>
        <v>#NUM!</v>
      </c>
      <c r="AG227" s="51" t="str">
        <f t="shared" si="211"/>
        <v>1-3.31285999913583i</v>
      </c>
      <c r="AH227" s="51">
        <f t="shared" si="230"/>
        <v>3.4604972726292171</v>
      </c>
      <c r="AI227" s="51">
        <f t="shared" si="231"/>
        <v>-1.277639495685754</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-0.000133283554228113</v>
      </c>
      <c r="AT227" s="32" t="str">
        <f t="shared" si="215"/>
        <v>0.00047230340721013i</v>
      </c>
      <c r="AU227" s="32">
        <f t="shared" si="239"/>
        <v>4.7230340721013002E-4</v>
      </c>
      <c r="AV227" s="32">
        <f t="shared" si="240"/>
        <v>1.5707963267948966</v>
      </c>
      <c r="AW227" s="32" t="str">
        <f t="shared" si="216"/>
        <v>1+0.0825787502975096i</v>
      </c>
      <c r="AX227" s="32">
        <f t="shared" si="241"/>
        <v>1.0034038319643286</v>
      </c>
      <c r="AY227" s="32">
        <f t="shared" si="242"/>
        <v>8.2391806213524849E-2</v>
      </c>
      <c r="AZ227" s="32" t="str">
        <f t="shared" si="217"/>
        <v>1+1.23062479101898i</v>
      </c>
      <c r="BA227" s="32">
        <f t="shared" si="243"/>
        <v>1.5856977569103476</v>
      </c>
      <c r="BB227" s="32">
        <f t="shared" si="244"/>
        <v>0.888422331817877</v>
      </c>
      <c r="BC227" s="60" t="str">
        <f t="shared" si="245"/>
        <v>-0.321783137181689+0.308771459957307i</v>
      </c>
      <c r="BD227" s="51">
        <f t="shared" si="246"/>
        <v>-7.0139971319583738</v>
      </c>
      <c r="BE227" s="63">
        <f t="shared" si="247"/>
        <v>136.18214727584089</v>
      </c>
      <c r="BF227" s="60" t="str">
        <f t="shared" si="248"/>
        <v>0.942010542355017+1.44133703329265i</v>
      </c>
      <c r="BG227" s="66">
        <f t="shared" si="249"/>
        <v>4.7200072009394036</v>
      </c>
      <c r="BH227" s="63">
        <f t="shared" si="250"/>
        <v>56.83268792638566</v>
      </c>
      <c r="BI227" s="60" t="e">
        <f t="shared" si="203"/>
        <v>#NUM!</v>
      </c>
      <c r="BJ227" s="66" t="e">
        <f t="shared" si="251"/>
        <v>#NUM!</v>
      </c>
      <c r="BK227" s="63" t="e">
        <f t="shared" si="204"/>
        <v>#NUM!</v>
      </c>
      <c r="BL227" s="51">
        <f t="shared" si="252"/>
        <v>4.7200072009394036</v>
      </c>
      <c r="BM227" s="63">
        <f t="shared" si="253"/>
        <v>56.83268792638566</v>
      </c>
    </row>
    <row r="228" spans="14:65" x14ac:dyDescent="0.3">
      <c r="N228" s="11">
        <v>10</v>
      </c>
      <c r="O228" s="52">
        <f t="shared" si="254"/>
        <v>1258.925411794168</v>
      </c>
      <c r="P228" s="50" t="str">
        <f t="shared" si="206"/>
        <v>21.1560044893378</v>
      </c>
      <c r="Q228" s="18" t="str">
        <f t="shared" si="207"/>
        <v>1+5.51307327136555i</v>
      </c>
      <c r="R228" s="18">
        <f t="shared" si="218"/>
        <v>5.6030328301238113</v>
      </c>
      <c r="S228" s="18">
        <f t="shared" si="219"/>
        <v>1.3913602113040526</v>
      </c>
      <c r="T228" s="18" t="str">
        <f t="shared" si="208"/>
        <v>1+0.00791006165022013i</v>
      </c>
      <c r="U228" s="18">
        <f t="shared" si="220"/>
        <v>1.0000312840483092</v>
      </c>
      <c r="V228" s="18">
        <f t="shared" si="221"/>
        <v>7.9098966813322229E-3</v>
      </c>
      <c r="W228" s="32" t="str">
        <f t="shared" si="209"/>
        <v>1-0.00355250697782076i</v>
      </c>
      <c r="X228" s="18">
        <f t="shared" si="222"/>
        <v>1.0000063101330048</v>
      </c>
      <c r="Y228" s="18">
        <f t="shared" si="223"/>
        <v>-3.5524920333590841E-3</v>
      </c>
      <c r="Z228" s="32" t="str">
        <f t="shared" si="210"/>
        <v>0.999998415106808+0.00193888221290106i</v>
      </c>
      <c r="AA228" s="18">
        <f t="shared" si="224"/>
        <v>1.0000002947401383</v>
      </c>
      <c r="AB228" s="18">
        <f t="shared" si="225"/>
        <v>1.9388828562308909E-3</v>
      </c>
      <c r="AC228" s="68" t="str">
        <f t="shared" si="226"/>
        <v>0.682896129137295-3.71368828018233i</v>
      </c>
      <c r="AD228" s="66">
        <f t="shared" si="227"/>
        <v>11.540533641347801</v>
      </c>
      <c r="AE228" s="63">
        <f t="shared" si="228"/>
        <v>-79.580496798825394</v>
      </c>
      <c r="AF228" s="51" t="e">
        <f t="shared" si="229"/>
        <v>#NUM!</v>
      </c>
      <c r="AG228" s="51" t="str">
        <f t="shared" si="211"/>
        <v>1-3.39002642152292i</v>
      </c>
      <c r="AH228" s="51">
        <f t="shared" si="230"/>
        <v>3.5344418425861099</v>
      </c>
      <c r="AI228" s="51">
        <f t="shared" si="231"/>
        <v>-1.2839486608366342</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-0.000133283554228113</v>
      </c>
      <c r="AT228" s="32" t="str">
        <f t="shared" si="215"/>
        <v>0.00048330476682845i</v>
      </c>
      <c r="AU228" s="32">
        <f t="shared" si="239"/>
        <v>4.8330476682845001E-4</v>
      </c>
      <c r="AV228" s="32">
        <f t="shared" si="240"/>
        <v>1.5707963267948966</v>
      </c>
      <c r="AW228" s="32" t="str">
        <f t="shared" si="216"/>
        <v>1+0.0845022564907439i</v>
      </c>
      <c r="AX228" s="32">
        <f t="shared" si="241"/>
        <v>1.0035639647536312</v>
      </c>
      <c r="AY228" s="32">
        <f t="shared" si="242"/>
        <v>8.4301980696415896E-2</v>
      </c>
      <c r="AZ228" s="32" t="str">
        <f t="shared" si="217"/>
        <v>1+1.25928972477669i</v>
      </c>
      <c r="BA228" s="32">
        <f t="shared" si="243"/>
        <v>1.6080455873289639</v>
      </c>
      <c r="BB228" s="32">
        <f t="shared" si="244"/>
        <v>0.8996642733390976</v>
      </c>
      <c r="BC228" s="60" t="str">
        <f t="shared" si="245"/>
        <v>-0.321680455295719+0.302958101238211i</v>
      </c>
      <c r="BD228" s="51">
        <f t="shared" si="246"/>
        <v>-7.0938243031911528</v>
      </c>
      <c r="BE228" s="63">
        <f t="shared" si="247"/>
        <v>136.71681814253631</v>
      </c>
      <c r="BF228" s="60" t="str">
        <f t="shared" si="248"/>
        <v>0.905417612214067+1.40150985142179i</v>
      </c>
      <c r="BG228" s="66">
        <f t="shared" si="249"/>
        <v>4.4467093381566638</v>
      </c>
      <c r="BH228" s="63">
        <f t="shared" si="250"/>
        <v>57.136321343710996</v>
      </c>
      <c r="BI228" s="60" t="e">
        <f t="shared" si="203"/>
        <v>#NUM!</v>
      </c>
      <c r="BJ228" s="66" t="e">
        <f t="shared" si="251"/>
        <v>#NUM!</v>
      </c>
      <c r="BK228" s="63" t="e">
        <f t="shared" si="204"/>
        <v>#NUM!</v>
      </c>
      <c r="BL228" s="51">
        <f t="shared" si="252"/>
        <v>4.4467093381566638</v>
      </c>
      <c r="BM228" s="63">
        <f t="shared" si="253"/>
        <v>57.136321343710996</v>
      </c>
    </row>
    <row r="229" spans="14:65" x14ac:dyDescent="0.3">
      <c r="N229" s="11">
        <v>11</v>
      </c>
      <c r="O229" s="52">
        <f t="shared" si="254"/>
        <v>1288.2495516931347</v>
      </c>
      <c r="P229" s="50" t="str">
        <f t="shared" si="206"/>
        <v>21.1560044893378</v>
      </c>
      <c r="Q229" s="18" t="str">
        <f t="shared" si="207"/>
        <v>1+5.6414892445187i</v>
      </c>
      <c r="R229" s="18">
        <f t="shared" si="218"/>
        <v>5.7294328598928681</v>
      </c>
      <c r="S229" s="18">
        <f t="shared" si="219"/>
        <v>1.395360445368649</v>
      </c>
      <c r="T229" s="18" t="str">
        <f t="shared" si="208"/>
        <v>1+0.00809431065517899i</v>
      </c>
      <c r="U229" s="18">
        <f t="shared" si="220"/>
        <v>1.000032758395935</v>
      </c>
      <c r="V229" s="18">
        <f t="shared" si="221"/>
        <v>8.0941338881435655E-3</v>
      </c>
      <c r="W229" s="32" t="str">
        <f t="shared" si="209"/>
        <v>1-0.00363525549543246i</v>
      </c>
      <c r="X229" s="18">
        <f t="shared" si="222"/>
        <v>1.0000066075194289</v>
      </c>
      <c r="Y229" s="18">
        <f t="shared" si="223"/>
        <v>-3.6352394821589822E-3</v>
      </c>
      <c r="Z229" s="32" t="str">
        <f t="shared" si="210"/>
        <v>0.999998340413093+0.00198404458131945i</v>
      </c>
      <c r="AA229" s="18">
        <f t="shared" si="224"/>
        <v>1.0000003086308726</v>
      </c>
      <c r="AB229" s="18">
        <f t="shared" si="225"/>
        <v>1.9840452706597228E-3</v>
      </c>
      <c r="AC229" s="68" t="str">
        <f t="shared" si="226"/>
        <v>0.653503073353007-3.6343706486444i</v>
      </c>
      <c r="AD229" s="66">
        <f t="shared" si="227"/>
        <v>11.346779561887033</v>
      </c>
      <c r="AE229" s="63">
        <f t="shared" si="228"/>
        <v>-79.806466008732755</v>
      </c>
      <c r="AF229" s="51" t="e">
        <f t="shared" si="229"/>
        <v>#NUM!</v>
      </c>
      <c r="AG229" s="51" t="str">
        <f t="shared" si="211"/>
        <v>1-3.468990280791i</v>
      </c>
      <c r="AH229" s="51">
        <f t="shared" si="230"/>
        <v>3.6102484081046864</v>
      </c>
      <c r="AI229" s="51">
        <f t="shared" si="231"/>
        <v>-1.2901369872416146</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-0.000133283554228113</v>
      </c>
      <c r="AT229" s="32" t="str">
        <f t="shared" si="215"/>
        <v>0.000494562381031436i</v>
      </c>
      <c r="AU229" s="32">
        <f t="shared" si="239"/>
        <v>4.9456238103143604E-4</v>
      </c>
      <c r="AV229" s="32">
        <f t="shared" si="240"/>
        <v>1.5707963267948966</v>
      </c>
      <c r="AW229" s="32" t="str">
        <f t="shared" si="216"/>
        <v>1+0.086470566898889i</v>
      </c>
      <c r="AX229" s="32">
        <f t="shared" si="241"/>
        <v>1.0037316169872379</v>
      </c>
      <c r="AY229" s="32">
        <f t="shared" si="242"/>
        <v>8.625601058503278E-2</v>
      </c>
      <c r="AZ229" s="32" t="str">
        <f t="shared" si="217"/>
        <v>1+1.28862235061515i</v>
      </c>
      <c r="BA229" s="32">
        <f t="shared" si="243"/>
        <v>1.6311185004483624</v>
      </c>
      <c r="BB229" s="32">
        <f t="shared" si="244"/>
        <v>0.91084773170166211</v>
      </c>
      <c r="BC229" s="60" t="str">
        <f t="shared" si="245"/>
        <v>-0.32157300437567+0.297304562914368i</v>
      </c>
      <c r="BD229" s="51">
        <f t="shared" si="246"/>
        <v>-7.1715320799847024</v>
      </c>
      <c r="BE229" s="63">
        <f t="shared" si="247"/>
        <v>137.24562544141145</v>
      </c>
      <c r="BF229" s="60" t="str">
        <f t="shared" si="248"/>
        <v>0.870366030497171+1.36300493408574i</v>
      </c>
      <c r="BG229" s="66">
        <f t="shared" si="249"/>
        <v>4.1752474819023107</v>
      </c>
      <c r="BH229" s="63">
        <f t="shared" si="250"/>
        <v>57.439159432678622</v>
      </c>
      <c r="BI229" s="60" t="e">
        <f t="shared" si="203"/>
        <v>#NUM!</v>
      </c>
      <c r="BJ229" s="66" t="e">
        <f t="shared" si="251"/>
        <v>#NUM!</v>
      </c>
      <c r="BK229" s="63" t="e">
        <f t="shared" si="204"/>
        <v>#NUM!</v>
      </c>
      <c r="BL229" s="51">
        <f t="shared" si="252"/>
        <v>4.1752474819023107</v>
      </c>
      <c r="BM229" s="63">
        <f t="shared" si="253"/>
        <v>57.439159432678622</v>
      </c>
    </row>
    <row r="230" spans="14:65" x14ac:dyDescent="0.3">
      <c r="N230" s="11">
        <v>12</v>
      </c>
      <c r="O230" s="52">
        <f t="shared" si="254"/>
        <v>1318.2567385564089</v>
      </c>
      <c r="P230" s="50" t="str">
        <f t="shared" si="206"/>
        <v>21.1560044893378</v>
      </c>
      <c r="Q230" s="18" t="str">
        <f t="shared" si="207"/>
        <v>1+5.77289640994324i</v>
      </c>
      <c r="R230" s="18">
        <f t="shared" si="218"/>
        <v>5.8588678906368541</v>
      </c>
      <c r="S230" s="18">
        <f t="shared" si="219"/>
        <v>1.3992751122942919</v>
      </c>
      <c r="T230" s="18" t="str">
        <f t="shared" si="208"/>
        <v>1+0.00828285137078811i</v>
      </c>
      <c r="U230" s="18">
        <f t="shared" si="220"/>
        <v>1.0000343022250939</v>
      </c>
      <c r="V230" s="18">
        <f t="shared" si="221"/>
        <v>8.2826619618480146E-3</v>
      </c>
      <c r="W230" s="32" t="str">
        <f t="shared" si="209"/>
        <v>1-0.00371993147362614i</v>
      </c>
      <c r="X230" s="18">
        <f t="shared" si="222"/>
        <v>1.0000069189211485</v>
      </c>
      <c r="Y230" s="18">
        <f t="shared" si="223"/>
        <v>-3.7199143151008807E-3</v>
      </c>
      <c r="Z230" s="32" t="str">
        <f t="shared" si="210"/>
        <v>0.999998262199171+0.0020302589164368i</v>
      </c>
      <c r="AA230" s="18">
        <f t="shared" si="224"/>
        <v>1.0000003231762626</v>
      </c>
      <c r="AB230" s="18">
        <f t="shared" si="225"/>
        <v>2.0302596550781445E-3</v>
      </c>
      <c r="AC230" s="68" t="str">
        <f t="shared" si="226"/>
        <v>0.625354027522998-3.55652455916617i</v>
      </c>
      <c r="AD230" s="66">
        <f t="shared" si="227"/>
        <v>11.152754132467921</v>
      </c>
      <c r="AE230" s="63">
        <f t="shared" si="228"/>
        <v>-80.027457438567055</v>
      </c>
      <c r="AF230" s="51" t="e">
        <f t="shared" si="229"/>
        <v>#NUM!</v>
      </c>
      <c r="AG230" s="51" t="str">
        <f t="shared" si="211"/>
        <v>1-3.54979344462348i</v>
      </c>
      <c r="AH230" s="51">
        <f t="shared" si="230"/>
        <v>3.6879579037038686</v>
      </c>
      <c r="AI230" s="51">
        <f t="shared" si="231"/>
        <v>-1.2962058594326902</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-0.000133283554228113</v>
      </c>
      <c r="AT230" s="32" t="str">
        <f t="shared" si="215"/>
        <v>0.000506082218755154i</v>
      </c>
      <c r="AU230" s="32">
        <f t="shared" si="239"/>
        <v>5.06082218755154E-4</v>
      </c>
      <c r="AV230" s="32">
        <f t="shared" si="240"/>
        <v>1.5707963267948966</v>
      </c>
      <c r="AW230" s="32" t="str">
        <f t="shared" si="216"/>
        <v>1+0.0884847251461774i</v>
      </c>
      <c r="AX230" s="32">
        <f t="shared" si="241"/>
        <v>1.0039071404189706</v>
      </c>
      <c r="AY230" s="32">
        <f t="shared" si="242"/>
        <v>8.8254872211209215E-2</v>
      </c>
      <c r="AZ230" s="32" t="str">
        <f t="shared" si="217"/>
        <v>1+1.31863822108084i</v>
      </c>
      <c r="BA230" s="32">
        <f t="shared" si="243"/>
        <v>1.6549340645763631</v>
      </c>
      <c r="BB230" s="32">
        <f t="shared" si="244"/>
        <v>0.92196744739573466</v>
      </c>
      <c r="BC230" s="60" t="str">
        <f t="shared" si="245"/>
        <v>-0.321460566360837+0.291807790203438i</v>
      </c>
      <c r="BD230" s="51">
        <f t="shared" si="246"/>
        <v>-7.2471472199953881</v>
      </c>
      <c r="BE230" s="63">
        <f t="shared" si="247"/>
        <v>137.76821188505676</v>
      </c>
      <c r="BF230" s="60" t="str">
        <f t="shared" si="248"/>
        <v>0.836794912550963+1.32576557593209i</v>
      </c>
      <c r="BG230" s="66">
        <f t="shared" si="249"/>
        <v>3.9056069124725368</v>
      </c>
      <c r="BH230" s="63">
        <f t="shared" si="250"/>
        <v>57.740754446489717</v>
      </c>
      <c r="BI230" s="60" t="e">
        <f t="shared" si="203"/>
        <v>#NUM!</v>
      </c>
      <c r="BJ230" s="66" t="e">
        <f t="shared" si="251"/>
        <v>#NUM!</v>
      </c>
      <c r="BK230" s="63" t="e">
        <f t="shared" si="204"/>
        <v>#NUM!</v>
      </c>
      <c r="BL230" s="51">
        <f t="shared" si="252"/>
        <v>3.9056069124725368</v>
      </c>
      <c r="BM230" s="63">
        <f t="shared" si="253"/>
        <v>57.740754446489717</v>
      </c>
    </row>
    <row r="231" spans="14:65" x14ac:dyDescent="0.3">
      <c r="N231" s="11">
        <v>13</v>
      </c>
      <c r="O231" s="52">
        <f t="shared" si="254"/>
        <v>1348.9628825916541</v>
      </c>
      <c r="P231" s="50" t="str">
        <f t="shared" si="206"/>
        <v>21.1560044893378</v>
      </c>
      <c r="Q231" s="18" t="str">
        <f t="shared" si="207"/>
        <v>1+5.90736444145763i</v>
      </c>
      <c r="R231" s="18">
        <f t="shared" si="218"/>
        <v>5.9914067333304972</v>
      </c>
      <c r="S231" s="18">
        <f t="shared" si="219"/>
        <v>1.4031058075241121</v>
      </c>
      <c r="T231" s="18" t="str">
        <f t="shared" si="208"/>
        <v>1+0.0084757837638305i</v>
      </c>
      <c r="U231" s="18">
        <f t="shared" si="220"/>
        <v>1.0000359188101251</v>
      </c>
      <c r="V231" s="18">
        <f t="shared" si="221"/>
        <v>8.4755808088883069E-3</v>
      </c>
      <c r="W231" s="32" t="str">
        <f t="shared" si="209"/>
        <v>1-0.00380657980872624i</v>
      </c>
      <c r="X231" s="18">
        <f t="shared" si="222"/>
        <v>1.0000072449986752</v>
      </c>
      <c r="Y231" s="18">
        <f t="shared" si="223"/>
        <v>-3.8065614230423693E-3</v>
      </c>
      <c r="Z231" s="32" t="str">
        <f t="shared" si="210"/>
        <v>0.999998180299141+0.0020775497217053i</v>
      </c>
      <c r="AA231" s="18">
        <f t="shared" si="224"/>
        <v>1.0000003384071623</v>
      </c>
      <c r="AB231" s="18">
        <f t="shared" si="225"/>
        <v>2.0775505131736833E-3</v>
      </c>
      <c r="AC231" s="68" t="str">
        <f t="shared" si="226"/>
        <v>0.598399646819396-3.48013738174347i</v>
      </c>
      <c r="AD231" s="66">
        <f t="shared" si="227"/>
        <v>10.958468917849213</v>
      </c>
      <c r="AE231" s="63">
        <f t="shared" si="228"/>
        <v>-80.243560752283216</v>
      </c>
      <c r="AF231" s="51" t="e">
        <f t="shared" si="229"/>
        <v>#NUM!</v>
      </c>
      <c r="AG231" s="51" t="str">
        <f t="shared" si="211"/>
        <v>1-3.63247875592736i</v>
      </c>
      <c r="AH231" s="51">
        <f t="shared" si="230"/>
        <v>3.7676122295511756</v>
      </c>
      <c r="AI231" s="51">
        <f t="shared" si="231"/>
        <v>-1.3021567063172206</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-0.000133283554228113</v>
      </c>
      <c r="AT231" s="32" t="str">
        <f t="shared" si="215"/>
        <v>0.000517870387970044i</v>
      </c>
      <c r="AU231" s="32">
        <f t="shared" si="239"/>
        <v>5.1787038797004403E-4</v>
      </c>
      <c r="AV231" s="32">
        <f t="shared" si="240"/>
        <v>1.5707963267948966</v>
      </c>
      <c r="AW231" s="32" t="str">
        <f t="shared" si="216"/>
        <v>1+0.0905457991659718i</v>
      </c>
      <c r="AX231" s="32">
        <f t="shared" si="241"/>
        <v>1.0040909031290963</v>
      </c>
      <c r="AY231" s="32">
        <f t="shared" si="242"/>
        <v>9.0299561471630693E-2</v>
      </c>
      <c r="AZ231" s="32" t="str">
        <f t="shared" si="217"/>
        <v>1+1.34935325098558i</v>
      </c>
      <c r="BA231" s="32">
        <f t="shared" si="243"/>
        <v>1.6795101059372501</v>
      </c>
      <c r="BB231" s="32">
        <f t="shared" si="244"/>
        <v>0.93301831727263862</v>
      </c>
      <c r="BC231" s="60" t="str">
        <f t="shared" si="245"/>
        <v>-0.321342913548438+0.286464807456371i</v>
      </c>
      <c r="BD231" s="51">
        <f t="shared" si="246"/>
        <v>-7.3206984849696148</v>
      </c>
      <c r="BE231" s="63">
        <f t="shared" si="247"/>
        <v>138.28422802391361</v>
      </c>
      <c r="BF231" s="60" t="str">
        <f t="shared" si="248"/>
        <v>0.804645399007561+1.28973792540636i</v>
      </c>
      <c r="BG231" s="66">
        <f t="shared" si="249"/>
        <v>3.6377704328796052</v>
      </c>
      <c r="BH231" s="63">
        <f t="shared" si="250"/>
        <v>58.040667271630454</v>
      </c>
      <c r="BI231" s="60" t="e">
        <f t="shared" si="203"/>
        <v>#NUM!</v>
      </c>
      <c r="BJ231" s="66" t="e">
        <f t="shared" si="251"/>
        <v>#NUM!</v>
      </c>
      <c r="BK231" s="63" t="e">
        <f t="shared" si="204"/>
        <v>#NUM!</v>
      </c>
      <c r="BL231" s="51">
        <f t="shared" si="252"/>
        <v>3.6377704328796052</v>
      </c>
      <c r="BM231" s="63">
        <f t="shared" si="253"/>
        <v>58.040667271630454</v>
      </c>
    </row>
    <row r="232" spans="14:65" x14ac:dyDescent="0.3">
      <c r="N232" s="11">
        <v>14</v>
      </c>
      <c r="O232" s="52">
        <f t="shared" si="254"/>
        <v>1380.3842646028863</v>
      </c>
      <c r="P232" s="50" t="str">
        <f t="shared" si="206"/>
        <v>21.1560044893378</v>
      </c>
      <c r="Q232" s="18" t="str">
        <f t="shared" si="207"/>
        <v>1+6.04496463579211i</v>
      </c>
      <c r="R232" s="18">
        <f t="shared" si="218"/>
        <v>6.1271198330028787</v>
      </c>
      <c r="S232" s="18">
        <f t="shared" si="219"/>
        <v>1.4068541122181981</v>
      </c>
      <c r="T232" s="18" t="str">
        <f t="shared" si="208"/>
        <v>1+0.00867321012961475i</v>
      </c>
      <c r="U232" s="18">
        <f t="shared" si="220"/>
        <v>1.0000376115796608</v>
      </c>
      <c r="V232" s="18">
        <f t="shared" si="221"/>
        <v>8.6729926599178383E-3</v>
      </c>
      <c r="W232" s="32" t="str">
        <f t="shared" si="209"/>
        <v>1-0.00389524644282698i</v>
      </c>
      <c r="X232" s="18">
        <f t="shared" si="222"/>
        <v>1.0000075864436482</v>
      </c>
      <c r="Y232" s="18">
        <f t="shared" si="223"/>
        <v>-3.8952267422198445E-3</v>
      </c>
      <c r="Z232" s="32" t="str">
        <f t="shared" si="210"/>
        <v>0.999998094539282+0.00212594207133586i</v>
      </c>
      <c r="AA232" s="18">
        <f t="shared" si="224"/>
        <v>1.00000035435588</v>
      </c>
      <c r="AB232" s="18">
        <f t="shared" si="225"/>
        <v>2.1259429194094258E-3</v>
      </c>
      <c r="AC232" s="68" t="str">
        <f t="shared" si="226"/>
        <v>0.572592259542002-3.40519553032535i</v>
      </c>
      <c r="AD232" s="66">
        <f t="shared" si="227"/>
        <v>10.763935025633021</v>
      </c>
      <c r="AE232" s="63">
        <f t="shared" si="228"/>
        <v>-80.454864754909394</v>
      </c>
      <c r="AF232" s="51" t="e">
        <f t="shared" si="229"/>
        <v>#NUM!</v>
      </c>
      <c r="AG232" s="51" t="str">
        <f t="shared" si="211"/>
        <v>1-3.71709005554918i</v>
      </c>
      <c r="AH232" s="51">
        <f t="shared" si="230"/>
        <v>3.8492542759686068</v>
      </c>
      <c r="AI232" s="51">
        <f t="shared" si="231"/>
        <v>-1.3079909965645145</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-0.000133283554228113</v>
      </c>
      <c r="AT232" s="32" t="str">
        <f t="shared" si="215"/>
        <v>0.000529933138919461i</v>
      </c>
      <c r="AU232" s="32">
        <f t="shared" si="239"/>
        <v>5.2993313891946101E-4</v>
      </c>
      <c r="AV232" s="32">
        <f t="shared" si="240"/>
        <v>1.5707963267948966</v>
      </c>
      <c r="AW232" s="32" t="str">
        <f t="shared" si="216"/>
        <v>1+0.0926548817669995i</v>
      </c>
      <c r="AX232" s="32">
        <f t="shared" si="241"/>
        <v>1.0042832902698604</v>
      </c>
      <c r="AY232" s="32">
        <f t="shared" si="242"/>
        <v>9.2391094063005455E-2</v>
      </c>
      <c r="AZ232" s="32" t="str">
        <f t="shared" si="217"/>
        <v>1+1.3807837258448i</v>
      </c>
      <c r="BA232" s="32">
        <f t="shared" si="243"/>
        <v>1.7048647153243122</v>
      </c>
      <c r="BB232" s="32">
        <f t="shared" si="244"/>
        <v>0.94399540463084852</v>
      </c>
      <c r="BC232" s="60" t="str">
        <f t="shared" si="245"/>
        <v>-0.321219808198777+0.281272716307176i</v>
      </c>
      <c r="BD232" s="51">
        <f t="shared" si="246"/>
        <v>-7.3922165492253766</v>
      </c>
      <c r="BE232" s="63">
        <f t="shared" si="247"/>
        <v>138.79333281068557</v>
      </c>
      <c r="BF232" s="60" t="str">
        <f t="shared" si="248"/>
        <v>0.77386062058548+1.25487083530828i</v>
      </c>
      <c r="BG232" s="66">
        <f t="shared" si="249"/>
        <v>3.371718476407624</v>
      </c>
      <c r="BH232" s="63">
        <f t="shared" si="250"/>
        <v>58.338468055776083</v>
      </c>
      <c r="BI232" s="60" t="e">
        <f t="shared" si="203"/>
        <v>#NUM!</v>
      </c>
      <c r="BJ232" s="66" t="e">
        <f t="shared" si="251"/>
        <v>#NUM!</v>
      </c>
      <c r="BK232" s="63" t="e">
        <f t="shared" si="204"/>
        <v>#NUM!</v>
      </c>
      <c r="BL232" s="51">
        <f t="shared" si="252"/>
        <v>3.371718476407624</v>
      </c>
      <c r="BM232" s="63">
        <f t="shared" si="253"/>
        <v>58.338468055776083</v>
      </c>
    </row>
    <row r="233" spans="14:65" x14ac:dyDescent="0.3">
      <c r="N233" s="11">
        <v>15</v>
      </c>
      <c r="O233" s="52">
        <f t="shared" si="254"/>
        <v>1412.5375446227545</v>
      </c>
      <c r="P233" s="50" t="str">
        <f t="shared" si="206"/>
        <v>21.1560044893378</v>
      </c>
      <c r="Q233" s="18" t="str">
        <f t="shared" si="207"/>
        <v>1+6.18576995039104i</v>
      </c>
      <c r="R233" s="18">
        <f t="shared" si="218"/>
        <v>6.2660793068042766</v>
      </c>
      <c r="S233" s="18">
        <f t="shared" si="219"/>
        <v>1.410521592261802</v>
      </c>
      <c r="T233" s="18" t="str">
        <f t="shared" si="208"/>
        <v>1+0.00887523514621322i</v>
      </c>
      <c r="U233" s="18">
        <f t="shared" si="220"/>
        <v>1.0000393841238957</v>
      </c>
      <c r="V233" s="18">
        <f t="shared" si="221"/>
        <v>8.8750021237303141E-3</v>
      </c>
      <c r="W233" s="32" t="str">
        <f t="shared" si="209"/>
        <v>1-0.00398597838815138i</v>
      </c>
      <c r="X233" s="18">
        <f t="shared" si="222"/>
        <v>1.000007943980302</v>
      </c>
      <c r="Y233" s="18">
        <f t="shared" si="223"/>
        <v>-3.9859572785795666E-3</v>
      </c>
      <c r="Z233" s="32" t="str">
        <f t="shared" si="210"/>
        <v>0.999998004737685+0.00217546162359282i</v>
      </c>
      <c r="AA233" s="18">
        <f t="shared" si="224"/>
        <v>1.0000003710562446</v>
      </c>
      <c r="AB233" s="18">
        <f t="shared" si="225"/>
        <v>2.1754625323199216E-3</v>
      </c>
      <c r="AC233" s="68" t="str">
        <f t="shared" si="226"/>
        <v>0.547885835473441-3.33168455242883i</v>
      </c>
      <c r="AD233" s="66">
        <f t="shared" si="227"/>
        <v>10.56916312201589</v>
      </c>
      <c r="AE233" s="63">
        <f t="shared" si="228"/>
        <v>-80.661457334787443</v>
      </c>
      <c r="AF233" s="51" t="e">
        <f t="shared" si="229"/>
        <v>#NUM!</v>
      </c>
      <c r="AG233" s="51" t="str">
        <f t="shared" si="211"/>
        <v>1-3.80367220551996i</v>
      </c>
      <c r="AH233" s="51">
        <f t="shared" si="230"/>
        <v>3.9329279483668498</v>
      </c>
      <c r="AI233" s="51">
        <f t="shared" si="231"/>
        <v>-1.3137102342057767</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-0.000133283554228113</v>
      </c>
      <c r="AT233" s="32" t="str">
        <f t="shared" si="215"/>
        <v>0.000542276867433628i</v>
      </c>
      <c r="AU233" s="32">
        <f t="shared" si="239"/>
        <v>5.4227686743362803E-4</v>
      </c>
      <c r="AV233" s="32">
        <f t="shared" si="240"/>
        <v>1.5707963267948966</v>
      </c>
      <c r="AW233" s="32" t="str">
        <f t="shared" si="216"/>
        <v>1+0.0948130912127724i</v>
      </c>
      <c r="AX233" s="32">
        <f t="shared" si="241"/>
        <v>1.0044847048438923</v>
      </c>
      <c r="AY233" s="32">
        <f t="shared" si="242"/>
        <v>9.4530505707731319E-2</v>
      </c>
      <c r="AZ233" s="32" t="str">
        <f t="shared" si="217"/>
        <v>1+1.41294631051229i</v>
      </c>
      <c r="BA233" s="32">
        <f t="shared" si="243"/>
        <v>1.7310162553801431</v>
      </c>
      <c r="BB233" s="32">
        <f t="shared" si="244"/>
        <v>0.95489394836477848</v>
      </c>
      <c r="BC233" s="60" t="str">
        <f t="shared" si="245"/>
        <v>-0.321091002127321+0.276228693845717i</v>
      </c>
      <c r="BD233" s="51">
        <f t="shared" si="246"/>
        <v>-7.4617339036412034</v>
      </c>
      <c r="BE233" s="63">
        <f t="shared" si="247"/>
        <v>139.2951941115945</v>
      </c>
      <c r="BF233" s="60" t="str">
        <f t="shared" si="248"/>
        <v>0.744385660259836+1.22111572042089i</v>
      </c>
      <c r="BG233" s="66">
        <f t="shared" si="249"/>
        <v>3.1074292183747056</v>
      </c>
      <c r="BH233" s="63">
        <f t="shared" si="250"/>
        <v>58.633736776807154</v>
      </c>
      <c r="BI233" s="60" t="e">
        <f t="shared" si="203"/>
        <v>#NUM!</v>
      </c>
      <c r="BJ233" s="66" t="e">
        <f t="shared" si="251"/>
        <v>#NUM!</v>
      </c>
      <c r="BK233" s="63" t="e">
        <f t="shared" si="204"/>
        <v>#NUM!</v>
      </c>
      <c r="BL233" s="51">
        <f t="shared" si="252"/>
        <v>3.1074292183747056</v>
      </c>
      <c r="BM233" s="63">
        <f t="shared" si="253"/>
        <v>58.633736776807154</v>
      </c>
    </row>
    <row r="234" spans="14:65" x14ac:dyDescent="0.3">
      <c r="N234" s="11">
        <v>16</v>
      </c>
      <c r="O234" s="52">
        <f t="shared" si="254"/>
        <v>1445.4397707459289</v>
      </c>
      <c r="P234" s="50" t="str">
        <f t="shared" si="206"/>
        <v>21.1560044893378</v>
      </c>
      <c r="Q234" s="18" t="str">
        <f t="shared" si="207"/>
        <v>1+6.32985504209603i</v>
      </c>
      <c r="R234" s="18">
        <f t="shared" si="218"/>
        <v>6.4083589829182115</v>
      </c>
      <c r="S234" s="18">
        <f t="shared" si="219"/>
        <v>1.414109797368355</v>
      </c>
      <c r="T234" s="18" t="str">
        <f t="shared" si="208"/>
        <v>1+0.00908196592996385i</v>
      </c>
      <c r="U234" s="18">
        <f t="shared" si="220"/>
        <v>1.0000412402021994</v>
      </c>
      <c r="V234" s="18">
        <f t="shared" si="221"/>
        <v>9.0817162424309747E-3</v>
      </c>
      <c r="W234" s="32" t="str">
        <f t="shared" si="209"/>
        <v>1-0.00407882375197785i</v>
      </c>
      <c r="X234" s="18">
        <f t="shared" si="222"/>
        <v>1.0000083183670023</v>
      </c>
      <c r="Y234" s="18">
        <f t="shared" si="223"/>
        <v>-4.0788011326742882E-3</v>
      </c>
      <c r="Z234" s="32" t="str">
        <f t="shared" si="210"/>
        <v>0.999997910703869+0.00222613463439824i</v>
      </c>
      <c r="AA234" s="18">
        <f t="shared" si="224"/>
        <v>1.0000003885436815</v>
      </c>
      <c r="AB234" s="18">
        <f t="shared" si="225"/>
        <v>2.226135608116765E-3</v>
      </c>
      <c r="AC234" s="68" t="str">
        <f t="shared" si="226"/>
        <v>0.52423595236602-3.25958921368644i</v>
      </c>
      <c r="AD234" s="66">
        <f t="shared" si="227"/>
        <v>10.374163447235423</v>
      </c>
      <c r="AE234" s="63">
        <f t="shared" si="228"/>
        <v>-80.86342541122437</v>
      </c>
      <c r="AF234" s="51" t="e">
        <f t="shared" si="229"/>
        <v>#NUM!</v>
      </c>
      <c r="AG234" s="51" t="str">
        <f t="shared" si="211"/>
        <v>1-3.89227111284166i</v>
      </c>
      <c r="AH234" s="51">
        <f t="shared" si="230"/>
        <v>4.0186781926227502</v>
      </c>
      <c r="AI234" s="51">
        <f t="shared" si="231"/>
        <v>-1.3193159544462332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-0.000133283554228113</v>
      </c>
      <c r="AT234" s="32" t="str">
        <f t="shared" si="215"/>
        <v>0.000554908118320791i</v>
      </c>
      <c r="AU234" s="32">
        <f t="shared" si="239"/>
        <v>5.54908118320791E-4</v>
      </c>
      <c r="AV234" s="32">
        <f t="shared" si="240"/>
        <v>1.5707963267948966</v>
      </c>
      <c r="AW234" s="32" t="str">
        <f t="shared" si="216"/>
        <v>1+0.097021571814506i</v>
      </c>
      <c r="AX234" s="32">
        <f t="shared" si="241"/>
        <v>1.0046955685168306</v>
      </c>
      <c r="AY234" s="32">
        <f t="shared" si="242"/>
        <v>9.6718852368866418E-2</v>
      </c>
      <c r="AZ234" s="32" t="str">
        <f t="shared" si="217"/>
        <v>1+1.44585805801617i</v>
      </c>
      <c r="BA234" s="32">
        <f t="shared" si="243"/>
        <v>1.7579833685021853</v>
      </c>
      <c r="BB234" s="32">
        <f t="shared" si="244"/>
        <v>0.96570937114880029</v>
      </c>
      <c r="BC234" s="60" t="str">
        <f t="shared" si="245"/>
        <v>-0.320956236283564+0.271329990811386i</v>
      </c>
      <c r="BD234" s="51">
        <f t="shared" si="246"/>
        <v>-7.5292847559328422</v>
      </c>
      <c r="BE234" s="63">
        <f t="shared" si="247"/>
        <v>139.78948916297415</v>
      </c>
      <c r="BF234" s="60" t="str">
        <f t="shared" si="248"/>
        <v>0.716167513202507+1.18842642199377i</v>
      </c>
      <c r="BG234" s="66">
        <f t="shared" si="249"/>
        <v>2.8448786913025677</v>
      </c>
      <c r="BH234" s="63">
        <f t="shared" si="250"/>
        <v>58.926063751749766</v>
      </c>
      <c r="BI234" s="60" t="e">
        <f t="shared" si="203"/>
        <v>#NUM!</v>
      </c>
      <c r="BJ234" s="66" t="e">
        <f t="shared" si="251"/>
        <v>#NUM!</v>
      </c>
      <c r="BK234" s="63" t="e">
        <f t="shared" si="204"/>
        <v>#NUM!</v>
      </c>
      <c r="BL234" s="51">
        <f t="shared" si="252"/>
        <v>2.8448786913025677</v>
      </c>
      <c r="BM234" s="63">
        <f t="shared" si="253"/>
        <v>58.926063751749766</v>
      </c>
    </row>
    <row r="235" spans="14:65" x14ac:dyDescent="0.3">
      <c r="N235" s="11">
        <v>17</v>
      </c>
      <c r="O235" s="52">
        <f t="shared" si="254"/>
        <v>1479.1083881682086</v>
      </c>
      <c r="P235" s="50" t="str">
        <f t="shared" si="206"/>
        <v>21.1560044893378</v>
      </c>
      <c r="Q235" s="18" t="str">
        <f t="shared" si="207"/>
        <v>1+6.47729630672986i</v>
      </c>
      <c r="R235" s="18">
        <f t="shared" si="218"/>
        <v>6.5540344403410238</v>
      </c>
      <c r="S235" s="18">
        <f t="shared" si="219"/>
        <v>1.4176202602718588</v>
      </c>
      <c r="T235" s="18" t="str">
        <f t="shared" si="208"/>
        <v>1+0.00929351209226457i</v>
      </c>
      <c r="U235" s="18">
        <f t="shared" si="220"/>
        <v>1.0000431837510864</v>
      </c>
      <c r="V235" s="18">
        <f t="shared" si="221"/>
        <v>9.293244547876783E-3</v>
      </c>
      <c r="W235" s="32" t="str">
        <f t="shared" si="209"/>
        <v>1-0.00417383176214722i</v>
      </c>
      <c r="X235" s="18">
        <f t="shared" si="222"/>
        <v>1.0000087103978539</v>
      </c>
      <c r="Y235" s="18">
        <f t="shared" si="223"/>
        <v>-4.1738075251381837E-3</v>
      </c>
      <c r="Z235" s="32" t="str">
        <f t="shared" si="210"/>
        <v>0.999997812238376+0.0022779879712532i</v>
      </c>
      <c r="AA235" s="18">
        <f t="shared" si="224"/>
        <v>1.000000406855285</v>
      </c>
      <c r="AB235" s="18">
        <f t="shared" si="225"/>
        <v>2.2779890146112764E-3</v>
      </c>
      <c r="AC235" s="68" t="str">
        <f t="shared" si="226"/>
        <v>0.501599760869116-3.18889357750093i</v>
      </c>
      <c r="AD235" s="66">
        <f t="shared" si="227"/>
        <v>10.178945830695643</v>
      </c>
      <c r="AE235" s="63">
        <f t="shared" si="228"/>
        <v>-81.060854887243266</v>
      </c>
      <c r="AF235" s="51" t="e">
        <f t="shared" si="229"/>
        <v>#NUM!</v>
      </c>
      <c r="AG235" s="51" t="str">
        <f t="shared" si="211"/>
        <v>1-3.98293375382768i</v>
      </c>
      <c r="AH235" s="51">
        <f t="shared" si="230"/>
        <v>4.1065510209152221</v>
      </c>
      <c r="AI235" s="51">
        <f t="shared" si="231"/>
        <v>-1.3248097196872533</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-0.000133283554228113</v>
      </c>
      <c r="AT235" s="32" t="str">
        <f t="shared" si="215"/>
        <v>0.000567833588837365i</v>
      </c>
      <c r="AU235" s="32">
        <f t="shared" si="239"/>
        <v>5.6783358883736505E-4</v>
      </c>
      <c r="AV235" s="32">
        <f t="shared" si="240"/>
        <v>1.5707963267948966</v>
      </c>
      <c r="AW235" s="32" t="str">
        <f t="shared" si="216"/>
        <v>1+0.0992814945378479i</v>
      </c>
      <c r="AX235" s="32">
        <f t="shared" si="241"/>
        <v>1.0049163224655417</v>
      </c>
      <c r="AY235" s="32">
        <f t="shared" si="242"/>
        <v>9.895721045311516E-2</v>
      </c>
      <c r="AZ235" s="32" t="str">
        <f t="shared" si="217"/>
        <v>1+1.47953641860061i</v>
      </c>
      <c r="BA235" s="32">
        <f t="shared" si="243"/>
        <v>1.7857849853679246</v>
      </c>
      <c r="BB235" s="32">
        <f t="shared" si="244"/>
        <v>0.97643728663805962</v>
      </c>
      <c r="BC235" s="60" t="str">
        <f t="shared" si="245"/>
        <v>-0.320815240316577+0.266573929805571i</v>
      </c>
      <c r="BD235" s="51">
        <f t="shared" si="246"/>
        <v>-7.5949049280017231</v>
      </c>
      <c r="BE235" s="63">
        <f t="shared" si="247"/>
        <v>140.27590497221541</v>
      </c>
      <c r="BF235" s="60" t="str">
        <f t="shared" si="248"/>
        <v>0.689155044860206+1.15675907885436i</v>
      </c>
      <c r="BG235" s="66">
        <f t="shared" si="249"/>
        <v>2.5840409026938933</v>
      </c>
      <c r="BH235" s="63">
        <f t="shared" si="250"/>
        <v>59.215050084972056</v>
      </c>
      <c r="BI235" s="60" t="e">
        <f t="shared" si="203"/>
        <v>#NUM!</v>
      </c>
      <c r="BJ235" s="66" t="e">
        <f t="shared" si="251"/>
        <v>#NUM!</v>
      </c>
      <c r="BK235" s="63" t="e">
        <f t="shared" si="204"/>
        <v>#NUM!</v>
      </c>
      <c r="BL235" s="51">
        <f t="shared" si="252"/>
        <v>2.5840409026938933</v>
      </c>
      <c r="BM235" s="63">
        <f t="shared" si="253"/>
        <v>59.215050084972056</v>
      </c>
    </row>
    <row r="236" spans="14:65" x14ac:dyDescent="0.3">
      <c r="N236" s="11">
        <v>18</v>
      </c>
      <c r="O236" s="52">
        <f t="shared" si="254"/>
        <v>1513.5612484362093</v>
      </c>
      <c r="P236" s="50" t="str">
        <f t="shared" si="206"/>
        <v>21.1560044893378</v>
      </c>
      <c r="Q236" s="18" t="str">
        <f t="shared" si="207"/>
        <v>1+6.62817191960268i</v>
      </c>
      <c r="R236" s="18">
        <f t="shared" si="218"/>
        <v>6.7031830495526137</v>
      </c>
      <c r="S236" s="18">
        <f t="shared" si="219"/>
        <v>1.4210544960034299</v>
      </c>
      <c r="T236" s="18" t="str">
        <f t="shared" si="208"/>
        <v>1+0.00950998579769078i</v>
      </c>
      <c r="U236" s="18">
        <f t="shared" si="220"/>
        <v>1.0000452188925619</v>
      </c>
      <c r="V236" s="18">
        <f t="shared" si="221"/>
        <v>9.5096991194143568E-3</v>
      </c>
      <c r="W236" s="32" t="str">
        <f t="shared" si="209"/>
        <v>1-0.00427105279316409i</v>
      </c>
      <c r="X236" s="18">
        <f t="shared" si="222"/>
        <v>1.0000091209043855</v>
      </c>
      <c r="Y236" s="18">
        <f t="shared" si="223"/>
        <v>-4.2710268227537998E-3</v>
      </c>
      <c r="Z236" s="32" t="str">
        <f t="shared" si="210"/>
        <v>0.999997709132347+0.00233104912748325i</v>
      </c>
      <c r="AA236" s="18">
        <f t="shared" si="224"/>
        <v>1.0000004260298978</v>
      </c>
      <c r="AB236" s="18">
        <f t="shared" si="225"/>
        <v>2.3310502454614358E-3</v>
      </c>
      <c r="AC236" s="68" t="str">
        <f t="shared" si="226"/>
        <v>0.479935948179693-3.11958107998681i</v>
      </c>
      <c r="AD236" s="66">
        <f t="shared" si="227"/>
        <v>9.9835197057584733</v>
      </c>
      <c r="AE236" s="63">
        <f t="shared" si="228"/>
        <v>-81.253830607133978</v>
      </c>
      <c r="AF236" s="51" t="e">
        <f t="shared" si="229"/>
        <v>#NUM!</v>
      </c>
      <c r="AG236" s="51" t="str">
        <f t="shared" si="211"/>
        <v>1-4.07570819901034i</v>
      </c>
      <c r="AH236" s="51">
        <f t="shared" si="230"/>
        <v>4.1965935380353567</v>
      </c>
      <c r="AI236" s="51">
        <f t="shared" si="231"/>
        <v>-1.3301931157554576</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-0.000133283554228113</v>
      </c>
      <c r="AT236" s="32" t="str">
        <f t="shared" si="215"/>
        <v>0.000581060132238907i</v>
      </c>
      <c r="AU236" s="32">
        <f t="shared" si="239"/>
        <v>5.81060132238907E-4</v>
      </c>
      <c r="AV236" s="32">
        <f t="shared" si="240"/>
        <v>1.5707963267948966</v>
      </c>
      <c r="AW236" s="32" t="str">
        <f t="shared" si="216"/>
        <v>1+0.10159405762374i</v>
      </c>
      <c r="AX236" s="32">
        <f t="shared" si="241"/>
        <v>1.0051474282633648</v>
      </c>
      <c r="AY236" s="32">
        <f t="shared" si="242"/>
        <v>0.10124667700045537</v>
      </c>
      <c r="AZ236" s="32" t="str">
        <f t="shared" si="217"/>
        <v>1+1.51399924897817i</v>
      </c>
      <c r="BA236" s="32">
        <f t="shared" si="243"/>
        <v>1.8144403340717663</v>
      </c>
      <c r="BB236" s="32">
        <f t="shared" si="244"/>
        <v>0.98707350567679719</v>
      </c>
      <c r="BC236" s="60" t="str">
        <f t="shared" si="245"/>
        <v>-0.320667732127224+0.261957903520711i</v>
      </c>
      <c r="BD236" s="51">
        <f t="shared" si="246"/>
        <v>-7.6586317511361548</v>
      </c>
      <c r="BE236" s="63">
        <f t="shared" si="247"/>
        <v>140.7541386626126</v>
      </c>
      <c r="BF236" s="60" t="str">
        <f t="shared" si="248"/>
        <v>0.663298947507109+1.12607200491574i</v>
      </c>
      <c r="BG236" s="66">
        <f t="shared" si="249"/>
        <v>2.324887954622298</v>
      </c>
      <c r="BH236" s="63">
        <f t="shared" si="250"/>
        <v>59.500308055478577</v>
      </c>
      <c r="BI236" s="60" t="e">
        <f t="shared" si="203"/>
        <v>#NUM!</v>
      </c>
      <c r="BJ236" s="66" t="e">
        <f t="shared" si="251"/>
        <v>#NUM!</v>
      </c>
      <c r="BK236" s="63" t="e">
        <f t="shared" si="204"/>
        <v>#NUM!</v>
      </c>
      <c r="BL236" s="51">
        <f t="shared" si="252"/>
        <v>2.324887954622298</v>
      </c>
      <c r="BM236" s="63">
        <f t="shared" si="253"/>
        <v>59.500308055478577</v>
      </c>
    </row>
    <row r="237" spans="14:65" x14ac:dyDescent="0.3">
      <c r="N237" s="11">
        <v>19</v>
      </c>
      <c r="O237" s="52">
        <f t="shared" si="254"/>
        <v>1548.8166189124822</v>
      </c>
      <c r="P237" s="50" t="str">
        <f t="shared" si="206"/>
        <v>21.1560044893378</v>
      </c>
      <c r="Q237" s="18" t="str">
        <f t="shared" si="207"/>
        <v>1+6.78256187696149i</v>
      </c>
      <c r="R237" s="18">
        <f t="shared" si="218"/>
        <v>6.8558840141014183</v>
      </c>
      <c r="S237" s="18">
        <f t="shared" si="219"/>
        <v>1.4244140012469564</v>
      </c>
      <c r="T237" s="18" t="str">
        <f t="shared" si="208"/>
        <v>1+0.00973150182346647i</v>
      </c>
      <c r="U237" s="18">
        <f t="shared" si="220"/>
        <v>1.0000473499428615</v>
      </c>
      <c r="V237" s="18">
        <f t="shared" si="221"/>
        <v>9.7311946429444081E-3</v>
      </c>
      <c r="W237" s="32" t="str">
        <f t="shared" si="209"/>
        <v>1-0.00437053839290595i</v>
      </c>
      <c r="X237" s="18">
        <f t="shared" si="222"/>
        <v>1.0000095507573135</v>
      </c>
      <c r="Y237" s="18">
        <f t="shared" si="223"/>
        <v>-4.3705105651243139E-3</v>
      </c>
      <c r="Z237" s="32" t="str">
        <f t="shared" si="210"/>
        <v>0.999997601167081+0.00238534623681578i</v>
      </c>
      <c r="AA237" s="18">
        <f t="shared" si="224"/>
        <v>1.0000004461081935</v>
      </c>
      <c r="AB237" s="18">
        <f t="shared" si="225"/>
        <v>2.3853474347508355E-3</v>
      </c>
      <c r="AC237" s="68" t="str">
        <f t="shared" si="226"/>
        <v>0.459204700673809-3.05163460038118i</v>
      </c>
      <c r="AD237" s="66">
        <f t="shared" si="227"/>
        <v>9.7878941241904602</v>
      </c>
      <c r="AE237" s="63">
        <f t="shared" si="228"/>
        <v>-81.442436318514495</v>
      </c>
      <c r="AF237" s="51" t="e">
        <f t="shared" si="229"/>
        <v>#NUM!</v>
      </c>
      <c r="AG237" s="51" t="str">
        <f t="shared" si="211"/>
        <v>1-4.17064363862849i</v>
      </c>
      <c r="AH237" s="51">
        <f t="shared" si="230"/>
        <v>4.2888539681868734</v>
      </c>
      <c r="AI237" s="51">
        <f t="shared" si="231"/>
        <v>-1.3354677483350501</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-0.000133283554228113</v>
      </c>
      <c r="AT237" s="32" t="str">
        <f t="shared" si="215"/>
        <v>0.000594594761413802i</v>
      </c>
      <c r="AU237" s="32">
        <f t="shared" si="239"/>
        <v>5.9459476141380196E-4</v>
      </c>
      <c r="AV237" s="32">
        <f t="shared" si="240"/>
        <v>1.5707963267948966</v>
      </c>
      <c r="AW237" s="32" t="str">
        <f t="shared" si="216"/>
        <v>1+0.10396048722374i</v>
      </c>
      <c r="AX237" s="32">
        <f t="shared" si="241"/>
        <v>1.0053893688038467</v>
      </c>
      <c r="AY237" s="32">
        <f t="shared" si="242"/>
        <v>0.10358836985892954</v>
      </c>
      <c r="AZ237" s="32" t="str">
        <f t="shared" si="217"/>
        <v>1+1.54926482179768i</v>
      </c>
      <c r="BA237" s="32">
        <f t="shared" si="243"/>
        <v>1.8439689498632557</v>
      </c>
      <c r="BB237" s="32">
        <f t="shared" si="244"/>
        <v>0.99761404151359867</v>
      </c>
      <c r="BC237" s="60" t="str">
        <f t="shared" si="245"/>
        <v>-0.320513417407049+0.257479372983719i</v>
      </c>
      <c r="BD237" s="51">
        <f t="shared" si="246"/>
        <v>-7.7205039598335921</v>
      </c>
      <c r="BE237" s="63">
        <f t="shared" si="247"/>
        <v>141.2238977621613</v>
      </c>
      <c r="BF237" s="60" t="str">
        <f t="shared" si="248"/>
        <v>0.638551695579225+1.09632557284643i</v>
      </c>
      <c r="BG237" s="66">
        <f t="shared" si="249"/>
        <v>2.0673901643568406</v>
      </c>
      <c r="BH237" s="63">
        <f t="shared" si="250"/>
        <v>59.781461443646663</v>
      </c>
      <c r="BI237" s="60" t="e">
        <f t="shared" si="203"/>
        <v>#NUM!</v>
      </c>
      <c r="BJ237" s="66" t="e">
        <f t="shared" si="251"/>
        <v>#NUM!</v>
      </c>
      <c r="BK237" s="63" t="e">
        <f t="shared" si="204"/>
        <v>#NUM!</v>
      </c>
      <c r="BL237" s="51">
        <f t="shared" si="252"/>
        <v>2.0673901643568406</v>
      </c>
      <c r="BM237" s="63">
        <f t="shared" si="253"/>
        <v>59.781461443646663</v>
      </c>
    </row>
    <row r="238" spans="14:65" x14ac:dyDescent="0.3">
      <c r="N238" s="11">
        <v>20</v>
      </c>
      <c r="O238" s="52">
        <f t="shared" si="254"/>
        <v>1584.8931924611156</v>
      </c>
      <c r="P238" s="50" t="str">
        <f t="shared" si="206"/>
        <v>21.1560044893378</v>
      </c>
      <c r="Q238" s="18" t="str">
        <f t="shared" si="207"/>
        <v>1+6.9405480384053i</v>
      </c>
      <c r="R238" s="18">
        <f t="shared" si="218"/>
        <v>7.0122184131280205</v>
      </c>
      <c r="S238" s="18">
        <f t="shared" si="219"/>
        <v>1.4277002537690422</v>
      </c>
      <c r="T238" s="18" t="str">
        <f t="shared" si="208"/>
        <v>1+0.00995817762032063i</v>
      </c>
      <c r="U238" s="18">
        <f t="shared" si="220"/>
        <v>1.0000495814216002</v>
      </c>
      <c r="V238" s="18">
        <f t="shared" si="221"/>
        <v>9.9578484713424079E-3</v>
      </c>
      <c r="W238" s="32" t="str">
        <f t="shared" si="209"/>
        <v>1-0.00447234130995465i</v>
      </c>
      <c r="X238" s="18">
        <f t="shared" si="222"/>
        <v>1.0000100008683876</v>
      </c>
      <c r="Y238" s="18">
        <f t="shared" si="223"/>
        <v>-4.4723114919655105E-3</v>
      </c>
      <c r="Z238" s="32" t="str">
        <f t="shared" si="210"/>
        <v>0.999997488113568+0.00244090808829685i</v>
      </c>
      <c r="AA238" s="18">
        <f t="shared" si="224"/>
        <v>1.0000004671327616</v>
      </c>
      <c r="AB238" s="18">
        <f t="shared" si="225"/>
        <v>2.4409093719072188E-3</v>
      </c>
      <c r="AC238" s="68" t="str">
        <f t="shared" si="226"/>
        <v>0.439367665753602-2.98503652710805i</v>
      </c>
      <c r="AD238" s="66">
        <f t="shared" si="227"/>
        <v>9.5920777702566831</v>
      </c>
      <c r="AE238" s="63">
        <f t="shared" si="228"/>
        <v>-81.626754638625698</v>
      </c>
      <c r="AF238" s="51" t="e">
        <f t="shared" si="229"/>
        <v>#NUM!</v>
      </c>
      <c r="AG238" s="51" t="str">
        <f t="shared" si="211"/>
        <v>1-4.26779040870885i</v>
      </c>
      <c r="AH238" s="51">
        <f t="shared" si="230"/>
        <v>4.3833816822936207</v>
      </c>
      <c r="AI238" s="51">
        <f t="shared" si="231"/>
        <v>-1.3406352395989976</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-0.000133283554228113</v>
      </c>
      <c r="AT238" s="32" t="str">
        <f t="shared" si="215"/>
        <v>0.00060844465260159i</v>
      </c>
      <c r="AU238" s="32">
        <f t="shared" si="239"/>
        <v>6.0844465260159004E-4</v>
      </c>
      <c r="AV238" s="32">
        <f t="shared" si="240"/>
        <v>1.5707963267948966</v>
      </c>
      <c r="AW238" s="32" t="str">
        <f t="shared" si="216"/>
        <v>1+0.106382038050146i</v>
      </c>
      <c r="AX238" s="32">
        <f t="shared" si="241"/>
        <v>1.0056426492644903</v>
      </c>
      <c r="AY238" s="32">
        <f t="shared" si="242"/>
        <v>0.1059834278430318</v>
      </c>
      <c r="AZ238" s="32" t="str">
        <f t="shared" si="217"/>
        <v>1+1.58535183533266i</v>
      </c>
      <c r="BA238" s="32">
        <f t="shared" si="243"/>
        <v>1.8743906854742516</v>
      </c>
      <c r="BB238" s="32">
        <f t="shared" si="244"/>
        <v>1.0080551140312972</v>
      </c>
      <c r="BC238" s="60" t="str">
        <f t="shared" si="245"/>
        <v>-0.320351989163886+0.253135865811493i</v>
      </c>
      <c r="BD238" s="51">
        <f t="shared" si="246"/>
        <v>-7.7805615849924168</v>
      </c>
      <c r="BE238" s="63">
        <f t="shared" si="247"/>
        <v>141.68490043683735</v>
      </c>
      <c r="BF238" s="60" t="str">
        <f t="shared" si="248"/>
        <v>0.614867500069969+1.06748210366603i</v>
      </c>
      <c r="BG238" s="66">
        <f t="shared" si="249"/>
        <v>1.811516185264241</v>
      </c>
      <c r="BH238" s="63">
        <f t="shared" si="250"/>
        <v>60.058145798211527</v>
      </c>
      <c r="BI238" s="60" t="e">
        <f t="shared" si="203"/>
        <v>#NUM!</v>
      </c>
      <c r="BJ238" s="66" t="e">
        <f t="shared" si="251"/>
        <v>#NUM!</v>
      </c>
      <c r="BK238" s="63" t="e">
        <f t="shared" si="204"/>
        <v>#NUM!</v>
      </c>
      <c r="BL238" s="51">
        <f t="shared" si="252"/>
        <v>1.811516185264241</v>
      </c>
      <c r="BM238" s="63">
        <f t="shared" si="253"/>
        <v>60.058145798211527</v>
      </c>
    </row>
    <row r="239" spans="14:65" x14ac:dyDescent="0.3">
      <c r="N239" s="11">
        <v>21</v>
      </c>
      <c r="O239" s="52">
        <f t="shared" si="254"/>
        <v>1621.8100973589308</v>
      </c>
      <c r="P239" s="50" t="str">
        <f t="shared" si="206"/>
        <v>21.1560044893378</v>
      </c>
      <c r="Q239" s="18" t="str">
        <f t="shared" si="207"/>
        <v>1+7.10221417028805i</v>
      </c>
      <c r="R239" s="18">
        <f t="shared" si="218"/>
        <v>7.1722692448513374</v>
      </c>
      <c r="S239" s="18">
        <f t="shared" si="219"/>
        <v>1.4309147119185981</v>
      </c>
      <c r="T239" s="18" t="str">
        <f t="shared" si="208"/>
        <v>1+0.0101901333747611i</v>
      </c>
      <c r="U239" s="18">
        <f t="shared" si="220"/>
        <v>1.0000519180613552</v>
      </c>
      <c r="V239" s="18">
        <f t="shared" si="221"/>
        <v>1.0189780686265529E-2</v>
      </c>
      <c r="W239" s="32" t="str">
        <f t="shared" si="209"/>
        <v>1-0.00457651552156431i</v>
      </c>
      <c r="X239" s="18">
        <f t="shared" si="222"/>
        <v>1.0000104721923262</v>
      </c>
      <c r="Y239" s="18">
        <f t="shared" si="223"/>
        <v>-4.5764835710313742E-3</v>
      </c>
      <c r="Z239" s="32" t="str">
        <f t="shared" si="210"/>
        <v>0.999997369732008+0.00249776414155557i</v>
      </c>
      <c r="AA239" s="18">
        <f t="shared" si="224"/>
        <v>1.0000004891482011</v>
      </c>
      <c r="AB239" s="18">
        <f t="shared" si="225"/>
        <v>2.4977655169686678E-3</v>
      </c>
      <c r="AC239" s="68" t="str">
        <f t="shared" si="226"/>
        <v>0.420387913122344-2.91976881968026i</v>
      </c>
      <c r="AD239" s="66">
        <f t="shared" si="227"/>
        <v>9.3960789744548734</v>
      </c>
      <c r="AE239" s="63">
        <f t="shared" si="228"/>
        <v>-81.806867024593458</v>
      </c>
      <c r="AF239" s="51" t="e">
        <f t="shared" si="229"/>
        <v>#NUM!</v>
      </c>
      <c r="AG239" s="51" t="str">
        <f t="shared" si="211"/>
        <v>1-4.36720001775476i</v>
      </c>
      <c r="AH239" s="51">
        <f t="shared" si="230"/>
        <v>4.4802272258309825</v>
      </c>
      <c r="AI239" s="51">
        <f t="shared" si="231"/>
        <v>-1.3456972250341306</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-0.000133283554228113</v>
      </c>
      <c r="AT239" s="32" t="str">
        <f t="shared" si="215"/>
        <v>0.000622617149197905i</v>
      </c>
      <c r="AU239" s="32">
        <f t="shared" si="239"/>
        <v>6.2261714919790501E-4</v>
      </c>
      <c r="AV239" s="32">
        <f t="shared" si="240"/>
        <v>1.5707963267948966</v>
      </c>
      <c r="AW239" s="32" t="str">
        <f t="shared" si="216"/>
        <v>1+0.108859994041259i</v>
      </c>
      <c r="AX239" s="32">
        <f t="shared" si="241"/>
        <v>1.005907798112065</v>
      </c>
      <c r="AY239" s="32">
        <f t="shared" si="242"/>
        <v>0.10843301087399748</v>
      </c>
      <c r="AZ239" s="32" t="str">
        <f t="shared" si="217"/>
        <v>1+1.62227942339534i</v>
      </c>
      <c r="BA239" s="32">
        <f t="shared" si="243"/>
        <v>1.905725722020857</v>
      </c>
      <c r="BB239" s="32">
        <f t="shared" si="244"/>
        <v>1.0183931530070418</v>
      </c>
      <c r="BC239" s="60" t="str">
        <f t="shared" si="245"/>
        <v>-0.320183127234308+0.248924974476134i</v>
      </c>
      <c r="BD239" s="51">
        <f t="shared" si="246"/>
        <v>-7.8388458471949818</v>
      </c>
      <c r="BE239" s="63">
        <f t="shared" si="247"/>
        <v>142.13687566934797</v>
      </c>
      <c r="BF239" s="60" t="str">
        <f t="shared" si="248"/>
        <v>0.592202262240104+1.0395057620305i</v>
      </c>
      <c r="BG239" s="66">
        <f t="shared" si="249"/>
        <v>1.5572331272598618</v>
      </c>
      <c r="BH239" s="63">
        <f t="shared" si="250"/>
        <v>60.330008644754422</v>
      </c>
      <c r="BI239" s="60" t="e">
        <f t="shared" si="203"/>
        <v>#NUM!</v>
      </c>
      <c r="BJ239" s="66" t="e">
        <f t="shared" si="251"/>
        <v>#NUM!</v>
      </c>
      <c r="BK239" s="63" t="e">
        <f t="shared" si="204"/>
        <v>#NUM!</v>
      </c>
      <c r="BL239" s="51">
        <f t="shared" si="252"/>
        <v>1.5572331272598618</v>
      </c>
      <c r="BM239" s="63">
        <f t="shared" si="253"/>
        <v>60.330008644754422</v>
      </c>
    </row>
    <row r="240" spans="14:65" x14ac:dyDescent="0.3">
      <c r="N240" s="11">
        <v>22</v>
      </c>
      <c r="O240" s="52">
        <f t="shared" si="254"/>
        <v>1659.5869074375626</v>
      </c>
      <c r="P240" s="50" t="str">
        <f t="shared" si="206"/>
        <v>21.1560044893378</v>
      </c>
      <c r="Q240" s="18" t="str">
        <f t="shared" si="207"/>
        <v>1+7.26764599013286i</v>
      </c>
      <c r="R240" s="18">
        <f t="shared" si="218"/>
        <v>7.3361214710427349</v>
      </c>
      <c r="S240" s="18">
        <f t="shared" si="219"/>
        <v>1.4340588141916593</v>
      </c>
      <c r="T240" s="18" t="str">
        <f t="shared" si="208"/>
        <v>1+0.0104274920727993i</v>
      </c>
      <c r="U240" s="18">
        <f t="shared" si="220"/>
        <v>1.0000543648176974</v>
      </c>
      <c r="V240" s="18">
        <f t="shared" si="221"/>
        <v>1.0427114161377113E-2</v>
      </c>
      <c r="W240" s="32" t="str">
        <f t="shared" si="209"/>
        <v>1-0.00468311626228087i</v>
      </c>
      <c r="X240" s="18">
        <f t="shared" si="222"/>
        <v>1.0000109657288394</v>
      </c>
      <c r="Y240" s="18">
        <f t="shared" si="223"/>
        <v>-4.6830820266882921E-3</v>
      </c>
      <c r="Z240" s="32" t="str">
        <f t="shared" si="210"/>
        <v>0.999997245771297+0.00255594454242398i</v>
      </c>
      <c r="AA240" s="18">
        <f t="shared" si="224"/>
        <v>1.0000005122012108</v>
      </c>
      <c r="AB240" s="18">
        <f t="shared" si="225"/>
        <v>2.5559460162054505E-3</v>
      </c>
      <c r="AC240" s="68" t="str">
        <f t="shared" si="226"/>
        <v>0.402229895679655-2.85581306662287i</v>
      </c>
      <c r="AD240" s="66">
        <f t="shared" si="227"/>
        <v>9.1999057268863744</v>
      </c>
      <c r="AE240" s="63">
        <f t="shared" si="228"/>
        <v>-81.982853747404263</v>
      </c>
      <c r="AF240" s="51" t="e">
        <f t="shared" si="229"/>
        <v>#NUM!</v>
      </c>
      <c r="AG240" s="51" t="str">
        <f t="shared" si="211"/>
        <v>1-4.46892517405685i</v>
      </c>
      <c r="AH240" s="51">
        <f t="shared" si="230"/>
        <v>4.5794423471989516</v>
      </c>
      <c r="AI240" s="51">
        <f t="shared" si="231"/>
        <v>-1.350655350454818</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-0.000133283554228113</v>
      </c>
      <c r="AT240" s="32" t="str">
        <f t="shared" si="215"/>
        <v>0.000637119765648037i</v>
      </c>
      <c r="AU240" s="32">
        <f t="shared" si="239"/>
        <v>6.3711976564803695E-4</v>
      </c>
      <c r="AV240" s="32">
        <f t="shared" si="240"/>
        <v>1.5707963267948966</v>
      </c>
      <c r="AW240" s="32" t="str">
        <f t="shared" si="216"/>
        <v>1+0.111395669042145i</v>
      </c>
      <c r="AX240" s="32">
        <f t="shared" si="241"/>
        <v>1.0061853681510913</v>
      </c>
      <c r="AY240" s="32">
        <f t="shared" si="242"/>
        <v>0.11093830010020787</v>
      </c>
      <c r="AZ240" s="32" t="str">
        <f t="shared" si="217"/>
        <v>1+1.66006716548172i</v>
      </c>
      <c r="BA240" s="32">
        <f t="shared" si="243"/>
        <v>1.9379945804646908</v>
      </c>
      <c r="BB240" s="32">
        <f t="shared" si="244"/>
        <v>1.0286248004253167</v>
      </c>
      <c r="BC240" s="60" t="str">
        <f t="shared" si="245"/>
        <v>-0.32000649778315+0.244844354577486i</v>
      </c>
      <c r="BD240" s="51">
        <f t="shared" si="246"/>
        <v>-7.8953990507683489</v>
      </c>
      <c r="BE240" s="63">
        <f t="shared" si="247"/>
        <v>142.57956338475955</v>
      </c>
      <c r="BF240" s="60" t="str">
        <f t="shared" si="248"/>
        <v>0.570513526871099+1.0123624569728i</v>
      </c>
      <c r="BG240" s="66">
        <f t="shared" si="249"/>
        <v>1.3045066761180435</v>
      </c>
      <c r="BH240" s="63">
        <f t="shared" si="250"/>
        <v>60.596709637355382</v>
      </c>
      <c r="BI240" s="60" t="e">
        <f t="shared" si="203"/>
        <v>#NUM!</v>
      </c>
      <c r="BJ240" s="66" t="e">
        <f t="shared" si="251"/>
        <v>#NUM!</v>
      </c>
      <c r="BK240" s="63" t="e">
        <f t="shared" si="204"/>
        <v>#NUM!</v>
      </c>
      <c r="BL240" s="51">
        <f t="shared" si="252"/>
        <v>1.3045066761180435</v>
      </c>
      <c r="BM240" s="63">
        <f t="shared" si="253"/>
        <v>60.596709637355382</v>
      </c>
    </row>
    <row r="241" spans="14:65" x14ac:dyDescent="0.3">
      <c r="N241" s="11">
        <v>23</v>
      </c>
      <c r="O241" s="52">
        <f t="shared" si="254"/>
        <v>1698.2436524617447</v>
      </c>
      <c r="P241" s="50" t="str">
        <f t="shared" si="206"/>
        <v>21.1560044893378</v>
      </c>
      <c r="Q241" s="18" t="str">
        <f t="shared" si="207"/>
        <v>1+7.43693121208025i</v>
      </c>
      <c r="R241" s="18">
        <f t="shared" si="218"/>
        <v>7.5038620625124368</v>
      </c>
      <c r="S241" s="18">
        <f t="shared" si="219"/>
        <v>1.4371339788571755</v>
      </c>
      <c r="T241" s="18" t="str">
        <f t="shared" si="208"/>
        <v>1+0.0106703795651586i</v>
      </c>
      <c r="U241" s="18">
        <f t="shared" si="220"/>
        <v>1.0000569268796975</v>
      </c>
      <c r="V241" s="18">
        <f t="shared" si="221"/>
        <v>1.0669974627018984E-2</v>
      </c>
      <c r="W241" s="32" t="str">
        <f t="shared" si="209"/>
        <v>1-0.00479220005322804i</v>
      </c>
      <c r="X241" s="18">
        <f t="shared" si="222"/>
        <v>1.0000114825247508</v>
      </c>
      <c r="Y241" s="18">
        <f t="shared" si="223"/>
        <v>-4.7921633691524164E-3</v>
      </c>
      <c r="Z241" s="32" t="str">
        <f t="shared" si="210"/>
        <v>0.999997115968497+0.00261548013892069i</v>
      </c>
      <c r="AA241" s="18">
        <f t="shared" si="224"/>
        <v>1.0000005363406905</v>
      </c>
      <c r="AB241" s="18">
        <f t="shared" si="225"/>
        <v>2.6154817181057461E-3</v>
      </c>
      <c r="AC241" s="68" t="str">
        <f t="shared" si="226"/>
        <v>0.384859410209878-2.79315053959971i</v>
      </c>
      <c r="AD241" s="66">
        <f t="shared" si="227"/>
        <v>9.0035656902613965</v>
      </c>
      <c r="AE241" s="63">
        <f t="shared" si="228"/>
        <v>-82.154793869350314</v>
      </c>
      <c r="AF241" s="51" t="e">
        <f t="shared" si="229"/>
        <v>#NUM!</v>
      </c>
      <c r="AG241" s="51" t="str">
        <f t="shared" si="211"/>
        <v>1-4.57301981363941i</v>
      </c>
      <c r="AH241" s="51">
        <f t="shared" si="230"/>
        <v>4.6810800266539578</v>
      </c>
      <c r="AI241" s="51">
        <f t="shared" si="231"/>
        <v>-1.3555112691994602</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-0.000133283554228113</v>
      </c>
      <c r="AT241" s="32" t="str">
        <f t="shared" si="215"/>
        <v>0.000651960191431192i</v>
      </c>
      <c r="AU241" s="32">
        <f t="shared" si="239"/>
        <v>6.5196019143119201E-4</v>
      </c>
      <c r="AV241" s="32">
        <f t="shared" si="240"/>
        <v>1.5707963267948966</v>
      </c>
      <c r="AW241" s="32" t="str">
        <f t="shared" si="216"/>
        <v>1+0.113990407501253i</v>
      </c>
      <c r="AX241" s="32">
        <f t="shared" si="241"/>
        <v>1.0064759376171404</v>
      </c>
      <c r="AY241" s="32">
        <f t="shared" si="242"/>
        <v>0.11350049799579005</v>
      </c>
      <c r="AZ241" s="32" t="str">
        <f t="shared" si="217"/>
        <v>1+1.69873509715281i</v>
      </c>
      <c r="BA241" s="32">
        <f t="shared" si="243"/>
        <v>1.9712181336165633</v>
      </c>
      <c r="BB241" s="32">
        <f t="shared" si="244"/>
        <v>1.0387469118731156</v>
      </c>
      <c r="BC241" s="60" t="str">
        <f t="shared" si="245"/>
        <v>-0.319821752790312+0.240891723120516i</v>
      </c>
      <c r="BD241" s="51">
        <f t="shared" si="246"/>
        <v>-7.9502644792722865</v>
      </c>
      <c r="BE241" s="63">
        <f t="shared" si="247"/>
        <v>143.01271452478531</v>
      </c>
      <c r="BF241" s="60" t="str">
        <f t="shared" si="248"/>
        <v>0.549760435268004+0.986019747866588i</v>
      </c>
      <c r="BG241" s="66">
        <f t="shared" si="249"/>
        <v>1.0533012109891073</v>
      </c>
      <c r="BH241" s="63">
        <f t="shared" si="250"/>
        <v>60.857920655435031</v>
      </c>
      <c r="BI241" s="60" t="e">
        <f t="shared" si="203"/>
        <v>#NUM!</v>
      </c>
      <c r="BJ241" s="66" t="e">
        <f t="shared" si="251"/>
        <v>#NUM!</v>
      </c>
      <c r="BK241" s="63" t="e">
        <f t="shared" si="204"/>
        <v>#NUM!</v>
      </c>
      <c r="BL241" s="51">
        <f t="shared" si="252"/>
        <v>1.0533012109891073</v>
      </c>
      <c r="BM241" s="63">
        <f t="shared" si="253"/>
        <v>60.857920655435031</v>
      </c>
    </row>
    <row r="242" spans="14:65" x14ac:dyDescent="0.3">
      <c r="N242" s="11">
        <v>24</v>
      </c>
      <c r="O242" s="52">
        <f t="shared" si="254"/>
        <v>1737.8008287493772</v>
      </c>
      <c r="P242" s="50" t="str">
        <f t="shared" si="206"/>
        <v>21.1560044893378</v>
      </c>
      <c r="Q242" s="18" t="str">
        <f t="shared" si="207"/>
        <v>1+7.61015959339576i</v>
      </c>
      <c r="R242" s="18">
        <f t="shared" si="218"/>
        <v>7.6755800456352183</v>
      </c>
      <c r="S242" s="18">
        <f t="shared" si="219"/>
        <v>1.4401416036397687</v>
      </c>
      <c r="T242" s="18" t="str">
        <f t="shared" si="208"/>
        <v>1+0.0109189246340026i</v>
      </c>
      <c r="U242" s="18">
        <f t="shared" si="220"/>
        <v>1.0000596096809244</v>
      </c>
      <c r="V242" s="18">
        <f t="shared" si="221"/>
        <v>1.0918490736365399E-2</v>
      </c>
      <c r="W242" s="32" t="str">
        <f t="shared" si="209"/>
        <v>1-0.00490382473207572i</v>
      </c>
      <c r="X242" s="18">
        <f t="shared" si="222"/>
        <v>1.0000120236762171</v>
      </c>
      <c r="Y242" s="18">
        <f t="shared" si="223"/>
        <v>-4.9037854244060198E-3</v>
      </c>
      <c r="Z242" s="32" t="str">
        <f t="shared" si="210"/>
        <v>0.99999698004828+0.00267640249760704i</v>
      </c>
      <c r="AA242" s="18">
        <f t="shared" si="224"/>
        <v>1.0000005616178469</v>
      </c>
      <c r="AB242" s="18">
        <f t="shared" si="225"/>
        <v>2.6764041897340426E-3</v>
      </c>
      <c r="AC242" s="68" t="str">
        <f t="shared" si="226"/>
        <v>0.368243558018551-2.73176224392167i</v>
      </c>
      <c r="AD242" s="66">
        <f t="shared" si="227"/>
        <v>8.8070662125361228</v>
      </c>
      <c r="AE242" s="63">
        <f t="shared" si="228"/>
        <v>-82.322765224713692</v>
      </c>
      <c r="AF242" s="51" t="e">
        <f t="shared" si="229"/>
        <v>#NUM!</v>
      </c>
      <c r="AG242" s="51" t="str">
        <f t="shared" si="211"/>
        <v>1-4.67953912885826i</v>
      </c>
      <c r="AH242" s="51">
        <f t="shared" si="230"/>
        <v>4.7851945058184961</v>
      </c>
      <c r="AI242" s="51">
        <f t="shared" si="231"/>
        <v>-1.3602666395038381</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-0.000133283554228113</v>
      </c>
      <c r="AT242" s="32" t="str">
        <f t="shared" si="215"/>
        <v>0.000667146295137559i</v>
      </c>
      <c r="AU242" s="32">
        <f t="shared" si="239"/>
        <v>6.67146295137559E-4</v>
      </c>
      <c r="AV242" s="32">
        <f t="shared" si="240"/>
        <v>1.5707963267948966</v>
      </c>
      <c r="AW242" s="32" t="str">
        <f t="shared" si="216"/>
        <v>1+0.11664558518326i</v>
      </c>
      <c r="AX242" s="32">
        <f t="shared" si="241"/>
        <v>1.0067801113166395</v>
      </c>
      <c r="AY242" s="32">
        <f t="shared" si="242"/>
        <v>0.11612082843537332</v>
      </c>
      <c r="AZ242" s="32" t="str">
        <f t="shared" si="217"/>
        <v>1+1.73830372065785i</v>
      </c>
      <c r="BA242" s="32">
        <f t="shared" si="243"/>
        <v>2.0054176186652306</v>
      </c>
      <c r="BB242" s="32">
        <f t="shared" si="244"/>
        <v>1.0487565570524666</v>
      </c>
      <c r="BC242" s="60" t="str">
        <f t="shared" si="245"/>
        <v>-0.319628529525265+0.23706485679498i</v>
      </c>
      <c r="BD242" s="51">
        <f t="shared" si="246"/>
        <v>-8.0034862930182182</v>
      </c>
      <c r="BE242" s="63">
        <f t="shared" si="247"/>
        <v>143.4360910728679</v>
      </c>
      <c r="BF242" s="60" t="str">
        <f t="shared" si="248"/>
        <v>0.529903678196603+0.960446755384664i</v>
      </c>
      <c r="BG242" s="66">
        <f t="shared" si="249"/>
        <v>0.8035799195179093</v>
      </c>
      <c r="BH242" s="63">
        <f t="shared" si="250"/>
        <v>61.113325848154247</v>
      </c>
      <c r="BI242" s="60" t="e">
        <f t="shared" ref="BI242:BI305" si="255">IMPRODUCT(AP242,BC242)</f>
        <v>#NUM!</v>
      </c>
      <c r="BJ242" s="66" t="e">
        <f t="shared" si="251"/>
        <v>#NUM!</v>
      </c>
      <c r="BK242" s="63" t="e">
        <f t="shared" ref="BK242:BK305" si="256">(180/PI())*IMARGUMENT(BI242)</f>
        <v>#NUM!</v>
      </c>
      <c r="BL242" s="51">
        <f t="shared" si="252"/>
        <v>0.8035799195179093</v>
      </c>
      <c r="BM242" s="63">
        <f t="shared" si="253"/>
        <v>61.113325848154247</v>
      </c>
    </row>
    <row r="243" spans="14:65" x14ac:dyDescent="0.3">
      <c r="N243" s="11">
        <v>25</v>
      </c>
      <c r="O243" s="52">
        <f t="shared" si="254"/>
        <v>1778.2794100389244</v>
      </c>
      <c r="P243" s="50" t="str">
        <f t="shared" si="206"/>
        <v>21.1560044893378</v>
      </c>
      <c r="Q243" s="18" t="str">
        <f t="shared" si="207"/>
        <v>1+7.78742298206007i</v>
      </c>
      <c r="R243" s="18">
        <f t="shared" si="218"/>
        <v>7.8513665499400398</v>
      </c>
      <c r="S243" s="18">
        <f t="shared" si="219"/>
        <v>1.4430830654555773</v>
      </c>
      <c r="T243" s="18" t="str">
        <f t="shared" si="208"/>
        <v>1+0.0111732590612166i</v>
      </c>
      <c r="U243" s="18">
        <f t="shared" si="220"/>
        <v>1.0000624189109644</v>
      </c>
      <c r="V243" s="18">
        <f t="shared" si="221"/>
        <v>1.117279413308909E-2</v>
      </c>
      <c r="W243" s="32" t="str">
        <f t="shared" si="209"/>
        <v>1-0.00501804948370616i</v>
      </c>
      <c r="X243" s="18">
        <f t="shared" si="222"/>
        <v>1.0000125903310522</v>
      </c>
      <c r="Y243" s="18">
        <f t="shared" si="223"/>
        <v>-5.0180073648078728E-3</v>
      </c>
      <c r="Z243" s="32" t="str">
        <f t="shared" si="210"/>
        <v>0.99999683772234+0.00273874392032401i</v>
      </c>
      <c r="AA243" s="18">
        <f t="shared" si="224"/>
        <v>1.0000005880862979</v>
      </c>
      <c r="AB243" s="18">
        <f t="shared" si="225"/>
        <v>2.7387457334704561E-3</v>
      </c>
      <c r="AC243" s="68" t="str">
        <f t="shared" si="226"/>
        <v>0.35235070565573-2.67162896561326i</v>
      </c>
      <c r="AD243" s="66">
        <f t="shared" si="227"/>
        <v>8.6104143391845742</v>
      </c>
      <c r="AE243" s="63">
        <f t="shared" si="228"/>
        <v>-82.486844403467558</v>
      </c>
      <c r="AF243" s="51" t="e">
        <f t="shared" si="229"/>
        <v>#NUM!</v>
      </c>
      <c r="AG243" s="51" t="str">
        <f t="shared" si="211"/>
        <v>1-4.78853959766426i</v>
      </c>
      <c r="AH243" s="51">
        <f t="shared" si="230"/>
        <v>4.8918413177860334</v>
      </c>
      <c r="AI243" s="51">
        <f t="shared" si="231"/>
        <v>-1.3649231220450349</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-0.000133283554228113</v>
      </c>
      <c r="AT243" s="32" t="str">
        <f t="shared" si="215"/>
        <v>0.000682686128640331i</v>
      </c>
      <c r="AU243" s="32">
        <f t="shared" si="239"/>
        <v>6.8268612864033097E-4</v>
      </c>
      <c r="AV243" s="32">
        <f t="shared" si="240"/>
        <v>1.5707963267948966</v>
      </c>
      <c r="AW243" s="32" t="str">
        <f t="shared" si="216"/>
        <v>1+0.119362609898518i</v>
      </c>
      <c r="AX243" s="32">
        <f t="shared" si="241"/>
        <v>1.0070985218149144</v>
      </c>
      <c r="AY243" s="32">
        <f t="shared" si="242"/>
        <v>0.1188005367428274</v>
      </c>
      <c r="AZ243" s="32" t="str">
        <f t="shared" si="217"/>
        <v>1+1.77879401580474i</v>
      </c>
      <c r="BA243" s="32">
        <f t="shared" si="243"/>
        <v>2.0406146502127132</v>
      </c>
      <c r="BB243" s="32">
        <f t="shared" si="244"/>
        <v>1.0586510194504029</v>
      </c>
      <c r="BC243" s="60" t="str">
        <f t="shared" si="245"/>
        <v>-0.319426450009624+0.233361590254771i</v>
      </c>
      <c r="BD243" s="51">
        <f t="shared" si="246"/>
        <v>-8.05510942917779</v>
      </c>
      <c r="BE243" s="63">
        <f t="shared" si="247"/>
        <v>143.84946603247712</v>
      </c>
      <c r="BF243" s="60" t="str">
        <f t="shared" si="248"/>
        <v>0.510905448920223+0.935614077227939i</v>
      </c>
      <c r="BG243" s="66">
        <f t="shared" si="249"/>
        <v>0.5553049100067794</v>
      </c>
      <c r="BH243" s="63">
        <f t="shared" si="250"/>
        <v>61.362621629009602</v>
      </c>
      <c r="BI243" s="60" t="e">
        <f t="shared" si="255"/>
        <v>#NUM!</v>
      </c>
      <c r="BJ243" s="66" t="e">
        <f t="shared" si="251"/>
        <v>#NUM!</v>
      </c>
      <c r="BK243" s="63" t="e">
        <f t="shared" si="256"/>
        <v>#NUM!</v>
      </c>
      <c r="BL243" s="51">
        <f t="shared" si="252"/>
        <v>0.5553049100067794</v>
      </c>
      <c r="BM243" s="63">
        <f t="shared" si="253"/>
        <v>61.362621629009602</v>
      </c>
    </row>
    <row r="244" spans="14:65" x14ac:dyDescent="0.3">
      <c r="N244" s="11">
        <v>26</v>
      </c>
      <c r="O244" s="52">
        <f t="shared" si="254"/>
        <v>1819.7008586099832</v>
      </c>
      <c r="P244" s="50" t="str">
        <f t="shared" si="206"/>
        <v>21.1560044893378</v>
      </c>
      <c r="Q244" s="18" t="str">
        <f t="shared" si="207"/>
        <v>1+7.9688153654681i</v>
      </c>
      <c r="R244" s="18">
        <f t="shared" si="218"/>
        <v>8.0313148567915391</v>
      </c>
      <c r="S244" s="18">
        <f t="shared" si="219"/>
        <v>1.4459597201975649</v>
      </c>
      <c r="T244" s="18" t="str">
        <f t="shared" si="208"/>
        <v>1+0.0114335176982803i</v>
      </c>
      <c r="U244" s="18">
        <f t="shared" si="220"/>
        <v>1.0000653605274792</v>
      </c>
      <c r="V244" s="18">
        <f t="shared" si="221"/>
        <v>1.1433019520574591E-2</v>
      </c>
      <c r="W244" s="32" t="str">
        <f t="shared" si="209"/>
        <v>1-0.00513493487159453i</v>
      </c>
      <c r="X244" s="18">
        <f t="shared" si="222"/>
        <v>1.000013183691163</v>
      </c>
      <c r="Y244" s="18">
        <f t="shared" si="223"/>
        <v>-5.134889740414034E-3</v>
      </c>
      <c r="Z244" s="32" t="str">
        <f t="shared" si="210"/>
        <v>0.999996688688785+0.00280253746131906i</v>
      </c>
      <c r="AA244" s="18">
        <f t="shared" si="224"/>
        <v>1.0000006158021888</v>
      </c>
      <c r="AB244" s="18">
        <f t="shared" si="225"/>
        <v>2.8025394041401408E-3</v>
      </c>
      <c r="AC244" s="68" t="str">
        <f t="shared" si="226"/>
        <v>0.337150445849151-2.61273131520842i</v>
      </c>
      <c r="AD244" s="66">
        <f t="shared" si="227"/>
        <v>8.4136168251045547</v>
      </c>
      <c r="AE244" s="63">
        <f t="shared" si="228"/>
        <v>-82.64710673778535</v>
      </c>
      <c r="AF244" s="51" t="e">
        <f t="shared" si="229"/>
        <v>#NUM!</v>
      </c>
      <c r="AG244" s="51" t="str">
        <f t="shared" si="211"/>
        <v>1-4.90007901354871i</v>
      </c>
      <c r="AH244" s="51">
        <f t="shared" si="230"/>
        <v>5.001077317840676</v>
      </c>
      <c r="AI244" s="51">
        <f t="shared" si="231"/>
        <v>-1.3694823776495866</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-0.000133283554228113</v>
      </c>
      <c r="AT244" s="32" t="str">
        <f t="shared" si="215"/>
        <v>0.000698587931364928i</v>
      </c>
      <c r="AU244" s="32">
        <f t="shared" si="239"/>
        <v>6.9858793136492797E-4</v>
      </c>
      <c r="AV244" s="32">
        <f t="shared" si="240"/>
        <v>1.5707963267948966</v>
      </c>
      <c r="AW244" s="32" t="str">
        <f t="shared" si="216"/>
        <v>1+0.122142922249494i</v>
      </c>
      <c r="AX244" s="32">
        <f t="shared" si="241"/>
        <v>1.0074318306742376</v>
      </c>
      <c r="AY244" s="32">
        <f t="shared" si="242"/>
        <v>0.12154088971167866</v>
      </c>
      <c r="AZ244" s="32" t="str">
        <f t="shared" si="217"/>
        <v>1+1.82022745108392i</v>
      </c>
      <c r="BA244" s="32">
        <f t="shared" si="243"/>
        <v>2.0768312337981301</v>
      </c>
      <c r="BB244" s="32">
        <f t="shared" si="244"/>
        <v>1.0684277952110537</v>
      </c>
      <c r="BC244" s="60" t="str">
        <f t="shared" si="245"/>
        <v>-0.319215120468439+0.229779814394255i</v>
      </c>
      <c r="BD244" s="51">
        <f t="shared" si="246"/>
        <v>-8.1051795049866708</v>
      </c>
      <c r="BE244" s="63">
        <f t="shared" si="247"/>
        <v>144.25262336131706</v>
      </c>
      <c r="BF244" s="60" t="str">
        <f t="shared" si="248"/>
        <v>0.492729396482924+0.911493708406077i</v>
      </c>
      <c r="BG244" s="66">
        <f t="shared" si="249"/>
        <v>0.30843732011788244</v>
      </c>
      <c r="BH244" s="63">
        <f t="shared" si="250"/>
        <v>61.60551662353172</v>
      </c>
      <c r="BI244" s="60" t="e">
        <f t="shared" si="255"/>
        <v>#NUM!</v>
      </c>
      <c r="BJ244" s="66" t="e">
        <f t="shared" si="251"/>
        <v>#NUM!</v>
      </c>
      <c r="BK244" s="63" t="e">
        <f t="shared" si="256"/>
        <v>#NUM!</v>
      </c>
      <c r="BL244" s="51">
        <f t="shared" si="252"/>
        <v>0.30843732011788244</v>
      </c>
      <c r="BM244" s="63">
        <f t="shared" si="253"/>
        <v>61.60551662353172</v>
      </c>
    </row>
    <row r="245" spans="14:65" x14ac:dyDescent="0.3">
      <c r="N245" s="11">
        <v>27</v>
      </c>
      <c r="O245" s="52">
        <f t="shared" si="254"/>
        <v>1862.0871366628687</v>
      </c>
      <c r="P245" s="50" t="str">
        <f t="shared" si="206"/>
        <v>21.1560044893378</v>
      </c>
      <c r="Q245" s="18" t="str">
        <f t="shared" si="207"/>
        <v>1+8.1544329202627i</v>
      </c>
      <c r="R245" s="18">
        <f t="shared" si="218"/>
        <v>8.2155204491903042</v>
      </c>
      <c r="S245" s="18">
        <f t="shared" si="219"/>
        <v>1.448772902566811</v>
      </c>
      <c r="T245" s="18" t="str">
        <f t="shared" si="208"/>
        <v>1+0.0116998385377682i</v>
      </c>
      <c r="U245" s="18">
        <f t="shared" si="220"/>
        <v>1.0000684407688356</v>
      </c>
      <c r="V245" s="18">
        <f t="shared" si="221"/>
        <v>1.1699304732712109E-2</v>
      </c>
      <c r="W245" s="32" t="str">
        <f t="shared" si="209"/>
        <v>1-0.00525454286992075i</v>
      </c>
      <c r="X245" s="18">
        <f t="shared" si="222"/>
        <v>1.0000138050150968</v>
      </c>
      <c r="Y245" s="18">
        <f t="shared" si="223"/>
        <v>-5.254494511025636E-3</v>
      </c>
      <c r="Z245" s="32" t="str">
        <f t="shared" si="210"/>
        <v>0.999996532631495+0.00286781694477208i</v>
      </c>
      <c r="AA245" s="18">
        <f t="shared" si="224"/>
        <v>1.0000006448243128</v>
      </c>
      <c r="AB245" s="18">
        <f t="shared" si="225"/>
        <v>2.8678190265419927E-3</v>
      </c>
      <c r="AC245" s="68" t="str">
        <f t="shared" si="226"/>
        <v>0.322613558756285-2.55504976844331i</v>
      </c>
      <c r="AD245" s="66">
        <f t="shared" si="227"/>
        <v>8.2166801461615027</v>
      </c>
      <c r="AE245" s="63">
        <f t="shared" si="228"/>
        <v>-82.803626291159077</v>
      </c>
      <c r="AF245" s="51" t="e">
        <f t="shared" si="229"/>
        <v>#NUM!</v>
      </c>
      <c r="AG245" s="51" t="str">
        <f t="shared" si="211"/>
        <v>1-5.01421651618638i</v>
      </c>
      <c r="AH245" s="51">
        <f t="shared" si="230"/>
        <v>5.1129607148105762</v>
      </c>
      <c r="AI245" s="51">
        <f t="shared" si="231"/>
        <v>-1.3739460651593556</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-0.000133283554228113</v>
      </c>
      <c r="AT245" s="32" t="str">
        <f t="shared" si="215"/>
        <v>0.00071486013465764i</v>
      </c>
      <c r="AU245" s="32">
        <f t="shared" si="239"/>
        <v>7.1486013465763996E-4</v>
      </c>
      <c r="AV245" s="32">
        <f t="shared" si="240"/>
        <v>1.5707963267948966</v>
      </c>
      <c r="AW245" s="32" t="str">
        <f t="shared" si="216"/>
        <v>1+0.1249879963946i</v>
      </c>
      <c r="AX245" s="32">
        <f t="shared" si="241"/>
        <v>1.007780729743696</v>
      </c>
      <c r="AY245" s="32">
        <f t="shared" si="242"/>
        <v>0.12434317559475336</v>
      </c>
      <c r="AZ245" s="32" t="str">
        <f t="shared" si="217"/>
        <v>1+1.86262599505123i</v>
      </c>
      <c r="BA245" s="32">
        <f t="shared" si="243"/>
        <v>2.1140897798912386</v>
      </c>
      <c r="BB245" s="32">
        <f t="shared" si="244"/>
        <v>1.0780845912578945</v>
      </c>
      <c r="BC245" s="60" t="str">
        <f t="shared" si="245"/>
        <v>-0.318994130770799+0.226317474618881i</v>
      </c>
      <c r="BD245" s="51">
        <f t="shared" si="246"/>
        <v>-8.1537427244992706</v>
      </c>
      <c r="BE245" s="63">
        <f t="shared" si="247"/>
        <v>144.64535786433035</v>
      </c>
      <c r="BF245" s="60" t="str">
        <f t="shared" si="248"/>
        <v>0.475340579369311+0.888058965856237i</v>
      </c>
      <c r="BG245" s="66">
        <f t="shared" si="249"/>
        <v>6.2937421662225435E-2</v>
      </c>
      <c r="BH245" s="63">
        <f t="shared" si="250"/>
        <v>61.841731573171252</v>
      </c>
      <c r="BI245" s="60" t="e">
        <f t="shared" si="255"/>
        <v>#NUM!</v>
      </c>
      <c r="BJ245" s="66" t="e">
        <f t="shared" si="251"/>
        <v>#NUM!</v>
      </c>
      <c r="BK245" s="63" t="e">
        <f t="shared" si="256"/>
        <v>#NUM!</v>
      </c>
      <c r="BL245" s="51">
        <f t="shared" si="252"/>
        <v>6.2937421662225435E-2</v>
      </c>
      <c r="BM245" s="63">
        <f t="shared" si="253"/>
        <v>61.841731573171252</v>
      </c>
    </row>
    <row r="246" spans="14:65" x14ac:dyDescent="0.3">
      <c r="N246" s="11">
        <v>28</v>
      </c>
      <c r="O246" s="52">
        <f t="shared" si="254"/>
        <v>1905.4607179632501</v>
      </c>
      <c r="P246" s="50" t="str">
        <f t="shared" si="206"/>
        <v>21.1560044893378</v>
      </c>
      <c r="Q246" s="18" t="str">
        <f t="shared" si="207"/>
        <v>1+8.34437406332837i</v>
      </c>
      <c r="R246" s="18">
        <f t="shared" si="218"/>
        <v>8.4040810627187081</v>
      </c>
      <c r="S246" s="18">
        <f t="shared" si="219"/>
        <v>1.4515239259464847</v>
      </c>
      <c r="T246" s="18" t="str">
        <f t="shared" si="208"/>
        <v>1+0.0119723627865146i</v>
      </c>
      <c r="U246" s="18">
        <f t="shared" si="220"/>
        <v>1.0000716661673261</v>
      </c>
      <c r="V246" s="18">
        <f t="shared" si="221"/>
        <v>1.1971790806305505E-2</v>
      </c>
      <c r="W246" s="32" t="str">
        <f t="shared" si="209"/>
        <v>1-0.00537693689642875i</v>
      </c>
      <c r="X246" s="18">
        <f t="shared" si="222"/>
        <v>1.0000144556207116</v>
      </c>
      <c r="Y246" s="18">
        <f t="shared" si="223"/>
        <v>-5.3768850789795109E-3</v>
      </c>
      <c r="Z246" s="32" t="str">
        <f t="shared" si="210"/>
        <v>0.999996369219452+0.0029346169827293i</v>
      </c>
      <c r="AA246" s="18">
        <f t="shared" si="224"/>
        <v>1.000000675214233</v>
      </c>
      <c r="AB246" s="18">
        <f t="shared" si="225"/>
        <v>2.9346192133855205E-3</v>
      </c>
      <c r="AC246" s="68" t="str">
        <f t="shared" si="226"/>
        <v>0.308711973631255-2.4985647040087i</v>
      </c>
      <c r="AD246" s="66">
        <f t="shared" si="227"/>
        <v>8.0196105103743491</v>
      </c>
      <c r="AE246" s="63">
        <f t="shared" si="228"/>
        <v>-82.956475849935984</v>
      </c>
      <c r="AF246" s="51" t="e">
        <f t="shared" si="229"/>
        <v>#NUM!</v>
      </c>
      <c r="AG246" s="51" t="str">
        <f t="shared" si="211"/>
        <v>1-5.13101262279198i</v>
      </c>
      <c r="AH246" s="51">
        <f t="shared" si="230"/>
        <v>5.2275511030740409</v>
      </c>
      <c r="AI246" s="51">
        <f t="shared" si="231"/>
        <v>-1.3783158394485735</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-0.000133283554228113</v>
      </c>
      <c r="AT246" s="32" t="str">
        <f t="shared" si="215"/>
        <v>0.00073151136625604i</v>
      </c>
      <c r="AU246" s="32">
        <f t="shared" si="239"/>
        <v>7.3151136625604005E-4</v>
      </c>
      <c r="AV246" s="32">
        <f t="shared" si="240"/>
        <v>1.5707963267948966</v>
      </c>
      <c r="AW246" s="32" t="str">
        <f t="shared" si="216"/>
        <v>1+0.127899340829807i</v>
      </c>
      <c r="AX246" s="32">
        <f t="shared" si="241"/>
        <v>1.0081459425027208</v>
      </c>
      <c r="AY246" s="32">
        <f t="shared" si="242"/>
        <v>0.12720870406043594</v>
      </c>
      <c r="AZ246" s="32" t="str">
        <f t="shared" si="217"/>
        <v>1+1.90601212797591i</v>
      </c>
      <c r="BA246" s="32">
        <f t="shared" si="243"/>
        <v>2.1524131183374755</v>
      </c>
      <c r="BB246" s="32">
        <f t="shared" si="244"/>
        <v>1.0876193227171589</v>
      </c>
      <c r="BC246" s="60" t="str">
        <f t="shared" si="245"/>
        <v>-0.318763053860566+0.222972569107173i</v>
      </c>
      <c r="BD246" s="51">
        <f t="shared" si="246"/>
        <v>-8.2008457892967073</v>
      </c>
      <c r="BE246" s="63">
        <f t="shared" si="247"/>
        <v>145.02747504857851</v>
      </c>
      <c r="BF246" s="60" t="str">
        <f t="shared" si="248"/>
        <v>0.458705419655302+0.865284417192741i</v>
      </c>
      <c r="BG246" s="66">
        <f t="shared" si="249"/>
        <v>-0.181235278922354</v>
      </c>
      <c r="BH246" s="63">
        <f t="shared" si="250"/>
        <v>62.070999198642497</v>
      </c>
      <c r="BI246" s="60" t="e">
        <f t="shared" si="255"/>
        <v>#NUM!</v>
      </c>
      <c r="BJ246" s="66" t="e">
        <f t="shared" si="251"/>
        <v>#NUM!</v>
      </c>
      <c r="BK246" s="63" t="e">
        <f t="shared" si="256"/>
        <v>#NUM!</v>
      </c>
      <c r="BL246" s="51">
        <f t="shared" si="252"/>
        <v>-0.181235278922354</v>
      </c>
      <c r="BM246" s="63">
        <f t="shared" si="253"/>
        <v>62.070999198642497</v>
      </c>
    </row>
    <row r="247" spans="14:65" x14ac:dyDescent="0.3">
      <c r="N247" s="11">
        <v>29</v>
      </c>
      <c r="O247" s="52">
        <f t="shared" si="254"/>
        <v>1949.8445997580463</v>
      </c>
      <c r="P247" s="50" t="str">
        <f t="shared" si="206"/>
        <v>21.1560044893378</v>
      </c>
      <c r="Q247" s="18" t="str">
        <f t="shared" si="207"/>
        <v>1+8.53873950397315i</v>
      </c>
      <c r="R247" s="18">
        <f t="shared" si="218"/>
        <v>8.5970967376615963</v>
      </c>
      <c r="S247" s="18">
        <f t="shared" si="219"/>
        <v>1.4542140823153997</v>
      </c>
      <c r="T247" s="18" t="str">
        <f t="shared" si="208"/>
        <v>1+0.0122512349404832i</v>
      </c>
      <c r="U247" s="18">
        <f t="shared" si="220"/>
        <v>1.0000750435630152</v>
      </c>
      <c r="V247" s="18">
        <f t="shared" si="221"/>
        <v>1.2250622055130772E-2</v>
      </c>
      <c r="W247" s="32" t="str">
        <f t="shared" si="209"/>
        <v>1-0.00550218184605133i</v>
      </c>
      <c r="X247" s="18">
        <f t="shared" si="222"/>
        <v>1.0000151368879708</v>
      </c>
      <c r="Y247" s="18">
        <f t="shared" si="223"/>
        <v>-5.5021263226995125E-3</v>
      </c>
      <c r="Z247" s="32" t="str">
        <f t="shared" si="210"/>
        <v>0.999996198106037+0.00300297299345496i</v>
      </c>
      <c r="AA247" s="18">
        <f t="shared" si="224"/>
        <v>1.0000007070364141</v>
      </c>
      <c r="AB247" s="18">
        <f t="shared" si="225"/>
        <v>3.0029753836456796E-3</v>
      </c>
      <c r="AC247" s="68" t="str">
        <f t="shared" si="226"/>
        <v>0.295418730990366-2.44325643851925i</v>
      </c>
      <c r="AD247" s="66">
        <f t="shared" si="227"/>
        <v>7.8224138687474625</v>
      </c>
      <c r="AE247" s="63">
        <f t="shared" si="228"/>
        <v>-83.105726917096717</v>
      </c>
      <c r="AF247" s="51" t="e">
        <f t="shared" si="229"/>
        <v>#NUM!</v>
      </c>
      <c r="AG247" s="51" t="str">
        <f t="shared" si="211"/>
        <v>1-5.25052926020709i</v>
      </c>
      <c r="AH247" s="51">
        <f t="shared" si="230"/>
        <v>5.3449094952385119</v>
      </c>
      <c r="AI247" s="51">
        <f t="shared" si="231"/>
        <v>-1.3825933495855154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-0.000133283554228113</v>
      </c>
      <c r="AT247" s="32" t="str">
        <f t="shared" si="215"/>
        <v>0.000748550454863525i</v>
      </c>
      <c r="AU247" s="32">
        <f t="shared" si="239"/>
        <v>7.4855045486352505E-4</v>
      </c>
      <c r="AV247" s="32">
        <f t="shared" si="240"/>
        <v>1.5707963267948966</v>
      </c>
      <c r="AW247" s="32" t="str">
        <f t="shared" si="216"/>
        <v>1+0.130878499188469i</v>
      </c>
      <c r="AX247" s="32">
        <f t="shared" si="241"/>
        <v>1.0085282254601633</v>
      </c>
      <c r="AY247" s="32">
        <f t="shared" si="242"/>
        <v>0.13013880611279716</v>
      </c>
      <c r="AZ247" s="32" t="str">
        <f t="shared" si="217"/>
        <v>1+1.95040885375986i</v>
      </c>
      <c r="BA247" s="32">
        <f t="shared" si="243"/>
        <v>2.1918245132365985</v>
      </c>
      <c r="BB247" s="32">
        <f t="shared" si="244"/>
        <v>1.0970301096954871</v>
      </c>
      <c r="BC247" s="60" t="str">
        <f t="shared" si="245"/>
        <v>-0.318521445178168+0.219743147061275i</v>
      </c>
      <c r="BD247" s="51">
        <f t="shared" si="246"/>
        <v>-8.246535813495349</v>
      </c>
      <c r="BE247" s="63">
        <f t="shared" si="247"/>
        <v>145.39879094319053</v>
      </c>
      <c r="BF247" s="60" t="str">
        <f t="shared" si="248"/>
        <v>0.442791657750191+0.843145813386687i</v>
      </c>
      <c r="BG247" s="66">
        <f t="shared" si="249"/>
        <v>-0.42412194474787923</v>
      </c>
      <c r="BH247" s="63">
        <f t="shared" si="250"/>
        <v>62.29306402609383</v>
      </c>
      <c r="BI247" s="60" t="e">
        <f t="shared" si="255"/>
        <v>#NUM!</v>
      </c>
      <c r="BJ247" s="66" t="e">
        <f t="shared" si="251"/>
        <v>#NUM!</v>
      </c>
      <c r="BK247" s="63" t="e">
        <f t="shared" si="256"/>
        <v>#NUM!</v>
      </c>
      <c r="BL247" s="51">
        <f t="shared" si="252"/>
        <v>-0.42412194474787923</v>
      </c>
      <c r="BM247" s="63">
        <f t="shared" si="253"/>
        <v>62.29306402609383</v>
      </c>
    </row>
    <row r="248" spans="14:65" x14ac:dyDescent="0.3">
      <c r="N248" s="11">
        <v>30</v>
      </c>
      <c r="O248" s="52">
        <f t="shared" si="254"/>
        <v>1995.2623149688804</v>
      </c>
      <c r="P248" s="50" t="str">
        <f t="shared" si="206"/>
        <v>21.1560044893378</v>
      </c>
      <c r="Q248" s="18" t="str">
        <f t="shared" si="207"/>
        <v>1+8.73763229732658i</v>
      </c>
      <c r="R248" s="18">
        <f t="shared" si="218"/>
        <v>8.7946698723308874</v>
      </c>
      <c r="S248" s="18">
        <f t="shared" si="219"/>
        <v>1.4568446421982073</v>
      </c>
      <c r="T248" s="18" t="str">
        <f t="shared" si="208"/>
        <v>1+0.0125366028613816i</v>
      </c>
      <c r="U248" s="18">
        <f t="shared" si="220"/>
        <v>1.0000785801182346</v>
      </c>
      <c r="V248" s="18">
        <f t="shared" si="221"/>
        <v>1.2535946145681456E-2</v>
      </c>
      <c r="W248" s="32" t="str">
        <f t="shared" si="209"/>
        <v>1-0.00563034412531872i</v>
      </c>
      <c r="X248" s="18">
        <f t="shared" si="222"/>
        <v>1.0000158502618695</v>
      </c>
      <c r="Y248" s="18">
        <f t="shared" si="223"/>
        <v>-5.6302846310262852E-3</v>
      </c>
      <c r="Z248" s="32" t="str">
        <f t="shared" si="210"/>
        <v>0.999996018928294+0.00307292122021083i</v>
      </c>
      <c r="AA248" s="18">
        <f t="shared" si="224"/>
        <v>1.0000007403583573</v>
      </c>
      <c r="AB248" s="18">
        <f t="shared" si="225"/>
        <v>3.0729237813457906E-3</v>
      </c>
      <c r="AC248" s="68" t="str">
        <f t="shared" si="226"/>
        <v>0.282707945349079-2.38910525885172i</v>
      </c>
      <c r="AD248" s="66">
        <f t="shared" si="227"/>
        <v>7.6250959257536222</v>
      </c>
      <c r="AE248" s="63">
        <f t="shared" si="228"/>
        <v>-83.25144970810463</v>
      </c>
      <c r="AF248" s="51" t="e">
        <f t="shared" si="229"/>
        <v>#NUM!</v>
      </c>
      <c r="AG248" s="51" t="str">
        <f t="shared" si="211"/>
        <v>1-5.37282979773498i</v>
      </c>
      <c r="AH248" s="51">
        <f t="shared" si="230"/>
        <v>5.4650983555128185</v>
      </c>
      <c r="AI248" s="51">
        <f t="shared" si="231"/>
        <v>-1.3867802371322921</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-0.000133283554228113</v>
      </c>
      <c r="AT248" s="32" t="str">
        <f t="shared" si="215"/>
        <v>0.000765986434830416i</v>
      </c>
      <c r="AU248" s="32">
        <f t="shared" si="239"/>
        <v>7.65986434830416E-4</v>
      </c>
      <c r="AV248" s="32">
        <f t="shared" si="240"/>
        <v>1.5707963267948966</v>
      </c>
      <c r="AW248" s="32" t="str">
        <f t="shared" si="216"/>
        <v>1+0.133927051059783i</v>
      </c>
      <c r="AX248" s="32">
        <f t="shared" si="241"/>
        <v>1.0089283696108311</v>
      </c>
      <c r="AY248" s="32">
        <f t="shared" si="242"/>
        <v>0.13313483397267534</v>
      </c>
      <c r="AZ248" s="32" t="str">
        <f t="shared" si="217"/>
        <v>1+1.99583971213481i</v>
      </c>
      <c r="BA248" s="32">
        <f t="shared" si="243"/>
        <v>2.2323476782379488</v>
      </c>
      <c r="BB248" s="32">
        <f t="shared" si="244"/>
        <v>1.1063152734663806</v>
      </c>
      <c r="BC248" s="60" t="str">
        <f t="shared" si="245"/>
        <v>-0.318268842074593+0.216627306943061i</v>
      </c>
      <c r="BD248" s="51">
        <f t="shared" si="246"/>
        <v>-8.290860243350199</v>
      </c>
      <c r="BE248" s="63">
        <f t="shared" si="247"/>
        <v>145.75913188767592</v>
      </c>
      <c r="BF248" s="60" t="str">
        <f t="shared" si="248"/>
        <v>0.427568307817014+0.821620025181435i</v>
      </c>
      <c r="BG248" s="66">
        <f t="shared" si="249"/>
        <v>-0.66576431759657351</v>
      </c>
      <c r="BH248" s="63">
        <f t="shared" si="250"/>
        <v>62.50768217957129</v>
      </c>
      <c r="BI248" s="60" t="e">
        <f t="shared" si="255"/>
        <v>#NUM!</v>
      </c>
      <c r="BJ248" s="66" t="e">
        <f t="shared" si="251"/>
        <v>#NUM!</v>
      </c>
      <c r="BK248" s="63" t="e">
        <f t="shared" si="256"/>
        <v>#NUM!</v>
      </c>
      <c r="BL248" s="51">
        <f t="shared" si="252"/>
        <v>-0.66576431759657351</v>
      </c>
      <c r="BM248" s="63">
        <f t="shared" si="253"/>
        <v>62.50768217957129</v>
      </c>
    </row>
    <row r="249" spans="14:65" x14ac:dyDescent="0.3">
      <c r="N249" s="11">
        <v>31</v>
      </c>
      <c r="O249" s="52">
        <f t="shared" si="254"/>
        <v>2041.7379446695318</v>
      </c>
      <c r="P249" s="50" t="str">
        <f t="shared" si="206"/>
        <v>21.1560044893378</v>
      </c>
      <c r="Q249" s="18" t="str">
        <f t="shared" si="207"/>
        <v>1+8.94115789898025i</v>
      </c>
      <c r="R249" s="18">
        <f t="shared" si="218"/>
        <v>8.9969052776216856</v>
      </c>
      <c r="S249" s="18">
        <f t="shared" si="219"/>
        <v>1.4594168546494175</v>
      </c>
      <c r="T249" s="18" t="str">
        <f t="shared" si="208"/>
        <v>1+0.0128286178550586i</v>
      </c>
      <c r="U249" s="18">
        <f t="shared" si="220"/>
        <v>1.0000822833327621</v>
      </c>
      <c r="V249" s="18">
        <f t="shared" si="221"/>
        <v>1.282791417463474E-2</v>
      </c>
      <c r="W249" s="32" t="str">
        <f t="shared" si="209"/>
        <v>1-0.00576149168756774i</v>
      </c>
      <c r="X249" s="18">
        <f t="shared" si="222"/>
        <v>1.0000165972554986</v>
      </c>
      <c r="Y249" s="18">
        <f t="shared" si="223"/>
        <v>-5.7614279383419896E-3</v>
      </c>
      <c r="Z249" s="32" t="str">
        <f t="shared" si="210"/>
        <v>0.999995831306165+0.00314449875047255i</v>
      </c>
      <c r="AA249" s="18">
        <f t="shared" si="224"/>
        <v>1.0000007752507494</v>
      </c>
      <c r="AB249" s="18">
        <f t="shared" si="225"/>
        <v>3.1445014947774964E-3</v>
      </c>
      <c r="AC249" s="68" t="str">
        <f t="shared" si="226"/>
        <v>0.270554768593194-2.33609145199902i</v>
      </c>
      <c r="AD249" s="66">
        <f t="shared" si="227"/>
        <v>7.4276621494752266</v>
      </c>
      <c r="AE249" s="63">
        <f t="shared" si="228"/>
        <v>-83.393713148665611</v>
      </c>
      <c r="AF249" s="51" t="e">
        <f t="shared" si="229"/>
        <v>#NUM!</v>
      </c>
      <c r="AG249" s="51" t="str">
        <f t="shared" si="211"/>
        <v>1-5.49797908073941i</v>
      </c>
      <c r="AH249" s="51">
        <f t="shared" si="230"/>
        <v>5.588181633791816</v>
      </c>
      <c r="AI249" s="51">
        <f t="shared" si="231"/>
        <v>-1.3908781345762518</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-0.000133283554228113</v>
      </c>
      <c r="AT249" s="32" t="str">
        <f t="shared" si="215"/>
        <v>0.000783828550944083i</v>
      </c>
      <c r="AU249" s="32">
        <f t="shared" si="239"/>
        <v>7.8382855094408298E-4</v>
      </c>
      <c r="AV249" s="32">
        <f t="shared" si="240"/>
        <v>1.5707963267948966</v>
      </c>
      <c r="AW249" s="32" t="str">
        <f t="shared" si="216"/>
        <v>1+0.137046612826302i</v>
      </c>
      <c r="AX249" s="32">
        <f t="shared" si="241"/>
        <v>1.0093472019514209</v>
      </c>
      <c r="AY249" s="32">
        <f t="shared" si="242"/>
        <v>0.1361981609166083</v>
      </c>
      <c r="AZ249" s="32" t="str">
        <f t="shared" si="217"/>
        <v>1+2.04232879114318i</v>
      </c>
      <c r="BA249" s="32">
        <f t="shared" si="243"/>
        <v>2.2740067922353182</v>
      </c>
      <c r="BB249" s="32">
        <f t="shared" si="244"/>
        <v>1.1154733321205856</v>
      </c>
      <c r="BC249" s="60" t="str">
        <f t="shared" si="245"/>
        <v>-0.318004763218723+0.21362319469276i</v>
      </c>
      <c r="BD249" s="51">
        <f t="shared" si="246"/>
        <v>-8.3338667816981342</v>
      </c>
      <c r="BE249" s="63">
        <f t="shared" si="247"/>
        <v>146.10833429193909</v>
      </c>
      <c r="BF249" s="60" t="str">
        <f t="shared" si="248"/>
        <v>0.413005613946304+0.80068498305647i</v>
      </c>
      <c r="BG249" s="66">
        <f t="shared" si="249"/>
        <v>-0.90620463222290615</v>
      </c>
      <c r="BH249" s="63">
        <f t="shared" si="250"/>
        <v>62.714621143273497</v>
      </c>
      <c r="BI249" s="60" t="e">
        <f t="shared" si="255"/>
        <v>#NUM!</v>
      </c>
      <c r="BJ249" s="66" t="e">
        <f t="shared" si="251"/>
        <v>#NUM!</v>
      </c>
      <c r="BK249" s="63" t="e">
        <f t="shared" si="256"/>
        <v>#NUM!</v>
      </c>
      <c r="BL249" s="51">
        <f t="shared" si="252"/>
        <v>-0.90620463222290615</v>
      </c>
      <c r="BM249" s="63">
        <f t="shared" si="253"/>
        <v>62.714621143273497</v>
      </c>
    </row>
    <row r="250" spans="14:65" x14ac:dyDescent="0.3">
      <c r="N250" s="11">
        <v>32</v>
      </c>
      <c r="O250" s="52">
        <f t="shared" si="254"/>
        <v>2089.2961308540398</v>
      </c>
      <c r="P250" s="50" t="str">
        <f t="shared" si="206"/>
        <v>21.1560044893378</v>
      </c>
      <c r="Q250" s="18" t="str">
        <f t="shared" si="207"/>
        <v>1+9.14942422090225i</v>
      </c>
      <c r="R250" s="18">
        <f t="shared" si="218"/>
        <v>9.20391023283217</v>
      </c>
      <c r="S250" s="18">
        <f t="shared" si="219"/>
        <v>1.4619319472686527</v>
      </c>
      <c r="T250" s="18" t="str">
        <f t="shared" si="208"/>
        <v>1+0.0131274347517293i</v>
      </c>
      <c r="U250" s="18">
        <f t="shared" si="220"/>
        <v>1.0000861610597163</v>
      </c>
      <c r="V250" s="18">
        <f t="shared" si="221"/>
        <v>1.3126680748078814E-2</v>
      </c>
      <c r="W250" s="32" t="str">
        <f t="shared" si="209"/>
        <v>1-0.00589569406897192i</v>
      </c>
      <c r="X250" s="18">
        <f t="shared" si="222"/>
        <v>1.0000173794532548</v>
      </c>
      <c r="Y250" s="18">
        <f t="shared" si="223"/>
        <v>-5.89562576050995E-3</v>
      </c>
      <c r="Z250" s="32" t="str">
        <f t="shared" si="210"/>
        <v>0.999995634841678+0.00321774353559417i</v>
      </c>
      <c r="AA250" s="18">
        <f t="shared" si="224"/>
        <v>1.0000008117876062</v>
      </c>
      <c r="AB250" s="18">
        <f t="shared" si="225"/>
        <v>3.2177464761692165E-3</v>
      </c>
      <c r="AC250" s="68" t="str">
        <f t="shared" si="226"/>
        <v>0.258935354037573-2.28419533258088i</v>
      </c>
      <c r="AD250" s="66">
        <f t="shared" si="227"/>
        <v>7.2301177814092004</v>
      </c>
      <c r="AE250" s="63">
        <f t="shared" si="228"/>
        <v>-83.532584874248684</v>
      </c>
      <c r="AF250" s="51" t="e">
        <f t="shared" si="229"/>
        <v>#NUM!</v>
      </c>
      <c r="AG250" s="51" t="str">
        <f t="shared" si="211"/>
        <v>1-5.62604346502685i</v>
      </c>
      <c r="AH250" s="51">
        <f t="shared" si="230"/>
        <v>5.7142248004756802</v>
      </c>
      <c r="AI250" s="51">
        <f t="shared" si="231"/>
        <v>-1.3948886638866715</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-0.000133283554228113</v>
      </c>
      <c r="AT250" s="32" t="str">
        <f t="shared" si="215"/>
        <v>0.000802086263330658i</v>
      </c>
      <c r="AU250" s="32">
        <f t="shared" si="239"/>
        <v>8.0208626333065798E-4</v>
      </c>
      <c r="AV250" s="32">
        <f t="shared" si="240"/>
        <v>1.5707963267948966</v>
      </c>
      <c r="AW250" s="32" t="str">
        <f t="shared" si="216"/>
        <v>1+0.140238838520969i</v>
      </c>
      <c r="AX250" s="32">
        <f t="shared" si="241"/>
        <v>1.0097855870578221</v>
      </c>
      <c r="AY250" s="32">
        <f t="shared" si="242"/>
        <v>0.13933018107038009</v>
      </c>
      <c r="AZ250" s="32" t="str">
        <f t="shared" si="217"/>
        <v>1+2.08990073991006i</v>
      </c>
      <c r="BA250" s="32">
        <f t="shared" si="243"/>
        <v>2.316826515446639</v>
      </c>
      <c r="BB250" s="32">
        <f t="shared" si="244"/>
        <v>1.124502995736</v>
      </c>
      <c r="BC250" s="60" t="str">
        <f t="shared" si="245"/>
        <v>-0.317728707999572+0.210729001927036i</v>
      </c>
      <c r="BD250" s="51">
        <f t="shared" si="246"/>
        <v>-8.3756033174301585</v>
      </c>
      <c r="BE250" s="63">
        <f t="shared" si="247"/>
        <v>146.446244371364</v>
      </c>
      <c r="BF250" s="60" t="str">
        <f t="shared" si="248"/>
        <v>0.399075007147393+0.780319620559537i</v>
      </c>
      <c r="BG250" s="66">
        <f t="shared" si="249"/>
        <v>-1.1454855360209597</v>
      </c>
      <c r="BH250" s="63">
        <f t="shared" si="250"/>
        <v>62.913659497115326</v>
      </c>
      <c r="BI250" s="60" t="e">
        <f t="shared" si="255"/>
        <v>#NUM!</v>
      </c>
      <c r="BJ250" s="66" t="e">
        <f t="shared" si="251"/>
        <v>#NUM!</v>
      </c>
      <c r="BK250" s="63" t="e">
        <f t="shared" si="256"/>
        <v>#NUM!</v>
      </c>
      <c r="BL250" s="51">
        <f t="shared" si="252"/>
        <v>-1.1454855360209597</v>
      </c>
      <c r="BM250" s="63">
        <f t="shared" si="253"/>
        <v>62.913659497115326</v>
      </c>
    </row>
    <row r="251" spans="14:65" x14ac:dyDescent="0.3">
      <c r="N251" s="11">
        <v>33</v>
      </c>
      <c r="O251" s="52">
        <f t="shared" si="254"/>
        <v>2137.9620895022344</v>
      </c>
      <c r="P251" s="50" t="str">
        <f t="shared" si="206"/>
        <v>21.1560044893378</v>
      </c>
      <c r="Q251" s="18" t="str">
        <f t="shared" si="207"/>
        <v>1+9.36254168865305i</v>
      </c>
      <c r="R251" s="18">
        <f t="shared" si="218"/>
        <v>9.415794542775787</v>
      </c>
      <c r="S251" s="18">
        <f t="shared" si="219"/>
        <v>1.4643911262446296</v>
      </c>
      <c r="T251" s="18" t="str">
        <f t="shared" si="208"/>
        <v>1+0.0134332119880674i</v>
      </c>
      <c r="U251" s="18">
        <f t="shared" si="220"/>
        <v>1.0000902215221967</v>
      </c>
      <c r="V251" s="18">
        <f t="shared" si="221"/>
        <v>1.3432404062536128E-2</v>
      </c>
      <c r="W251" s="32" t="str">
        <f t="shared" si="209"/>
        <v>1-0.00603302242541015i</v>
      </c>
      <c r="X251" s="18">
        <f t="shared" si="222"/>
        <v>1.0000181985141998</v>
      </c>
      <c r="Y251" s="18">
        <f t="shared" si="223"/>
        <v>-6.0329492316463776E-3</v>
      </c>
      <c r="Z251" s="32" t="str">
        <f t="shared" si="210"/>
        <v>0.999995429118104+0.0032926944109302i</v>
      </c>
      <c r="AA251" s="18">
        <f t="shared" si="224"/>
        <v>1.000000850046431</v>
      </c>
      <c r="AB251" s="18">
        <f t="shared" si="225"/>
        <v>3.2926975618123677E-3</v>
      </c>
      <c r="AC251" s="68" t="str">
        <f t="shared" si="226"/>
        <v>0.24782682121752-2.23339726814682i</v>
      </c>
      <c r="AD251" s="66">
        <f t="shared" si="227"/>
        <v>7.0324678459439038</v>
      </c>
      <c r="AE251" s="63">
        <f t="shared" si="228"/>
        <v>-83.668131231223796</v>
      </c>
      <c r="AF251" s="51" t="e">
        <f t="shared" si="229"/>
        <v>#NUM!</v>
      </c>
      <c r="AG251" s="51" t="str">
        <f t="shared" si="211"/>
        <v>1-5.75709085202889i</v>
      </c>
      <c r="AH251" s="51">
        <f t="shared" si="230"/>
        <v>5.8432948820434119</v>
      </c>
      <c r="AI251" s="51">
        <f t="shared" si="231"/>
        <v>-1.3988134351904304</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-0.000133283554228113</v>
      </c>
      <c r="AT251" s="32" t="str">
        <f t="shared" si="215"/>
        <v>0.000820769252470919i</v>
      </c>
      <c r="AU251" s="32">
        <f t="shared" si="239"/>
        <v>8.2076925247091901E-4</v>
      </c>
      <c r="AV251" s="32">
        <f t="shared" si="240"/>
        <v>1.5707963267948966</v>
      </c>
      <c r="AW251" s="32" t="str">
        <f t="shared" si="216"/>
        <v>1+0.1435054207041i</v>
      </c>
      <c r="AX251" s="32">
        <f t="shared" si="241"/>
        <v>1.0102444287257717</v>
      </c>
      <c r="AY251" s="32">
        <f t="shared" si="242"/>
        <v>0.14253230915371895</v>
      </c>
      <c r="AZ251" s="32" t="str">
        <f t="shared" si="217"/>
        <v>1+2.13858078171232i</v>
      </c>
      <c r="BA251" s="32">
        <f t="shared" si="243"/>
        <v>2.3608320058634575</v>
      </c>
      <c r="BB251" s="32">
        <f t="shared" si="244"/>
        <v>1.1334031611219748</v>
      </c>
      <c r="BC251" s="60" t="str">
        <f t="shared" si="245"/>
        <v>-0.317440155924959+0.207942964113336i</v>
      </c>
      <c r="BD251" s="51">
        <f t="shared" si="246"/>
        <v>-8.416117860138284</v>
      </c>
      <c r="BE251" s="63">
        <f t="shared" si="247"/>
        <v>146.77271786031312</v>
      </c>
      <c r="BF251" s="60" t="str">
        <f t="shared" si="248"/>
        <v>0.3857490632114+0.760503820833661i</v>
      </c>
      <c r="BG251" s="66">
        <f t="shared" si="249"/>
        <v>-1.3836500141943815</v>
      </c>
      <c r="BH251" s="63">
        <f t="shared" si="250"/>
        <v>63.104586629089347</v>
      </c>
      <c r="BI251" s="60" t="e">
        <f t="shared" si="255"/>
        <v>#NUM!</v>
      </c>
      <c r="BJ251" s="66" t="e">
        <f t="shared" si="251"/>
        <v>#NUM!</v>
      </c>
      <c r="BK251" s="63" t="e">
        <f t="shared" si="256"/>
        <v>#NUM!</v>
      </c>
      <c r="BL251" s="51">
        <f t="shared" si="252"/>
        <v>-1.3836500141943815</v>
      </c>
      <c r="BM251" s="63">
        <f t="shared" si="253"/>
        <v>63.104586629089347</v>
      </c>
    </row>
    <row r="252" spans="14:65" x14ac:dyDescent="0.3">
      <c r="N252" s="11">
        <v>34</v>
      </c>
      <c r="O252" s="52">
        <f t="shared" si="254"/>
        <v>2187.7616239495528</v>
      </c>
      <c r="P252" s="50" t="str">
        <f t="shared" si="206"/>
        <v>21.1560044893378</v>
      </c>
      <c r="Q252" s="18" t="str">
        <f t="shared" si="207"/>
        <v>1+9.58062329993509i</v>
      </c>
      <c r="R252" s="18">
        <f t="shared" si="218"/>
        <v>9.6326705962188441</v>
      </c>
      <c r="S252" s="18">
        <f t="shared" si="219"/>
        <v>1.4667955764255585</v>
      </c>
      <c r="T252" s="18" t="str">
        <f t="shared" si="208"/>
        <v>1+0.0137461116912112i</v>
      </c>
      <c r="U252" s="18">
        <f t="shared" si="220"/>
        <v>1.0000944733307084</v>
      </c>
      <c r="V252" s="18">
        <f t="shared" si="221"/>
        <v>1.3745245987823956E-2</v>
      </c>
      <c r="W252" s="32" t="str">
        <f t="shared" si="209"/>
        <v>1-0.00617354957019485i</v>
      </c>
      <c r="X252" s="18">
        <f t="shared" si="222"/>
        <v>1.0000190561755788</v>
      </c>
      <c r="Y252" s="18">
        <f t="shared" si="223"/>
        <v>-6.1734711417446618E-3</v>
      </c>
      <c r="Z252" s="32" t="str">
        <f t="shared" si="210"/>
        <v>0.999995213699077+0.00336939111642689i</v>
      </c>
      <c r="AA252" s="18">
        <f t="shared" si="224"/>
        <v>1.000000890108383</v>
      </c>
      <c r="AB252" s="18">
        <f t="shared" si="225"/>
        <v>3.3693944926571039E-3</v>
      </c>
      <c r="AC252" s="68" t="str">
        <f t="shared" si="226"/>
        <v>0.237207221450067-2.1836777024006i</v>
      </c>
      <c r="AD252" s="66">
        <f t="shared" si="227"/>
        <v>6.8347171595134171</v>
      </c>
      <c r="AE252" s="63">
        <f t="shared" si="228"/>
        <v>-83.800417279483511</v>
      </c>
      <c r="AF252" s="51" t="e">
        <f t="shared" si="229"/>
        <v>#NUM!</v>
      </c>
      <c r="AG252" s="51" t="str">
        <f t="shared" si="211"/>
        <v>1-5.89119072480481i</v>
      </c>
      <c r="AH252" s="51">
        <f t="shared" si="230"/>
        <v>5.9754604974032102</v>
      </c>
      <c r="AI252" s="51">
        <f t="shared" si="231"/>
        <v>-1.402654045560576</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-0.000133283554228113</v>
      </c>
      <c r="AT252" s="32" t="str">
        <f t="shared" si="215"/>
        <v>0.000839887424333003i</v>
      </c>
      <c r="AU252" s="32">
        <f t="shared" si="239"/>
        <v>8.3988742433300297E-4</v>
      </c>
      <c r="AV252" s="32">
        <f t="shared" si="240"/>
        <v>1.5707963267948966</v>
      </c>
      <c r="AW252" s="32" t="str">
        <f t="shared" si="216"/>
        <v>1+0.146848091360807i</v>
      </c>
      <c r="AX252" s="32">
        <f t="shared" si="241"/>
        <v>1.0107246716768676</v>
      </c>
      <c r="AY252" s="32">
        <f t="shared" si="242"/>
        <v>0.14580598017254964</v>
      </c>
      <c r="AZ252" s="32" t="str">
        <f t="shared" si="217"/>
        <v>1+2.18839472735251i</v>
      </c>
      <c r="BA252" s="32">
        <f t="shared" si="243"/>
        <v>2.4060489360576747</v>
      </c>
      <c r="BB252" s="32">
        <f t="shared" si="244"/>
        <v>1.142172906192279</v>
      </c>
      <c r="BC252" s="60" t="str">
        <f t="shared" si="245"/>
        <v>-0.317138566018552+0.205263358717326i</v>
      </c>
      <c r="BD252" s="51">
        <f t="shared" si="246"/>
        <v>-8.4554584800321031</v>
      </c>
      <c r="BE252" s="63">
        <f t="shared" si="247"/>
        <v>147.08761970735398</v>
      </c>
      <c r="BF252" s="60" t="str">
        <f t="shared" si="248"/>
        <v>0.373001461490961+0.741218366172858i</v>
      </c>
      <c r="BG252" s="66">
        <f t="shared" si="249"/>
        <v>-1.6207413205186902</v>
      </c>
      <c r="BH252" s="63">
        <f t="shared" si="250"/>
        <v>63.287202427870476</v>
      </c>
      <c r="BI252" s="60" t="e">
        <f t="shared" si="255"/>
        <v>#NUM!</v>
      </c>
      <c r="BJ252" s="66" t="e">
        <f t="shared" si="251"/>
        <v>#NUM!</v>
      </c>
      <c r="BK252" s="63" t="e">
        <f t="shared" si="256"/>
        <v>#NUM!</v>
      </c>
      <c r="BL252" s="51">
        <f t="shared" si="252"/>
        <v>-1.6207413205186902</v>
      </c>
      <c r="BM252" s="63">
        <f t="shared" si="253"/>
        <v>63.287202427870476</v>
      </c>
    </row>
    <row r="253" spans="14:65" x14ac:dyDescent="0.3">
      <c r="N253" s="11">
        <v>35</v>
      </c>
      <c r="O253" s="52">
        <f t="shared" si="254"/>
        <v>2238.7211385683418</v>
      </c>
      <c r="P253" s="50" t="str">
        <f t="shared" si="206"/>
        <v>21.1560044893378</v>
      </c>
      <c r="Q253" s="18" t="str">
        <f t="shared" si="207"/>
        <v>1+9.80378468450532i</v>
      </c>
      <c r="R253" s="18">
        <f t="shared" si="218"/>
        <v>9.854653425673634</v>
      </c>
      <c r="S253" s="18">
        <f t="shared" si="219"/>
        <v>1.4691464614137453</v>
      </c>
      <c r="T253" s="18" t="str">
        <f t="shared" si="208"/>
        <v>1+0.014066299764725i</v>
      </c>
      <c r="U253" s="18">
        <f t="shared" si="220"/>
        <v>1.0000989255014081</v>
      </c>
      <c r="V253" s="18">
        <f t="shared" si="221"/>
        <v>1.4065372151788526E-2</v>
      </c>
      <c r="W253" s="32" t="str">
        <f t="shared" si="209"/>
        <v>1-0.00631735001267827i</v>
      </c>
      <c r="X253" s="18">
        <f t="shared" si="222"/>
        <v>1.0000199542565051</v>
      </c>
      <c r="Y253" s="18">
        <f t="shared" si="223"/>
        <v>-6.3172659751703792E-3</v>
      </c>
      <c r="Z253" s="32" t="str">
        <f t="shared" si="210"/>
        <v>0.999994988127664+0.00344787431769267i</v>
      </c>
      <c r="AA253" s="18">
        <f t="shared" si="224"/>
        <v>1.0000009320584442</v>
      </c>
      <c r="AB253" s="18">
        <f t="shared" si="225"/>
        <v>3.447877935387561E-3</v>
      </c>
      <c r="AC253" s="68" t="str">
        <f t="shared" si="226"/>
        <v>0.227055504195693-2.13501717647094i</v>
      </c>
      <c r="AD253" s="66">
        <f t="shared" si="227"/>
        <v>6.6368703394396968</v>
      </c>
      <c r="AE253" s="63">
        <f t="shared" si="228"/>
        <v>-83.929506796421563</v>
      </c>
      <c r="AF253" s="51" t="e">
        <f t="shared" si="229"/>
        <v>#NUM!</v>
      </c>
      <c r="AG253" s="51" t="str">
        <f t="shared" si="211"/>
        <v>1-6.02841418488215i</v>
      </c>
      <c r="AH253" s="51">
        <f t="shared" si="230"/>
        <v>6.1107918950401441</v>
      </c>
      <c r="AI253" s="51">
        <f t="shared" si="231"/>
        <v>-1.4064120779117777</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-0.000133283554228113</v>
      </c>
      <c r="AT253" s="32" t="str">
        <f t="shared" si="215"/>
        <v>0.000859450915624695i</v>
      </c>
      <c r="AU253" s="32">
        <f t="shared" si="239"/>
        <v>8.5945091562469498E-4</v>
      </c>
      <c r="AV253" s="32">
        <f t="shared" si="240"/>
        <v>1.5707963267948966</v>
      </c>
      <c r="AW253" s="32" t="str">
        <f t="shared" si="216"/>
        <v>1+0.150268622819318i</v>
      </c>
      <c r="AX253" s="32">
        <f t="shared" si="241"/>
        <v>1.0112273033319534</v>
      </c>
      <c r="AY253" s="32">
        <f t="shared" si="242"/>
        <v>0.14915264905497222</v>
      </c>
      <c r="AZ253" s="32" t="str">
        <f t="shared" si="217"/>
        <v>1+2.23936898884398i</v>
      </c>
      <c r="BA253" s="32">
        <f t="shared" si="243"/>
        <v>2.4525035103330857</v>
      </c>
      <c r="BB253" s="32">
        <f t="shared" si="244"/>
        <v>1.1508114840193855</v>
      </c>
      <c r="BC253" s="60" t="str">
        <f t="shared" si="245"/>
        <v>-0.316823376217277+0.202688503320126i</v>
      </c>
      <c r="BD253" s="51">
        <f t="shared" si="246"/>
        <v>-8.4936732531805159</v>
      </c>
      <c r="BE253" s="63">
        <f t="shared" si="247"/>
        <v>147.39082375545175</v>
      </c>
      <c r="BF253" s="60" t="str">
        <f t="shared" si="248"/>
        <v>0.360806944633661+0.722444890447423i</v>
      </c>
      <c r="BG253" s="66">
        <f t="shared" si="249"/>
        <v>-1.856802913740816</v>
      </c>
      <c r="BH253" s="63">
        <f t="shared" si="250"/>
        <v>63.461316959030185</v>
      </c>
      <c r="BI253" s="60" t="e">
        <f t="shared" si="255"/>
        <v>#NUM!</v>
      </c>
      <c r="BJ253" s="66" t="e">
        <f t="shared" si="251"/>
        <v>#NUM!</v>
      </c>
      <c r="BK253" s="63" t="e">
        <f t="shared" si="256"/>
        <v>#NUM!</v>
      </c>
      <c r="BL253" s="51">
        <f t="shared" si="252"/>
        <v>-1.856802913740816</v>
      </c>
      <c r="BM253" s="63">
        <f t="shared" si="253"/>
        <v>63.461316959030185</v>
      </c>
    </row>
    <row r="254" spans="14:65" x14ac:dyDescent="0.3">
      <c r="N254" s="11">
        <v>36</v>
      </c>
      <c r="O254" s="52">
        <f t="shared" si="254"/>
        <v>2290.8676527677749</v>
      </c>
      <c r="P254" s="50" t="str">
        <f t="shared" si="206"/>
        <v>21.1560044893378</v>
      </c>
      <c r="Q254" s="18" t="str">
        <f t="shared" si="207"/>
        <v>1+10.0321441654837i</v>
      </c>
      <c r="R254" s="18">
        <f t="shared" si="218"/>
        <v>10.081860768580801</v>
      </c>
      <c r="S254" s="18">
        <f t="shared" si="219"/>
        <v>1.4714449236823488</v>
      </c>
      <c r="T254" s="18" t="str">
        <f t="shared" si="208"/>
        <v>1+0.0143939459765635i</v>
      </c>
      <c r="U254" s="18">
        <f t="shared" si="220"/>
        <v>1.0001035874752056</v>
      </c>
      <c r="V254" s="18">
        <f t="shared" si="221"/>
        <v>1.4392952026954448E-2</v>
      </c>
      <c r="W254" s="32" t="str">
        <f t="shared" si="209"/>
        <v>1-0.0064644999977584i</v>
      </c>
      <c r="X254" s="18">
        <f t="shared" si="222"/>
        <v>1.000020894661817</v>
      </c>
      <c r="Y254" s="18">
        <f t="shared" si="223"/>
        <v>-6.4644099500479474E-3</v>
      </c>
      <c r="Z254" s="32" t="str">
        <f t="shared" si="210"/>
        <v>0.999994751925398+0.00352818562755969i</v>
      </c>
      <c r="AA254" s="18">
        <f t="shared" si="224"/>
        <v>1.0000009759856041</v>
      </c>
      <c r="AB254" s="18">
        <f t="shared" si="225"/>
        <v>3.5281895039885268E-3</v>
      </c>
      <c r="AC254" s="68" t="str">
        <f t="shared" si="226"/>
        <v>0.217351484244521-2.08739634834649i</v>
      </c>
      <c r="AD254" s="66">
        <f t="shared" si="227"/>
        <v>6.4389318124687991</v>
      </c>
      <c r="AE254" s="63">
        <f t="shared" si="228"/>
        <v>-84.055462282150401</v>
      </c>
      <c r="AF254" s="51" t="e">
        <f t="shared" si="229"/>
        <v>#NUM!</v>
      </c>
      <c r="AG254" s="51" t="str">
        <f t="shared" si="211"/>
        <v>1-6.16883398995579i</v>
      </c>
      <c r="AH254" s="51">
        <f t="shared" si="230"/>
        <v>6.2493609909841084</v>
      </c>
      <c r="AI254" s="51">
        <f t="shared" si="231"/>
        <v>-1.4100890999968803</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-0.000133283554228113</v>
      </c>
      <c r="AT254" s="32" t="str">
        <f t="shared" si="215"/>
        <v>0.000879470099168028i</v>
      </c>
      <c r="AU254" s="32">
        <f t="shared" si="239"/>
        <v>8.7947009916802799E-4</v>
      </c>
      <c r="AV254" s="32">
        <f t="shared" si="240"/>
        <v>1.5707963267948966</v>
      </c>
      <c r="AW254" s="32" t="str">
        <f t="shared" si="216"/>
        <v>1+0.153768828690688i</v>
      </c>
      <c r="AX254" s="32">
        <f t="shared" si="241"/>
        <v>1.0117533556538896</v>
      </c>
      <c r="AY254" s="32">
        <f t="shared" si="242"/>
        <v>0.15257379022697101</v>
      </c>
      <c r="AZ254" s="32" t="str">
        <f t="shared" si="217"/>
        <v>1+2.29153059341488i</v>
      </c>
      <c r="BA254" s="32">
        <f t="shared" si="243"/>
        <v>2.5002224822116035</v>
      </c>
      <c r="BB254" s="32">
        <f t="shared" si="244"/>
        <v>1.1593183166212138</v>
      </c>
      <c r="BC254" s="60" t="str">
        <f t="shared" si="245"/>
        <v>-0.316494002771483+0.200216753702056i</v>
      </c>
      <c r="BD254" s="51">
        <f t="shared" si="246"/>
        <v>-8.5308102120903442</v>
      </c>
      <c r="BE254" s="63">
        <f t="shared" si="247"/>
        <v>147.68221241028692</v>
      </c>
      <c r="BF254" s="60" t="str">
        <f t="shared" si="248"/>
        <v>0.349141279298589+0.704165834246519i</v>
      </c>
      <c r="BG254" s="66">
        <f t="shared" si="249"/>
        <v>-2.0918783996215451</v>
      </c>
      <c r="BH254" s="63">
        <f t="shared" si="250"/>
        <v>63.626750128136521</v>
      </c>
      <c r="BI254" s="60" t="e">
        <f t="shared" si="255"/>
        <v>#NUM!</v>
      </c>
      <c r="BJ254" s="66" t="e">
        <f t="shared" si="251"/>
        <v>#NUM!</v>
      </c>
      <c r="BK254" s="63" t="e">
        <f t="shared" si="256"/>
        <v>#NUM!</v>
      </c>
      <c r="BL254" s="51">
        <f t="shared" si="252"/>
        <v>-2.0918783996215451</v>
      </c>
      <c r="BM254" s="63">
        <f t="shared" si="253"/>
        <v>63.626750128136521</v>
      </c>
    </row>
    <row r="255" spans="14:65" x14ac:dyDescent="0.3">
      <c r="N255" s="11">
        <v>37</v>
      </c>
      <c r="O255" s="52">
        <f t="shared" si="254"/>
        <v>2344.2288153199238</v>
      </c>
      <c r="P255" s="50" t="str">
        <f t="shared" si="206"/>
        <v>21.1560044893378</v>
      </c>
      <c r="Q255" s="18" t="str">
        <f t="shared" si="207"/>
        <v>1+10.2658228220897i</v>
      </c>
      <c r="R255" s="18">
        <f t="shared" si="218"/>
        <v>10.314413129913776</v>
      </c>
      <c r="S255" s="18">
        <f t="shared" si="219"/>
        <v>1.4736920847123474</v>
      </c>
      <c r="T255" s="18" t="str">
        <f t="shared" si="208"/>
        <v>1+0.0147292240490852i</v>
      </c>
      <c r="U255" s="18">
        <f t="shared" si="220"/>
        <v>1.0001084691377673</v>
      </c>
      <c r="V255" s="18">
        <f t="shared" si="221"/>
        <v>1.4728159019129191E-2</v>
      </c>
      <c r="W255" s="32" t="str">
        <f t="shared" si="209"/>
        <v>1-0.00661507754630513i</v>
      </c>
      <c r="X255" s="18">
        <f t="shared" si="222"/>
        <v>1.000021879386118</v>
      </c>
      <c r="Y255" s="18">
        <f t="shared" si="223"/>
        <v>-6.6149810585590029E-3</v>
      </c>
      <c r="Z255" s="32" t="str">
        <f t="shared" si="210"/>
        <v>0.999994504591261+0.00361036762814751i</v>
      </c>
      <c r="AA255" s="18">
        <f t="shared" si="224"/>
        <v>1.0000010219830437</v>
      </c>
      <c r="AB255" s="18">
        <f t="shared" si="225"/>
        <v>3.6103717818146363E-3</v>
      </c>
      <c r="AC255" s="68" t="str">
        <f t="shared" si="226"/>
        <v>0.208075809745501-2.04079601058814i</v>
      </c>
      <c r="AD255" s="66">
        <f t="shared" si="227"/>
        <v>6.2409058230097738</v>
      </c>
      <c r="AE255" s="63">
        <f t="shared" si="228"/>
        <v>-84.178344965845156</v>
      </c>
      <c r="AF255" s="51" t="e">
        <f t="shared" si="229"/>
        <v>#NUM!</v>
      </c>
      <c r="AG255" s="51" t="str">
        <f t="shared" si="211"/>
        <v>1-6.3125245924651i</v>
      </c>
      <c r="AH255" s="51">
        <f t="shared" si="230"/>
        <v>6.391241407620015</v>
      </c>
      <c r="AI255" s="51">
        <f t="shared" si="231"/>
        <v>-1.41368666349892</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-0.000133283554228113</v>
      </c>
      <c r="AT255" s="32" t="str">
        <f t="shared" si="215"/>
        <v>0.000899955589399103i</v>
      </c>
      <c r="AU255" s="32">
        <f t="shared" si="239"/>
        <v>8.9995558939910301E-4</v>
      </c>
      <c r="AV255" s="32">
        <f t="shared" si="240"/>
        <v>1.5707963267948966</v>
      </c>
      <c r="AW255" s="32" t="str">
        <f t="shared" si="216"/>
        <v>1+0.157350564830401i</v>
      </c>
      <c r="AX255" s="32">
        <f t="shared" si="241"/>
        <v>1.0123039070617312</v>
      </c>
      <c r="AY255" s="32">
        <f t="shared" si="242"/>
        <v>0.15607089712365646</v>
      </c>
      <c r="AZ255" s="32" t="str">
        <f t="shared" si="217"/>
        <v>1+2.34490719783841i</v>
      </c>
      <c r="BA255" s="32">
        <f t="shared" si="243"/>
        <v>2.5492331722450157</v>
      </c>
      <c r="BB255" s="32">
        <f t="shared" si="244"/>
        <v>1.1676929885293124</v>
      </c>
      <c r="BC255" s="60" t="str">
        <f t="shared" si="245"/>
        <v>-0.316149839650456+0.197846501889587i</v>
      </c>
      <c r="BD255" s="51">
        <f t="shared" si="246"/>
        <v>-8.5669173015971563</v>
      </c>
      <c r="BE255" s="63">
        <f t="shared" si="247"/>
        <v>147.96167629974161</v>
      </c>
      <c r="BF255" s="60" t="str">
        <f t="shared" si="248"/>
        <v>0.337981217878909+0.686364402592721i</v>
      </c>
      <c r="BG255" s="66">
        <f t="shared" si="249"/>
        <v>-2.326011478587386</v>
      </c>
      <c r="BH255" s="63">
        <f t="shared" si="250"/>
        <v>63.783331333896442</v>
      </c>
      <c r="BI255" s="60" t="e">
        <f t="shared" si="255"/>
        <v>#NUM!</v>
      </c>
      <c r="BJ255" s="66" t="e">
        <f t="shared" si="251"/>
        <v>#NUM!</v>
      </c>
      <c r="BK255" s="63" t="e">
        <f t="shared" si="256"/>
        <v>#NUM!</v>
      </c>
      <c r="BL255" s="51">
        <f t="shared" si="252"/>
        <v>-2.326011478587386</v>
      </c>
      <c r="BM255" s="63">
        <f t="shared" si="253"/>
        <v>63.783331333896442</v>
      </c>
    </row>
    <row r="256" spans="14:65" x14ac:dyDescent="0.3">
      <c r="N256" s="11">
        <v>38</v>
      </c>
      <c r="O256" s="52">
        <f t="shared" si="254"/>
        <v>2398.8329190194918</v>
      </c>
      <c r="P256" s="50" t="str">
        <f t="shared" si="206"/>
        <v>21.1560044893378</v>
      </c>
      <c r="Q256" s="18" t="str">
        <f t="shared" si="207"/>
        <v>1+10.5049445538402i</v>
      </c>
      <c r="R256" s="18">
        <f t="shared" si="218"/>
        <v>10.552433846239307</v>
      </c>
      <c r="S256" s="18">
        <f t="shared" si="219"/>
        <v>1.4758890451479048</v>
      </c>
      <c r="T256" s="18" t="str">
        <f t="shared" si="208"/>
        <v>1+0.015072311751162i</v>
      </c>
      <c r="U256" s="18">
        <f t="shared" si="220"/>
        <v>1.0001135808404584</v>
      </c>
      <c r="V256" s="18">
        <f t="shared" si="221"/>
        <v>1.5071170558003118E-2</v>
      </c>
      <c r="W256" s="32" t="str">
        <f t="shared" si="209"/>
        <v>1-0.00676916249652779i</v>
      </c>
      <c r="X256" s="18">
        <f t="shared" si="222"/>
        <v>1.0000229105180063</v>
      </c>
      <c r="Y256" s="18">
        <f t="shared" si="223"/>
        <v>-6.7690591081730226E-3</v>
      </c>
      <c r="Z256" s="32" t="str">
        <f t="shared" si="210"/>
        <v>0.999994245600627+0.00369446389344062i</v>
      </c>
      <c r="AA256" s="18">
        <f t="shared" si="224"/>
        <v>1.0000010701483408</v>
      </c>
      <c r="AB256" s="18">
        <f t="shared" si="225"/>
        <v>3.6944683441737722E-3</v>
      </c>
      <c r="AC256" s="68" t="str">
        <f t="shared" si="226"/>
        <v>0.199209931091918-1.99519710642638i</v>
      </c>
      <c r="AD256" s="66">
        <f t="shared" si="227"/>
        <v>6.0427964410851924</v>
      </c>
      <c r="AE256" s="63">
        <f t="shared" si="228"/>
        <v>-84.298214813111301</v>
      </c>
      <c r="AF256" s="51" t="e">
        <f t="shared" si="229"/>
        <v>#NUM!</v>
      </c>
      <c r="AG256" s="51" t="str">
        <f t="shared" si="211"/>
        <v>1-6.45956217906944i</v>
      </c>
      <c r="AH256" s="51">
        <f t="shared" si="230"/>
        <v>6.536508513362798</v>
      </c>
      <c r="AI256" s="51">
        <f t="shared" si="231"/>
        <v>-1.4172063032131481</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-0.000133283554228113</v>
      </c>
      <c r="AT256" s="32" t="str">
        <f t="shared" si="215"/>
        <v>0.000920918247995997i</v>
      </c>
      <c r="AU256" s="32">
        <f t="shared" si="239"/>
        <v>9.2091824799599696E-4</v>
      </c>
      <c r="AV256" s="32">
        <f t="shared" si="240"/>
        <v>1.5707963267948966</v>
      </c>
      <c r="AW256" s="32" t="str">
        <f t="shared" si="216"/>
        <v>1+0.161015730322367i</v>
      </c>
      <c r="AX256" s="32">
        <f t="shared" si="241"/>
        <v>1.0128800844183112</v>
      </c>
      <c r="AY256" s="32">
        <f t="shared" si="242"/>
        <v>0.1596454816316375</v>
      </c>
      <c r="AZ256" s="32" t="str">
        <f t="shared" si="217"/>
        <v>1+2.39952710309674i</v>
      </c>
      <c r="BA256" s="32">
        <f t="shared" si="243"/>
        <v>2.5995634861445165</v>
      </c>
      <c r="BB256" s="32">
        <f t="shared" si="244"/>
        <v>1.1759352401851333</v>
      </c>
      <c r="BC256" s="60" t="str">
        <f t="shared" si="245"/>
        <v>-0.315790257956136+0.195576174162104i</v>
      </c>
      <c r="BD256" s="51">
        <f t="shared" si="246"/>
        <v>-8.6020423400108594</v>
      </c>
      <c r="BE256" s="63">
        <f t="shared" si="247"/>
        <v>148.22911392748489</v>
      </c>
      <c r="BF256" s="60" t="str">
        <f t="shared" si="248"/>
        <v>0.327304461247231+0.669024525089776i</v>
      </c>
      <c r="BG256" s="66">
        <f t="shared" si="249"/>
        <v>-2.5592458989256706</v>
      </c>
      <c r="BH256" s="63">
        <f t="shared" si="250"/>
        <v>63.93089911437356</v>
      </c>
      <c r="BI256" s="60" t="e">
        <f t="shared" si="255"/>
        <v>#NUM!</v>
      </c>
      <c r="BJ256" s="66" t="e">
        <f t="shared" si="251"/>
        <v>#NUM!</v>
      </c>
      <c r="BK256" s="63" t="e">
        <f t="shared" si="256"/>
        <v>#NUM!</v>
      </c>
      <c r="BL256" s="51">
        <f t="shared" si="252"/>
        <v>-2.5592458989256706</v>
      </c>
      <c r="BM256" s="63">
        <f t="shared" si="253"/>
        <v>63.93089911437356</v>
      </c>
    </row>
    <row r="257" spans="14:65" x14ac:dyDescent="0.3">
      <c r="N257" s="11">
        <v>39</v>
      </c>
      <c r="O257" s="52">
        <f t="shared" si="254"/>
        <v>2454.7089156850338</v>
      </c>
      <c r="P257" s="50" t="str">
        <f t="shared" si="206"/>
        <v>21.1560044893378</v>
      </c>
      <c r="Q257" s="18" t="str">
        <f t="shared" si="207"/>
        <v>1+10.7496361462425i</v>
      </c>
      <c r="R257" s="18">
        <f t="shared" si="218"/>
        <v>10.796049151268408</v>
      </c>
      <c r="S257" s="18">
        <f t="shared" si="219"/>
        <v>1.4780368849684253</v>
      </c>
      <c r="T257" s="18" t="str">
        <f t="shared" si="208"/>
        <v>1+0.0154233909924349i</v>
      </c>
      <c r="U257" s="18">
        <f t="shared" si="220"/>
        <v>1.0001189334222733</v>
      </c>
      <c r="V257" s="18">
        <f t="shared" si="221"/>
        <v>1.542216818978776E-2</v>
      </c>
      <c r="W257" s="32" t="str">
        <f t="shared" si="209"/>
        <v>1-0.00692683654630656i</v>
      </c>
      <c r="X257" s="18">
        <f t="shared" si="222"/>
        <v>1.0000239902445038</v>
      </c>
      <c r="Y257" s="18">
        <f t="shared" si="223"/>
        <v>-6.9267257638320262E-3</v>
      </c>
      <c r="Z257" s="32" t="str">
        <f t="shared" si="210"/>
        <v>0.999993974404139+0.00378051901239205i</v>
      </c>
      <c r="AA257" s="18">
        <f t="shared" si="224"/>
        <v>1.0000011205836663</v>
      </c>
      <c r="AB257" s="18">
        <f t="shared" si="225"/>
        <v>3.7805237814370236E-3</v>
      </c>
      <c r="AC257" s="68" t="str">
        <f t="shared" si="226"/>
        <v>0.190736070672102-1.95058074434604i</v>
      </c>
      <c r="AD257" s="66">
        <f t="shared" si="227"/>
        <v>5.8446075700020641</v>
      </c>
      <c r="AE257" s="63">
        <f t="shared" si="228"/>
        <v>-84.415130534275434</v>
      </c>
      <c r="AF257" s="51" t="e">
        <f t="shared" si="229"/>
        <v>#NUM!</v>
      </c>
      <c r="AG257" s="51" t="str">
        <f t="shared" si="211"/>
        <v>1-6.61002471104354i</v>
      </c>
      <c r="AH257" s="51">
        <f t="shared" si="230"/>
        <v>6.6852394632209116</v>
      </c>
      <c r="AI257" s="51">
        <f t="shared" si="231"/>
        <v>-1.4206495363138261</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-0.000133283554228113</v>
      </c>
      <c r="AT257" s="32" t="str">
        <f t="shared" si="215"/>
        <v>0.000942369189637775i</v>
      </c>
      <c r="AU257" s="32">
        <f t="shared" si="239"/>
        <v>9.4236918963777497E-4</v>
      </c>
      <c r="AV257" s="32">
        <f t="shared" si="240"/>
        <v>1.5707963267948966</v>
      </c>
      <c r="AW257" s="32" t="str">
        <f t="shared" si="216"/>
        <v>1+0.164766268485846i</v>
      </c>
      <c r="AX257" s="32">
        <f t="shared" si="241"/>
        <v>1.0134830650932209</v>
      </c>
      <c r="AY257" s="32">
        <f t="shared" si="242"/>
        <v>0.16329907345793621</v>
      </c>
      <c r="AZ257" s="32" t="str">
        <f t="shared" si="217"/>
        <v>1+2.45541926938663i</v>
      </c>
      <c r="BA257" s="32">
        <f t="shared" si="243"/>
        <v>2.6512419332220833</v>
      </c>
      <c r="BB257" s="32">
        <f t="shared" si="244"/>
        <v>1.1840449612085682</v>
      </c>
      <c r="BC257" s="60" t="str">
        <f t="shared" si="245"/>
        <v>-0.315414605348287+0.193404229015182i</v>
      </c>
      <c r="BD257" s="51">
        <f t="shared" si="246"/>
        <v>-8.6362329854247193</v>
      </c>
      <c r="BE257" s="63">
        <f t="shared" si="247"/>
        <v>148.48443132344565</v>
      </c>
      <c r="BF257" s="60" t="str">
        <f t="shared" si="248"/>
        <v>0.317089622535382+0.652130818371597i</v>
      </c>
      <c r="BG257" s="66">
        <f t="shared" si="249"/>
        <v>-2.7916254154226565</v>
      </c>
      <c r="BH257" s="63">
        <f t="shared" si="250"/>
        <v>64.0693007891702</v>
      </c>
      <c r="BI257" s="60" t="e">
        <f t="shared" si="255"/>
        <v>#NUM!</v>
      </c>
      <c r="BJ257" s="66" t="e">
        <f t="shared" si="251"/>
        <v>#NUM!</v>
      </c>
      <c r="BK257" s="63" t="e">
        <f t="shared" si="256"/>
        <v>#NUM!</v>
      </c>
      <c r="BL257" s="51">
        <f t="shared" si="252"/>
        <v>-2.7916254154226565</v>
      </c>
      <c r="BM257" s="63">
        <f t="shared" si="253"/>
        <v>64.0693007891702</v>
      </c>
    </row>
    <row r="258" spans="14:65" x14ac:dyDescent="0.3">
      <c r="N258" s="11">
        <v>40</v>
      </c>
      <c r="O258" s="52">
        <f t="shared" si="254"/>
        <v>2511.8864315095811</v>
      </c>
      <c r="P258" s="50" t="str">
        <f t="shared" si="206"/>
        <v>21.1560044893378</v>
      </c>
      <c r="Q258" s="18" t="str">
        <f t="shared" si="207"/>
        <v>1+11.0000273380179i</v>
      </c>
      <c r="R258" s="18">
        <f t="shared" si="218"/>
        <v>11.045388242933843</v>
      </c>
      <c r="S258" s="18">
        <f t="shared" si="219"/>
        <v>1.4801366636757132</v>
      </c>
      <c r="T258" s="18" t="str">
        <f t="shared" si="208"/>
        <v>1+0.0157826479197648i</v>
      </c>
      <c r="U258" s="18">
        <f t="shared" si="220"/>
        <v>1.0001245382327939</v>
      </c>
      <c r="V258" s="18">
        <f t="shared" si="221"/>
        <v>1.5781337671933647E-2</v>
      </c>
      <c r="W258" s="32" t="str">
        <f t="shared" si="209"/>
        <v>1-0.00708818329650976i</v>
      </c>
      <c r="X258" s="18">
        <f t="shared" si="222"/>
        <v>1.0000251208556938</v>
      </c>
      <c r="Y258" s="18">
        <f t="shared" si="223"/>
        <v>-7.0880645911106628E-3</v>
      </c>
      <c r="Z258" s="32" t="str">
        <f t="shared" si="210"/>
        <v>0.999993690426555+0.00386857861256496i</v>
      </c>
      <c r="AA258" s="18">
        <f t="shared" si="224"/>
        <v>1.0000011733960126</v>
      </c>
      <c r="AB258" s="18">
        <f t="shared" si="225"/>
        <v>3.8685837226870058E-3</v>
      </c>
      <c r="AC258" s="68" t="str">
        <f t="shared" si="226"/>
        <v>0.182637193489965-1.90692821125525i</v>
      </c>
      <c r="AD258" s="66">
        <f t="shared" si="227"/>
        <v>5.6463429537503442</v>
      </c>
      <c r="AE258" s="63">
        <f t="shared" si="228"/>
        <v>-84.529149593510098</v>
      </c>
      <c r="AF258" s="51" t="e">
        <f t="shared" si="229"/>
        <v>#NUM!</v>
      </c>
      <c r="AG258" s="51" t="str">
        <f t="shared" si="211"/>
        <v>1-6.7639919656135i</v>
      </c>
      <c r="AH258" s="51">
        <f t="shared" si="230"/>
        <v>6.8375132402712007</v>
      </c>
      <c r="AI258" s="51">
        <f t="shared" si="231"/>
        <v>-1.4240178617007206</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-0.000133283554228113</v>
      </c>
      <c r="AT258" s="32" t="str">
        <f t="shared" si="215"/>
        <v>0.000964319787897627i</v>
      </c>
      <c r="AU258" s="32">
        <f t="shared" si="239"/>
        <v>9.6431978789762696E-4</v>
      </c>
      <c r="AV258" s="32">
        <f t="shared" si="240"/>
        <v>1.5707963267948966</v>
      </c>
      <c r="AW258" s="32" t="str">
        <f t="shared" si="216"/>
        <v>1+0.168604167905816i</v>
      </c>
      <c r="AX258" s="32">
        <f t="shared" si="241"/>
        <v>1.0141140791031413</v>
      </c>
      <c r="AY258" s="32">
        <f t="shared" si="242"/>
        <v>0.16703321942063037</v>
      </c>
      <c r="AZ258" s="32" t="str">
        <f t="shared" si="217"/>
        <v>1+2.51261333147447i</v>
      </c>
      <c r="BA258" s="32">
        <f t="shared" si="243"/>
        <v>2.7042976451387952</v>
      </c>
      <c r="BB258" s="32">
        <f t="shared" si="244"/>
        <v>1.1920221835801337</v>
      </c>
      <c r="BC258" s="60" t="str">
        <f t="shared" si="245"/>
        <v>-0.315022205484623+0.191329155076991i</v>
      </c>
      <c r="BD258" s="51">
        <f t="shared" si="246"/>
        <v>-8.6695367070714706</v>
      </c>
      <c r="BE258" s="63">
        <f t="shared" si="247"/>
        <v>148.72754169382571</v>
      </c>
      <c r="BF258" s="60" t="str">
        <f t="shared" si="248"/>
        <v>0.307316191955214+0.635668550726544i</v>
      </c>
      <c r="BG258" s="66">
        <f t="shared" si="249"/>
        <v>-3.0231937533211251</v>
      </c>
      <c r="BH258" s="63">
        <f t="shared" si="250"/>
        <v>64.198392100315644</v>
      </c>
      <c r="BI258" s="60" t="e">
        <f t="shared" si="255"/>
        <v>#NUM!</v>
      </c>
      <c r="BJ258" s="66" t="e">
        <f t="shared" si="251"/>
        <v>#NUM!</v>
      </c>
      <c r="BK258" s="63" t="e">
        <f t="shared" si="256"/>
        <v>#NUM!</v>
      </c>
      <c r="BL258" s="51">
        <f t="shared" si="252"/>
        <v>-3.0231937533211251</v>
      </c>
      <c r="BM258" s="63">
        <f t="shared" si="253"/>
        <v>64.198392100315644</v>
      </c>
    </row>
    <row r="259" spans="14:65" x14ac:dyDescent="0.3">
      <c r="N259" s="11">
        <v>41</v>
      </c>
      <c r="O259" s="52">
        <f t="shared" si="254"/>
        <v>2570.3957827688669</v>
      </c>
      <c r="P259" s="50" t="str">
        <f t="shared" si="206"/>
        <v>21.1560044893378</v>
      </c>
      <c r="Q259" s="18" t="str">
        <f t="shared" si="207"/>
        <v>1+11.2562508898904i</v>
      </c>
      <c r="R259" s="18">
        <f t="shared" si="218"/>
        <v>11.30058335202915</v>
      </c>
      <c r="S259" s="18">
        <f t="shared" si="219"/>
        <v>1.4821894204947341</v>
      </c>
      <c r="T259" s="18" t="str">
        <f t="shared" si="208"/>
        <v>1+0.0161502730159297i</v>
      </c>
      <c r="U259" s="18">
        <f t="shared" si="220"/>
        <v>1.0001304071562314</v>
      </c>
      <c r="V259" s="18">
        <f t="shared" si="221"/>
        <v>1.6148869069970765E-2</v>
      </c>
      <c r="W259" s="32" t="str">
        <f t="shared" si="209"/>
        <v>1-0.00725328829531991i</v>
      </c>
      <c r="X259" s="18">
        <f t="shared" si="222"/>
        <v>1.0000263047495774</v>
      </c>
      <c r="Y259" s="18">
        <f t="shared" si="223"/>
        <v>-7.2531611003738413E-3</v>
      </c>
      <c r="Z259" s="32" t="str">
        <f t="shared" si="210"/>
        <v>0.99999339306552+0.00395868938432492i</v>
      </c>
      <c r="AA259" s="18">
        <f t="shared" si="224"/>
        <v>1.0000012286974118</v>
      </c>
      <c r="AB259" s="18">
        <f t="shared" si="225"/>
        <v>3.9586948599174233E-3</v>
      </c>
      <c r="AC259" s="68" t="str">
        <f t="shared" si="226"/>
        <v>0.174896978656595-1.86422098433143i</v>
      </c>
      <c r="AD259" s="66">
        <f t="shared" si="227"/>
        <v>5.4480061841404837</v>
      </c>
      <c r="AE259" s="63">
        <f t="shared" si="228"/>
        <v>-84.640328218704127</v>
      </c>
      <c r="AF259" s="51" t="e">
        <f t="shared" si="229"/>
        <v>#NUM!</v>
      </c>
      <c r="AG259" s="51" t="str">
        <f t="shared" si="211"/>
        <v>1-6.9215455782556i</v>
      </c>
      <c r="AH259" s="51">
        <f t="shared" si="230"/>
        <v>6.9934106980692654</v>
      </c>
      <c r="AI259" s="51">
        <f t="shared" si="231"/>
        <v>-1.4273127594204444</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-0.000133283554228113</v>
      </c>
      <c r="AT259" s="32" t="str">
        <f t="shared" si="215"/>
        <v>0.000986781681273306i</v>
      </c>
      <c r="AU259" s="32">
        <f t="shared" si="239"/>
        <v>9.8678168127330594E-4</v>
      </c>
      <c r="AV259" s="32">
        <f t="shared" si="240"/>
        <v>1.5707963267948966</v>
      </c>
      <c r="AW259" s="32" t="str">
        <f t="shared" si="216"/>
        <v>1+0.172531463487349i</v>
      </c>
      <c r="AX259" s="32">
        <f t="shared" si="241"/>
        <v>1.0147744113314479</v>
      </c>
      <c r="AY259" s="32">
        <f t="shared" si="242"/>
        <v>0.17084948265624281</v>
      </c>
      <c r="AZ259" s="32" t="str">
        <f t="shared" si="217"/>
        <v>1+2.57113961440902i</v>
      </c>
      <c r="BA259" s="32">
        <f t="shared" si="243"/>
        <v>2.7587603949570116</v>
      </c>
      <c r="BB259" s="32">
        <f t="shared" si="244"/>
        <v>1.1998670747754303</v>
      </c>
      <c r="BC259" s="60" t="str">
        <f t="shared" si="245"/>
        <v>-0.314612357479765+0.189349468974569i</v>
      </c>
      <c r="BD259" s="51">
        <f t="shared" si="246"/>
        <v>-8.70200076158401</v>
      </c>
      <c r="BE259" s="63">
        <f t="shared" si="247"/>
        <v>148.95836507314377</v>
      </c>
      <c r="BF259" s="60" t="str">
        <f t="shared" si="248"/>
        <v>0.297964502663165+0.619623608777642i</v>
      </c>
      <c r="BG259" s="66">
        <f t="shared" si="249"/>
        <v>-3.2539945774435273</v>
      </c>
      <c r="BH259" s="63">
        <f t="shared" si="250"/>
        <v>64.318036854439654</v>
      </c>
      <c r="BI259" s="60" t="e">
        <f t="shared" si="255"/>
        <v>#NUM!</v>
      </c>
      <c r="BJ259" s="66" t="e">
        <f t="shared" si="251"/>
        <v>#NUM!</v>
      </c>
      <c r="BK259" s="63" t="e">
        <f t="shared" si="256"/>
        <v>#NUM!</v>
      </c>
      <c r="BL259" s="51">
        <f t="shared" si="252"/>
        <v>-3.2539945774435273</v>
      </c>
      <c r="BM259" s="63">
        <f t="shared" si="253"/>
        <v>64.318036854439654</v>
      </c>
    </row>
    <row r="260" spans="14:65" x14ac:dyDescent="0.3">
      <c r="N260" s="11">
        <v>42</v>
      </c>
      <c r="O260" s="52">
        <f t="shared" si="254"/>
        <v>2630.2679918953822</v>
      </c>
      <c r="P260" s="50" t="str">
        <f t="shared" si="206"/>
        <v>21.1560044893378</v>
      </c>
      <c r="Q260" s="18" t="str">
        <f t="shared" si="207"/>
        <v>1+11.5184426549788i</v>
      </c>
      <c r="R260" s="18">
        <f t="shared" si="218"/>
        <v>11.561769812448052</v>
      </c>
      <c r="S260" s="18">
        <f t="shared" si="219"/>
        <v>1.4841961745866032</v>
      </c>
      <c r="T260" s="18" t="str">
        <f t="shared" si="208"/>
        <v>1+0.0165264612006218i</v>
      </c>
      <c r="U260" s="18">
        <f t="shared" si="220"/>
        <v>1.0001365526365966</v>
      </c>
      <c r="V260" s="18">
        <f t="shared" si="221"/>
        <v>1.6524956856516258E-2</v>
      </c>
      <c r="W260" s="32" t="str">
        <f t="shared" si="209"/>
        <v>1-0.00742223908359287i</v>
      </c>
      <c r="X260" s="18">
        <f t="shared" si="222"/>
        <v>1.0000275444371589</v>
      </c>
      <c r="Y260" s="18">
        <f t="shared" si="223"/>
        <v>-7.4221027919553761E-3</v>
      </c>
      <c r="Z260" s="32" t="str">
        <f t="shared" si="210"/>
        <v>0.999993081690291+0.00405089910559589i</v>
      </c>
      <c r="AA260" s="18">
        <f t="shared" si="224"/>
        <v>1.0000012866051766</v>
      </c>
      <c r="AB260" s="18">
        <f t="shared" si="225"/>
        <v>4.0509049727968129E-3</v>
      </c>
      <c r="AC260" s="68" t="str">
        <f t="shared" si="226"/>
        <v>0.167499791750633-1.82244074163091i</v>
      </c>
      <c r="AD260" s="66">
        <f t="shared" si="227"/>
        <v>5.2496007076855253</v>
      </c>
      <c r="AE260" s="63">
        <f t="shared" si="228"/>
        <v>-84.748721412001188</v>
      </c>
      <c r="AF260" s="51" t="e">
        <f t="shared" si="229"/>
        <v>#NUM!</v>
      </c>
      <c r="AG260" s="51" t="str">
        <f t="shared" si="211"/>
        <v>1-7.08276908598078i</v>
      </c>
      <c r="AH260" s="51">
        <f t="shared" si="230"/>
        <v>7.1530146040201128</v>
      </c>
      <c r="AI260" s="51">
        <f t="shared" si="231"/>
        <v>-1.4305356901579984</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-0.000133283554228113</v>
      </c>
      <c r="AT260" s="32" t="str">
        <f t="shared" si="215"/>
        <v>0.00100976677935799i</v>
      </c>
      <c r="AU260" s="32">
        <f t="shared" si="239"/>
        <v>1.0097667793579901E-3</v>
      </c>
      <c r="AV260" s="32">
        <f t="shared" si="240"/>
        <v>1.5707963267948966</v>
      </c>
      <c r="AW260" s="32" t="str">
        <f t="shared" si="216"/>
        <v>1+0.176550237534546i</v>
      </c>
      <c r="AX260" s="32">
        <f t="shared" si="241"/>
        <v>1.0154654038289559</v>
      </c>
      <c r="AY260" s="32">
        <f t="shared" si="242"/>
        <v>0.17474944173867329</v>
      </c>
      <c r="AZ260" s="32" t="str">
        <f t="shared" si="217"/>
        <v>1+2.63102914960019i</v>
      </c>
      <c r="BA260" s="32">
        <f t="shared" si="243"/>
        <v>2.8146606164946242</v>
      </c>
      <c r="BB260" s="32">
        <f t="shared" si="244"/>
        <v>1.2075799308875714</v>
      </c>
      <c r="BC260" s="60" t="str">
        <f t="shared" si="245"/>
        <v>-0.314184335387348+0.187463713146674i</v>
      </c>
      <c r="BD260" s="51">
        <f t="shared" si="246"/>
        <v>-8.7336721739963572</v>
      </c>
      <c r="BE260" s="63">
        <f t="shared" si="247"/>
        <v>149.17682798066411</v>
      </c>
      <c r="BF260" s="60" t="str">
        <f t="shared" si="248"/>
        <v>0.289015697667217+0.603982466105001i</v>
      </c>
      <c r="BG260" s="66">
        <f t="shared" si="249"/>
        <v>-3.4840714663108363</v>
      </c>
      <c r="BH260" s="63">
        <f t="shared" si="250"/>
        <v>64.428106568662912</v>
      </c>
      <c r="BI260" s="60" t="e">
        <f t="shared" si="255"/>
        <v>#NUM!</v>
      </c>
      <c r="BJ260" s="66" t="e">
        <f t="shared" si="251"/>
        <v>#NUM!</v>
      </c>
      <c r="BK260" s="63" t="e">
        <f t="shared" si="256"/>
        <v>#NUM!</v>
      </c>
      <c r="BL260" s="51">
        <f t="shared" si="252"/>
        <v>-3.4840714663108363</v>
      </c>
      <c r="BM260" s="63">
        <f t="shared" si="253"/>
        <v>64.428106568662912</v>
      </c>
    </row>
    <row r="261" spans="14:65" x14ac:dyDescent="0.3">
      <c r="N261" s="11">
        <v>43</v>
      </c>
      <c r="O261" s="52">
        <f t="shared" si="254"/>
        <v>2691.5348039269184</v>
      </c>
      <c r="P261" s="50" t="str">
        <f t="shared" si="206"/>
        <v>21.1560044893378</v>
      </c>
      <c r="Q261" s="18" t="str">
        <f t="shared" si="207"/>
        <v>1+11.7867416508276i</v>
      </c>
      <c r="R261" s="18">
        <f t="shared" si="218"/>
        <v>11.829086133060073</v>
      </c>
      <c r="S261" s="18">
        <f t="shared" si="219"/>
        <v>1.4861579252724795</v>
      </c>
      <c r="T261" s="18" t="str">
        <f t="shared" si="208"/>
        <v>1+0.0169114119337961i</v>
      </c>
      <c r="U261" s="18">
        <f t="shared" si="220"/>
        <v>1.0001429877040555</v>
      </c>
      <c r="V261" s="18">
        <f t="shared" si="221"/>
        <v>1.6909800012491583E-2</v>
      </c>
      <c r="W261" s="32" t="str">
        <f t="shared" si="209"/>
        <v>1-0.00759512524127292i</v>
      </c>
      <c r="X261" s="18">
        <f t="shared" si="222"/>
        <v>1.000028842547769</v>
      </c>
      <c r="Y261" s="18">
        <f t="shared" si="223"/>
        <v>-7.5949792023796885E-3</v>
      </c>
      <c r="Z261" s="32" t="str">
        <f t="shared" si="210"/>
        <v>0.999992755640399+0.00414525666719266i</v>
      </c>
      <c r="AA261" s="18">
        <f t="shared" si="224"/>
        <v>1.0000013472421503</v>
      </c>
      <c r="AB261" s="18">
        <f t="shared" si="225"/>
        <v>4.1452629540093024E-3</v>
      </c>
      <c r="AC261" s="68" t="str">
        <f t="shared" si="226"/>
        <v>0.160430658042619-1.78156937154537i</v>
      </c>
      <c r="AD261" s="66">
        <f t="shared" si="227"/>
        <v>5.0511298322386349</v>
      </c>
      <c r="AE261" s="63">
        <f t="shared" si="228"/>
        <v>-84.85438296092849</v>
      </c>
      <c r="AF261" s="51" t="e">
        <f t="shared" si="229"/>
        <v>#NUM!</v>
      </c>
      <c r="AG261" s="51" t="str">
        <f t="shared" si="211"/>
        <v>1-7.24774797162691i</v>
      </c>
      <c r="AH261" s="51">
        <f t="shared" si="230"/>
        <v>7.3164096837329966</v>
      </c>
      <c r="AI261" s="51">
        <f t="shared" si="231"/>
        <v>-1.4336880947940425</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-0.000133283554228113</v>
      </c>
      <c r="AT261" s="32" t="str">
        <f t="shared" si="215"/>
        <v>0.00103328726915494i</v>
      </c>
      <c r="AU261" s="32">
        <f t="shared" si="239"/>
        <v>1.03328726915494E-3</v>
      </c>
      <c r="AV261" s="32">
        <f t="shared" si="240"/>
        <v>1.5707963267948966</v>
      </c>
      <c r="AW261" s="32" t="str">
        <f t="shared" si="216"/>
        <v>1+0.180662620854604i</v>
      </c>
      <c r="AX261" s="32">
        <f t="shared" si="241"/>
        <v>1.016188458197619</v>
      </c>
      <c r="AY261" s="32">
        <f t="shared" si="242"/>
        <v>0.17873468970428413</v>
      </c>
      <c r="AZ261" s="32" t="str">
        <f t="shared" si="217"/>
        <v>1+2.69231369127227i</v>
      </c>
      <c r="BA261" s="32">
        <f t="shared" si="243"/>
        <v>2.8720294239809099</v>
      </c>
      <c r="BB261" s="32">
        <f t="shared" si="244"/>
        <v>1.2151611697703408</v>
      </c>
      <c r="BC261" s="60" t="str">
        <f t="shared" si="245"/>
        <v>-0.31373738770985+0.185670453600072i</v>
      </c>
      <c r="BD261" s="51">
        <f t="shared" si="246"/>
        <v>-8.764597723303762</v>
      </c>
      <c r="BE261" s="63">
        <f t="shared" si="247"/>
        <v>149.38286308338479</v>
      </c>
      <c r="BF261" s="60" t="str">
        <f t="shared" si="248"/>
        <v>0.280451697771961+0.588732153702655i</v>
      </c>
      <c r="BG261" s="66">
        <f t="shared" si="249"/>
        <v>-3.7134678910651231</v>
      </c>
      <c r="BH261" s="63">
        <f t="shared" si="250"/>
        <v>64.528480122456287</v>
      </c>
      <c r="BI261" s="60" t="e">
        <f t="shared" si="255"/>
        <v>#NUM!</v>
      </c>
      <c r="BJ261" s="66" t="e">
        <f t="shared" si="251"/>
        <v>#NUM!</v>
      </c>
      <c r="BK261" s="63" t="e">
        <f t="shared" si="256"/>
        <v>#NUM!</v>
      </c>
      <c r="BL261" s="51">
        <f t="shared" si="252"/>
        <v>-3.7134678910651231</v>
      </c>
      <c r="BM261" s="63">
        <f t="shared" si="253"/>
        <v>64.528480122456287</v>
      </c>
    </row>
    <row r="262" spans="14:65" x14ac:dyDescent="0.3">
      <c r="N262" s="11">
        <v>44</v>
      </c>
      <c r="O262" s="52">
        <f t="shared" si="254"/>
        <v>2754.228703338169</v>
      </c>
      <c r="P262" s="50" t="str">
        <f t="shared" si="206"/>
        <v>21.1560044893378</v>
      </c>
      <c r="Q262" s="18" t="str">
        <f t="shared" si="207"/>
        <v>1+12.0612901331156i</v>
      </c>
      <c r="R262" s="18">
        <f t="shared" si="218"/>
        <v>12.102674071261761</v>
      </c>
      <c r="S262" s="18">
        <f t="shared" si="219"/>
        <v>1.4880756522671639</v>
      </c>
      <c r="T262" s="18" t="str">
        <f t="shared" si="208"/>
        <v>1+0.0173053293214267i</v>
      </c>
      <c r="U262" s="18">
        <f t="shared" si="220"/>
        <v>1.0001497260025236</v>
      </c>
      <c r="V262" s="18">
        <f t="shared" si="221"/>
        <v>1.7303602130595088E-2</v>
      </c>
      <c r="W262" s="32" t="str">
        <f t="shared" si="209"/>
        <v>1-0.00777203843488927i</v>
      </c>
      <c r="X262" s="18">
        <f t="shared" si="222"/>
        <v>1.0000302018346412</v>
      </c>
      <c r="Y262" s="18">
        <f t="shared" si="223"/>
        <v>-7.7718819516510987E-3</v>
      </c>
      <c r="Z262" s="32" t="str">
        <f t="shared" si="210"/>
        <v>0.99999241422425+0.00424181209874333i</v>
      </c>
      <c r="AA262" s="18">
        <f t="shared" si="224"/>
        <v>1.0000014107369675</v>
      </c>
      <c r="AB262" s="18">
        <f t="shared" si="225"/>
        <v>4.2418188351860172E-3</v>
      </c>
      <c r="AC262" s="68" t="str">
        <f t="shared" si="226"/>
        <v>0.153675236575796-1.74158898118341i</v>
      </c>
      <c r="AD262" s="66">
        <f t="shared" si="227"/>
        <v>4.8525967333954858</v>
      </c>
      <c r="AE262" s="63">
        <f t="shared" si="228"/>
        <v>-84.957365450047661</v>
      </c>
      <c r="AF262" s="51" t="e">
        <f t="shared" si="229"/>
        <v>#NUM!</v>
      </c>
      <c r="AG262" s="51" t="str">
        <f t="shared" si="211"/>
        <v>1-7.41656970918288i</v>
      </c>
      <c r="AH262" s="51">
        <f t="shared" si="230"/>
        <v>7.4836826663861853</v>
      </c>
      <c r="AI262" s="51">
        <f t="shared" si="231"/>
        <v>-1.4367713940236453</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-0.000133283554228113</v>
      </c>
      <c r="AT262" s="32" t="str">
        <f t="shared" si="215"/>
        <v>0.00105735562153917i</v>
      </c>
      <c r="AU262" s="32">
        <f t="shared" si="239"/>
        <v>1.05735562153917E-3</v>
      </c>
      <c r="AV262" s="32">
        <f t="shared" si="240"/>
        <v>1.5707963267948966</v>
      </c>
      <c r="AW262" s="32" t="str">
        <f t="shared" si="216"/>
        <v>1+0.184870793887592i</v>
      </c>
      <c r="AX262" s="32">
        <f t="shared" si="241"/>
        <v>1.0169450380589053</v>
      </c>
      <c r="AY262" s="32">
        <f t="shared" si="242"/>
        <v>0.18280683297755349</v>
      </c>
      <c r="AZ262" s="32" t="str">
        <f t="shared" si="217"/>
        <v>1+2.75502573330045i</v>
      </c>
      <c r="BA262" s="32">
        <f t="shared" si="243"/>
        <v>2.9308986320150483</v>
      </c>
      <c r="BB262" s="32">
        <f t="shared" si="244"/>
        <v>1.2226113242319359</v>
      </c>
      <c r="BC262" s="60" t="str">
        <f t="shared" si="245"/>
        <v>-0.313270736941312+0.183968277606188i</v>
      </c>
      <c r="BD262" s="51">
        <f t="shared" si="246"/>
        <v>-8.7948239323819379</v>
      </c>
      <c r="BE262" s="63">
        <f t="shared" si="247"/>
        <v>149.57640886762377</v>
      </c>
      <c r="BF262" s="60" t="str">
        <f t="shared" si="248"/>
        <v>0.272255170554498+0.573860232167768i</v>
      </c>
      <c r="BG262" s="66">
        <f t="shared" si="249"/>
        <v>-3.9422271989864526</v>
      </c>
      <c r="BH262" s="63">
        <f t="shared" si="250"/>
        <v>64.619043417576094</v>
      </c>
      <c r="BI262" s="60" t="e">
        <f t="shared" si="255"/>
        <v>#NUM!</v>
      </c>
      <c r="BJ262" s="66" t="e">
        <f t="shared" si="251"/>
        <v>#NUM!</v>
      </c>
      <c r="BK262" s="63" t="e">
        <f t="shared" si="256"/>
        <v>#NUM!</v>
      </c>
      <c r="BL262" s="51">
        <f t="shared" si="252"/>
        <v>-3.9422271989864526</v>
      </c>
      <c r="BM262" s="63">
        <f t="shared" si="253"/>
        <v>64.619043417576094</v>
      </c>
    </row>
    <row r="263" spans="14:65" x14ac:dyDescent="0.3">
      <c r="N263" s="11">
        <v>45</v>
      </c>
      <c r="O263" s="52">
        <f t="shared" si="254"/>
        <v>2818.3829312644561</v>
      </c>
      <c r="P263" s="50" t="str">
        <f t="shared" si="206"/>
        <v>21.1560044893378</v>
      </c>
      <c r="Q263" s="18" t="str">
        <f t="shared" si="207"/>
        <v>1+12.3422336710822i</v>
      </c>
      <c r="R263" s="18">
        <f t="shared" si="218"/>
        <v>12.382678708243834</v>
      </c>
      <c r="S263" s="18">
        <f t="shared" si="219"/>
        <v>1.4899503159212759</v>
      </c>
      <c r="T263" s="18" t="str">
        <f t="shared" si="208"/>
        <v>1+0.0177084222237266i</v>
      </c>
      <c r="U263" s="18">
        <f t="shared" si="220"/>
        <v>1.0001567818185575</v>
      </c>
      <c r="V263" s="18">
        <f t="shared" si="221"/>
        <v>1.7706571521075052E-2</v>
      </c>
      <c r="W263" s="32" t="str">
        <f t="shared" si="209"/>
        <v>1-0.00795307246615887i</v>
      </c>
      <c r="X263" s="18">
        <f t="shared" si="222"/>
        <v>1.00003162518075</v>
      </c>
      <c r="Y263" s="18">
        <f t="shared" si="223"/>
        <v>-7.9529047916346088E-3</v>
      </c>
      <c r="Z263" s="32" t="str">
        <f t="shared" si="210"/>
        <v>0.999992056717653+0.00434061659521577i</v>
      </c>
      <c r="AA263" s="18">
        <f t="shared" si="224"/>
        <v>1.0000014772243231</v>
      </c>
      <c r="AB263" s="18">
        <f t="shared" si="225"/>
        <v>4.3406238134411175E-3</v>
      </c>
      <c r="AC263" s="68" t="str">
        <f t="shared" si="226"/>
        <v>0.14721979509367-1.70248190375034i</v>
      </c>
      <c r="AD263" s="66">
        <f t="shared" si="227"/>
        <v>4.6540044606664077</v>
      </c>
      <c r="AE263" s="63">
        <f t="shared" si="228"/>
        <v>-85.057720273062841</v>
      </c>
      <c r="AF263" s="51" t="e">
        <f t="shared" si="229"/>
        <v>#NUM!</v>
      </c>
      <c r="AG263" s="51" t="str">
        <f t="shared" si="211"/>
        <v>1-7.58932381016855i</v>
      </c>
      <c r="AH263" s="51">
        <f t="shared" si="230"/>
        <v>7.65492233112729</v>
      </c>
      <c r="AI263" s="51">
        <f t="shared" si="231"/>
        <v>-1.4397869880324596</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-0.000133283554228113</v>
      </c>
      <c r="AT263" s="32" t="str">
        <f t="shared" si="215"/>
        <v>0.00108198459786969i</v>
      </c>
      <c r="AU263" s="32">
        <f t="shared" si="239"/>
        <v>1.08198459786969E-3</v>
      </c>
      <c r="AV263" s="32">
        <f t="shared" si="240"/>
        <v>1.5707963267948966</v>
      </c>
      <c r="AW263" s="32" t="str">
        <f t="shared" si="216"/>
        <v>1+0.189176987862552i</v>
      </c>
      <c r="AX263" s="32">
        <f t="shared" si="241"/>
        <v>1.0177366716085001</v>
      </c>
      <c r="AY263" s="32">
        <f t="shared" si="242"/>
        <v>0.18696749019155484</v>
      </c>
      <c r="AZ263" s="32" t="str">
        <f t="shared" si="217"/>
        <v>1+2.8191985264395i</v>
      </c>
      <c r="BA263" s="32">
        <f t="shared" si="243"/>
        <v>2.99130077582958</v>
      </c>
      <c r="BB263" s="32">
        <f t="shared" si="244"/>
        <v>1.2299310353062312</v>
      </c>
      <c r="BC263" s="60" t="str">
        <f t="shared" si="245"/>
        <v>-0.312783579148418+0.182355791335193i</v>
      </c>
      <c r="BD263" s="51">
        <f t="shared" si="246"/>
        <v>-8.8243970620545813</v>
      </c>
      <c r="BE263" s="63">
        <f t="shared" si="247"/>
        <v>149.7574093210732</v>
      </c>
      <c r="BF263" s="60" t="str">
        <f t="shared" si="248"/>
        <v>0.264409500361344+0.559354765524955i</v>
      </c>
      <c r="BG263" s="66">
        <f t="shared" si="249"/>
        <v>-4.1703926013881762</v>
      </c>
      <c r="BH263" s="63">
        <f t="shared" si="250"/>
        <v>64.699689048010384</v>
      </c>
      <c r="BI263" s="60" t="e">
        <f t="shared" si="255"/>
        <v>#NUM!</v>
      </c>
      <c r="BJ263" s="66" t="e">
        <f t="shared" si="251"/>
        <v>#NUM!</v>
      </c>
      <c r="BK263" s="63" t="e">
        <f t="shared" si="256"/>
        <v>#NUM!</v>
      </c>
      <c r="BL263" s="51">
        <f t="shared" si="252"/>
        <v>-4.1703926013881762</v>
      </c>
      <c r="BM263" s="63">
        <f t="shared" si="253"/>
        <v>64.699689048010384</v>
      </c>
    </row>
    <row r="264" spans="14:65" x14ac:dyDescent="0.3">
      <c r="N264" s="11">
        <v>46</v>
      </c>
      <c r="O264" s="52">
        <f t="shared" si="254"/>
        <v>2884.0315031266077</v>
      </c>
      <c r="P264" s="50" t="str">
        <f t="shared" si="206"/>
        <v>21.1560044893378</v>
      </c>
      <c r="Q264" s="18" t="str">
        <f t="shared" si="207"/>
        <v>1+12.62972122471i</v>
      </c>
      <c r="R264" s="18">
        <f t="shared" si="218"/>
        <v>12.669248526013304</v>
      </c>
      <c r="S264" s="18">
        <f t="shared" si="219"/>
        <v>1.4917828574709462</v>
      </c>
      <c r="T264" s="18" t="str">
        <f t="shared" si="208"/>
        <v>1+0.0181209043658882i</v>
      </c>
      <c r="U264" s="18">
        <f t="shared" si="220"/>
        <v>1.000164170111606</v>
      </c>
      <c r="V264" s="18">
        <f t="shared" si="221"/>
        <v>1.8118921319848623E-2</v>
      </c>
      <c r="W264" s="32" t="str">
        <f t="shared" si="209"/>
        <v>1-0.00813832332172139i</v>
      </c>
      <c r="X264" s="18">
        <f t="shared" si="222"/>
        <v>1.0000331156049227</v>
      </c>
      <c r="Y264" s="18">
        <f t="shared" si="223"/>
        <v>-8.1381436555529752E-3</v>
      </c>
      <c r="Z264" s="32" t="str">
        <f t="shared" si="210"/>
        <v>0.999991682362289+0.00444172254406185i</v>
      </c>
      <c r="AA264" s="18">
        <f t="shared" si="224"/>
        <v>1.0000015468452634</v>
      </c>
      <c r="AB264" s="18">
        <f t="shared" si="225"/>
        <v>4.4417302785262486E-3</v>
      </c>
      <c r="AC264" s="68" t="str">
        <f t="shared" si="226"/>
        <v>0.141051185802951-1.66423070499699i</v>
      </c>
      <c r="AD264" s="66">
        <f t="shared" si="227"/>
        <v>4.4553559434320791</v>
      </c>
      <c r="AE264" s="63">
        <f t="shared" si="228"/>
        <v>-85.155497645323692</v>
      </c>
      <c r="AF264" s="51" t="e">
        <f t="shared" si="229"/>
        <v>#NUM!</v>
      </c>
      <c r="AG264" s="51" t="str">
        <f t="shared" si="211"/>
        <v>1-7.76610187109495i</v>
      </c>
      <c r="AH264" s="51">
        <f t="shared" si="230"/>
        <v>7.8302195545351383</v>
      </c>
      <c r="AI264" s="51">
        <f t="shared" si="231"/>
        <v>-1.4427362562264472</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-0.000133283554228113</v>
      </c>
      <c r="AT264" s="32" t="str">
        <f t="shared" si="215"/>
        <v>0.00110718725675577i</v>
      </c>
      <c r="AU264" s="32">
        <f t="shared" si="239"/>
        <v>1.10718725675577E-3</v>
      </c>
      <c r="AV264" s="32">
        <f t="shared" si="240"/>
        <v>1.5707963267948966</v>
      </c>
      <c r="AW264" s="32" t="str">
        <f t="shared" si="216"/>
        <v>1+0.193583485980531i</v>
      </c>
      <c r="AX264" s="32">
        <f t="shared" si="241"/>
        <v>1.0185649542588702</v>
      </c>
      <c r="AY264" s="32">
        <f t="shared" si="242"/>
        <v>0.19121829089732878</v>
      </c>
      <c r="AZ264" s="32" t="str">
        <f t="shared" si="217"/>
        <v>1+2.88486609595377i</v>
      </c>
      <c r="BA264" s="32">
        <f t="shared" si="243"/>
        <v>3.0532691318623626</v>
      </c>
      <c r="BB264" s="32">
        <f t="shared" si="244"/>
        <v>1.237121045625686</v>
      </c>
      <c r="BC264" s="60" t="str">
        <f t="shared" si="245"/>
        <v>-0.312275083595913+0.18083161742479i</v>
      </c>
      <c r="BD264" s="51">
        <f t="shared" si="246"/>
        <v>-8.8533631090861871</v>
      </c>
      <c r="BE264" s="63">
        <f t="shared" si="247"/>
        <v>149.92581362704135</v>
      </c>
      <c r="BF264" s="60" t="str">
        <f t="shared" si="248"/>
        <v>0.256898759314685+0.545204296594252i</v>
      </c>
      <c r="BG264" s="66">
        <f t="shared" si="249"/>
        <v>-4.3980071656541151</v>
      </c>
      <c r="BH264" s="63">
        <f t="shared" si="250"/>
        <v>64.770315981717658</v>
      </c>
      <c r="BI264" s="60" t="e">
        <f t="shared" si="255"/>
        <v>#NUM!</v>
      </c>
      <c r="BJ264" s="66" t="e">
        <f t="shared" si="251"/>
        <v>#NUM!</v>
      </c>
      <c r="BK264" s="63" t="e">
        <f t="shared" si="256"/>
        <v>#NUM!</v>
      </c>
      <c r="BL264" s="51">
        <f t="shared" si="252"/>
        <v>-4.3980071656541151</v>
      </c>
      <c r="BM264" s="63">
        <f t="shared" si="253"/>
        <v>64.770315981717658</v>
      </c>
    </row>
    <row r="265" spans="14:65" x14ac:dyDescent="0.3">
      <c r="N265" s="11">
        <v>47</v>
      </c>
      <c r="O265" s="52">
        <f t="shared" si="254"/>
        <v>2951.2092266663876</v>
      </c>
      <c r="P265" s="50" t="str">
        <f t="shared" si="206"/>
        <v>21.1560044893378</v>
      </c>
      <c r="Q265" s="18" t="str">
        <f t="shared" si="207"/>
        <v>1+12.9239052237052i</v>
      </c>
      <c r="R265" s="18">
        <f t="shared" si="218"/>
        <v>12.962535486212353</v>
      </c>
      <c r="S265" s="18">
        <f t="shared" si="219"/>
        <v>1.4935741992940499</v>
      </c>
      <c r="T265" s="18" t="str">
        <f t="shared" si="208"/>
        <v>1+0.0185429944514031i</v>
      </c>
      <c r="U265" s="18">
        <f t="shared" si="220"/>
        <v>1.0001719065456822</v>
      </c>
      <c r="V265" s="18">
        <f t="shared" si="221"/>
        <v>1.8540869599012969E-2</v>
      </c>
      <c r="W265" s="32" t="str">
        <f t="shared" si="209"/>
        <v>1-0.00832788922403252i</v>
      </c>
      <c r="X265" s="18">
        <f t="shared" si="222"/>
        <v>1.0000346762682422</v>
      </c>
      <c r="Y265" s="18">
        <f t="shared" si="223"/>
        <v>-8.3276967086251003E-3</v>
      </c>
      <c r="Z265" s="32" t="str">
        <f t="shared" si="210"/>
        <v>0.9999912903641+0.00454518355299393i</v>
      </c>
      <c r="AA265" s="18">
        <f t="shared" si="224"/>
        <v>1.0000016197474821</v>
      </c>
      <c r="AB265" s="18">
        <f t="shared" si="225"/>
        <v>4.5451918406180219E-3</v>
      </c>
      <c r="AC265" s="68" t="str">
        <f t="shared" si="226"/>
        <v>0.135156821958581-1.62681818880227i</v>
      </c>
      <c r="AD265" s="66">
        <f t="shared" si="227"/>
        <v>4.2566539966863424</v>
      </c>
      <c r="AE265" s="63">
        <f t="shared" si="228"/>
        <v>-85.250746616668422</v>
      </c>
      <c r="AF265" s="51" t="e">
        <f t="shared" si="229"/>
        <v>#NUM!</v>
      </c>
      <c r="AG265" s="51" t="str">
        <f t="shared" si="211"/>
        <v>1-7.94699762202991i</v>
      </c>
      <c r="AH265" s="51">
        <f t="shared" si="230"/>
        <v>8.0096673591697325</v>
      </c>
      <c r="AI265" s="51">
        <f t="shared" si="231"/>
        <v>-1.44562055701148</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-0.000133283554228113</v>
      </c>
      <c r="AT265" s="32" t="str">
        <f t="shared" si="215"/>
        <v>0.00113297696098073i</v>
      </c>
      <c r="AU265" s="32">
        <f t="shared" si="239"/>
        <v>1.1329769609807301E-3</v>
      </c>
      <c r="AV265" s="32">
        <f t="shared" si="240"/>
        <v>1.5707963267948966</v>
      </c>
      <c r="AW265" s="32" t="str">
        <f t="shared" si="216"/>
        <v>1+0.198092624625157i</v>
      </c>
      <c r="AX265" s="32">
        <f t="shared" si="241"/>
        <v>1.0194315513710979</v>
      </c>
      <c r="AY265" s="32">
        <f t="shared" si="242"/>
        <v>0.19556087415604959</v>
      </c>
      <c r="AZ265" s="32" t="str">
        <f t="shared" si="217"/>
        <v>1+2.95206325965782i</v>
      </c>
      <c r="BA265" s="32">
        <f t="shared" si="243"/>
        <v>3.1168377386417716</v>
      </c>
      <c r="BB265" s="32">
        <f t="shared" si="244"/>
        <v>1.2441821929172514</v>
      </c>
      <c r="BC265" s="60" t="str">
        <f t="shared" si="245"/>
        <v>-0.311744392422871+0.179394392481166i</v>
      </c>
      <c r="BD265" s="51">
        <f t="shared" si="246"/>
        <v>-8.8817678078671278</v>
      </c>
      <c r="BE265" s="63">
        <f t="shared" si="247"/>
        <v>150.08157587245944</v>
      </c>
      <c r="BF265" s="60" t="str">
        <f t="shared" si="248"/>
        <v>0.24970767931421+0.531397823815584i</v>
      </c>
      <c r="BG265" s="66">
        <f t="shared" si="249"/>
        <v>-4.6251138111807837</v>
      </c>
      <c r="BH265" s="63">
        <f t="shared" si="250"/>
        <v>64.830829255791031</v>
      </c>
      <c r="BI265" s="60" t="e">
        <f t="shared" si="255"/>
        <v>#NUM!</v>
      </c>
      <c r="BJ265" s="66" t="e">
        <f t="shared" si="251"/>
        <v>#NUM!</v>
      </c>
      <c r="BK265" s="63" t="e">
        <f t="shared" si="256"/>
        <v>#NUM!</v>
      </c>
      <c r="BL265" s="51">
        <f t="shared" si="252"/>
        <v>-4.6251138111807837</v>
      </c>
      <c r="BM265" s="63">
        <f t="shared" si="253"/>
        <v>64.830829255791031</v>
      </c>
    </row>
    <row r="266" spans="14:65" x14ac:dyDescent="0.3">
      <c r="N266" s="11">
        <v>48</v>
      </c>
      <c r="O266" s="52">
        <f t="shared" si="254"/>
        <v>3019.9517204020176</v>
      </c>
      <c r="P266" s="50" t="str">
        <f t="shared" si="206"/>
        <v>21.1560044893378</v>
      </c>
      <c r="Q266" s="18" t="str">
        <f t="shared" si="207"/>
        <v>1+13.2249416483182i</v>
      </c>
      <c r="R266" s="18">
        <f t="shared" si="218"/>
        <v>13.262695110776743</v>
      </c>
      <c r="S266" s="18">
        <f t="shared" si="219"/>
        <v>1.4953252451720798</v>
      </c>
      <c r="T266" s="18" t="str">
        <f t="shared" si="208"/>
        <v>1+0.0189749162780217i</v>
      </c>
      <c r="U266" s="18">
        <f t="shared" si="220"/>
        <v>1.0001800075225249</v>
      </c>
      <c r="V266" s="18">
        <f t="shared" si="221"/>
        <v>1.8972639479795592E-2</v>
      </c>
      <c r="W266" s="32" t="str">
        <f t="shared" si="209"/>
        <v>1-0.00852187068344288i</v>
      </c>
      <c r="X266" s="18">
        <f t="shared" si="222"/>
        <v>1.0000363104807473</v>
      </c>
      <c r="Y266" s="18">
        <f t="shared" si="223"/>
        <v>-8.5216643998717971E-3</v>
      </c>
      <c r="Z266" s="32" t="str">
        <f t="shared" si="210"/>
        <v>0.999990879891606+0.00465105447840842i</v>
      </c>
      <c r="AA266" s="18">
        <f t="shared" si="224"/>
        <v>1.0000016960856364</v>
      </c>
      <c r="AB266" s="18">
        <f t="shared" si="225"/>
        <v>4.6510633587533339E-3</v>
      </c>
      <c r="AC266" s="68" t="str">
        <f t="shared" si="226"/>
        <v>0.129524655256405-1.59022740195221i</v>
      </c>
      <c r="AD266" s="66">
        <f t="shared" si="227"/>
        <v>4.0579013265784081</v>
      </c>
      <c r="AE266" s="63">
        <f t="shared" si="228"/>
        <v>-85.343515084553744</v>
      </c>
      <c r="AF266" s="51" t="e">
        <f t="shared" si="229"/>
        <v>#NUM!</v>
      </c>
      <c r="AG266" s="51" t="str">
        <f t="shared" si="211"/>
        <v>1-8.13210697629503i</v>
      </c>
      <c r="AH266" s="51">
        <f t="shared" si="230"/>
        <v>8.1933609632376339</v>
      </c>
      <c r="AI266" s="51">
        <f t="shared" si="231"/>
        <v>-1.4484412276193293</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-0.000133283554228113</v>
      </c>
      <c r="AT266" s="32" t="str">
        <f t="shared" si="215"/>
        <v>0.00115936738458712i</v>
      </c>
      <c r="AU266" s="32">
        <f t="shared" si="239"/>
        <v>1.1593673845871201E-3</v>
      </c>
      <c r="AV266" s="32">
        <f t="shared" si="240"/>
        <v>1.5707963267948966</v>
      </c>
      <c r="AW266" s="32" t="str">
        <f t="shared" si="216"/>
        <v>1+0.202706794601425i</v>
      </c>
      <c r="AX266" s="32">
        <f t="shared" si="241"/>
        <v>1.0203382010772626</v>
      </c>
      <c r="AY266" s="32">
        <f t="shared" si="242"/>
        <v>0.19999688700778642</v>
      </c>
      <c r="AZ266" s="32" t="str">
        <f t="shared" si="217"/>
        <v>1+3.02082564637733i</v>
      </c>
      <c r="BA266" s="32">
        <f t="shared" si="243"/>
        <v>3.1820414179911323</v>
      </c>
      <c r="BB266" s="32">
        <f t="shared" si="244"/>
        <v>1.2511154036400076</v>
      </c>
      <c r="BC266" s="60" t="str">
        <f t="shared" si="245"/>
        <v>-0.311190620376735+0.178042764509846i</v>
      </c>
      <c r="BD266" s="51">
        <f t="shared" si="246"/>
        <v>-8.9096566355525812</v>
      </c>
      <c r="BE266" s="63">
        <f t="shared" si="247"/>
        <v>150.22465477107787</v>
      </c>
      <c r="BF266" s="60" t="str">
        <f t="shared" si="248"/>
        <v>0.242821625019558+0.517924779447627i</v>
      </c>
      <c r="BG266" s="66">
        <f t="shared" si="249"/>
        <v>-4.8517553089741714</v>
      </c>
      <c r="BH266" s="63">
        <f t="shared" si="250"/>
        <v>64.881139686524179</v>
      </c>
      <c r="BI266" s="60" t="e">
        <f t="shared" si="255"/>
        <v>#NUM!</v>
      </c>
      <c r="BJ266" s="66" t="e">
        <f t="shared" si="251"/>
        <v>#NUM!</v>
      </c>
      <c r="BK266" s="63" t="e">
        <f t="shared" si="256"/>
        <v>#NUM!</v>
      </c>
      <c r="BL266" s="51">
        <f t="shared" si="252"/>
        <v>-4.8517553089741714</v>
      </c>
      <c r="BM266" s="63">
        <f t="shared" si="253"/>
        <v>64.881139686524179</v>
      </c>
    </row>
    <row r="267" spans="14:65" x14ac:dyDescent="0.3">
      <c r="N267" s="11">
        <v>49</v>
      </c>
      <c r="O267" s="52">
        <f t="shared" si="254"/>
        <v>3090.295432513592</v>
      </c>
      <c r="P267" s="50" t="str">
        <f t="shared" si="206"/>
        <v>21.1560044893378</v>
      </c>
      <c r="Q267" s="18" t="str">
        <f t="shared" si="207"/>
        <v>1+13.5329901120459i</v>
      </c>
      <c r="R267" s="18">
        <f t="shared" si="218"/>
        <v>13.56988656447548</v>
      </c>
      <c r="S267" s="18">
        <f t="shared" si="219"/>
        <v>1.4970368805568028</v>
      </c>
      <c r="T267" s="18" t="str">
        <f t="shared" si="208"/>
        <v>1+0.0194168988564136i</v>
      </c>
      <c r="U267" s="18">
        <f t="shared" si="220"/>
        <v>1.0001884902163194</v>
      </c>
      <c r="V267" s="18">
        <f t="shared" si="221"/>
        <v>1.9414459247990658E-2</v>
      </c>
      <c r="W267" s="32" t="str">
        <f t="shared" si="209"/>
        <v>1-0.0087203705514899i</v>
      </c>
      <c r="X267" s="18">
        <f t="shared" si="222"/>
        <v>1.0000380217084524</v>
      </c>
      <c r="Y267" s="18">
        <f t="shared" si="223"/>
        <v>-8.7201495151150148E-3</v>
      </c>
      <c r="Z267" s="32" t="str">
        <f t="shared" si="210"/>
        <v>0.99999045007414+0.00475939145447135i</v>
      </c>
      <c r="AA267" s="18">
        <f t="shared" si="224"/>
        <v>1.000001776021672</v>
      </c>
      <c r="AB267" s="18">
        <f t="shared" si="225"/>
        <v>4.7594009699275389E-3</v>
      </c>
      <c r="AC267" s="68" t="str">
        <f t="shared" si="226"/>
        <v>0.124143154017723-1.55444163817328i</v>
      </c>
      <c r="AD267" s="66">
        <f t="shared" si="227"/>
        <v>3.8591005357601338</v>
      </c>
      <c r="AE267" s="63">
        <f t="shared" si="228"/>
        <v>-85.433849807422988</v>
      </c>
      <c r="AF267" s="51" t="e">
        <f t="shared" si="229"/>
        <v>#NUM!</v>
      </c>
      <c r="AG267" s="51" t="str">
        <f t="shared" si="211"/>
        <v>1-8.32152808132013i</v>
      </c>
      <c r="AH267" s="51">
        <f t="shared" si="230"/>
        <v>8.3813978314001698</v>
      </c>
      <c r="AI267" s="51">
        <f t="shared" si="231"/>
        <v>-1.4511995839767278</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-0.000133283554228113</v>
      </c>
      <c r="AT267" s="32" t="str">
        <f t="shared" si="215"/>
        <v>0.00118637252012687i</v>
      </c>
      <c r="AU267" s="32">
        <f t="shared" si="239"/>
        <v>1.18637252012687E-3</v>
      </c>
      <c r="AV267" s="32">
        <f t="shared" si="240"/>
        <v>1.5707963267948966</v>
      </c>
      <c r="AW267" s="32" t="str">
        <f t="shared" si="216"/>
        <v>1+0.207428442403332i</v>
      </c>
      <c r="AX267" s="32">
        <f t="shared" si="241"/>
        <v>1.0212867171944773</v>
      </c>
      <c r="AY267" s="32">
        <f t="shared" si="242"/>
        <v>0.20452798281049886</v>
      </c>
      <c r="AZ267" s="32" t="str">
        <f t="shared" si="217"/>
        <v>1+3.0911897148399i</v>
      </c>
      <c r="BA267" s="32">
        <f t="shared" si="243"/>
        <v>3.2489157965592126</v>
      </c>
      <c r="BB267" s="32">
        <f t="shared" si="244"/>
        <v>1.2579216867807097</v>
      </c>
      <c r="BC267" s="60" t="str">
        <f t="shared" si="245"/>
        <v>-0.310612854612624+0.176775390274483i</v>
      </c>
      <c r="BD267" s="51">
        <f t="shared" si="246"/>
        <v>-8.9370748204103538</v>
      </c>
      <c r="BE267" s="63">
        <f t="shared" si="247"/>
        <v>150.35501340314622</v>
      </c>
      <c r="BF267" s="60" t="str">
        <f t="shared" si="248"/>
        <v>0.236226567796929+0.504775009063114i</v>
      </c>
      <c r="BG267" s="66">
        <f t="shared" si="249"/>
        <v>-5.0779742846502209</v>
      </c>
      <c r="BH267" s="63">
        <f t="shared" si="250"/>
        <v>64.921163595723186</v>
      </c>
      <c r="BI267" s="60" t="e">
        <f t="shared" si="255"/>
        <v>#NUM!</v>
      </c>
      <c r="BJ267" s="66" t="e">
        <f t="shared" si="251"/>
        <v>#NUM!</v>
      </c>
      <c r="BK267" s="63" t="e">
        <f t="shared" si="256"/>
        <v>#NUM!</v>
      </c>
      <c r="BL267" s="51">
        <f t="shared" si="252"/>
        <v>-5.0779742846502209</v>
      </c>
      <c r="BM267" s="63">
        <f t="shared" si="253"/>
        <v>64.921163595723186</v>
      </c>
    </row>
    <row r="268" spans="14:65" x14ac:dyDescent="0.3">
      <c r="N268" s="11">
        <v>50</v>
      </c>
      <c r="O268" s="52">
        <f t="shared" si="254"/>
        <v>3162.2776601683804</v>
      </c>
      <c r="P268" s="50" t="str">
        <f t="shared" si="206"/>
        <v>21.1560044893378</v>
      </c>
      <c r="Q268" s="18" t="str">
        <f t="shared" si="207"/>
        <v>1+13.8482139462613i</v>
      </c>
      <c r="R268" s="18">
        <f t="shared" si="218"/>
        <v>13.884272739377673</v>
      </c>
      <c r="S268" s="18">
        <f t="shared" si="219"/>
        <v>1.4987099728409308</v>
      </c>
      <c r="T268" s="18" t="str">
        <f t="shared" si="208"/>
        <v>1+0.0198691765315922i</v>
      </c>
      <c r="U268" s="18">
        <f t="shared" si="220"/>
        <v>1.0001973726100482</v>
      </c>
      <c r="V268" s="18">
        <f t="shared" si="221"/>
        <v>1.986656247192934E-2</v>
      </c>
      <c r="W268" s="32" t="str">
        <f t="shared" si="209"/>
        <v>1-0.00892349407543105i</v>
      </c>
      <c r="X268" s="18">
        <f t="shared" si="222"/>
        <v>1.0000398135806965</v>
      </c>
      <c r="Y268" s="18">
        <f t="shared" si="223"/>
        <v>-8.9232572311974626E-3</v>
      </c>
      <c r="Z268" s="32" t="str">
        <f t="shared" si="210"/>
        <v>0.99999+0.00487025192288144i</v>
      </c>
      <c r="AA268" s="18">
        <f t="shared" si="224"/>
        <v>1.000001859725167</v>
      </c>
      <c r="AB268" s="18">
        <f t="shared" si="225"/>
        <v>4.8702621188710373E-3</v>
      </c>
      <c r="AC268" s="68" t="str">
        <f t="shared" si="226"/>
        <v>0.119001282149032-1.51944444147504i</v>
      </c>
      <c r="AD268" s="66">
        <f t="shared" si="227"/>
        <v>3.6602541285475105</v>
      </c>
      <c r="AE268" s="63">
        <f t="shared" si="228"/>
        <v>-85.521796418267968</v>
      </c>
      <c r="AF268" s="51" t="e">
        <f t="shared" si="229"/>
        <v>#NUM!</v>
      </c>
      <c r="AG268" s="51" t="str">
        <f t="shared" si="211"/>
        <v>1-8.51536137068238i</v>
      </c>
      <c r="AH268" s="51">
        <f t="shared" si="230"/>
        <v>8.5738777267529134</v>
      </c>
      <c r="AI268" s="51">
        <f t="shared" si="231"/>
        <v>-1.453896920614371</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-0.000133283554228113</v>
      </c>
      <c r="AT268" s="32" t="str">
        <f t="shared" si="215"/>
        <v>0.00121400668608028i</v>
      </c>
      <c r="AU268" s="32">
        <f t="shared" si="239"/>
        <v>1.2140066860802799E-3</v>
      </c>
      <c r="AV268" s="32">
        <f t="shared" si="240"/>
        <v>1.5707963267948966</v>
      </c>
      <c r="AW268" s="32" t="str">
        <f t="shared" si="216"/>
        <v>1+0.212260071511042i</v>
      </c>
      <c r="AX268" s="32">
        <f t="shared" si="241"/>
        <v>1.0222789922315105</v>
      </c>
      <c r="AY268" s="32">
        <f t="shared" si="242"/>
        <v>0.20915581944283301</v>
      </c>
      <c r="AZ268" s="32" t="str">
        <f t="shared" si="217"/>
        <v>1+3.16319277300601i</v>
      </c>
      <c r="BA268" s="32">
        <f t="shared" si="243"/>
        <v>3.3174973276850501</v>
      </c>
      <c r="BB268" s="32">
        <f t="shared" si="244"/>
        <v>1.2646021278210642</v>
      </c>
      <c r="BC268" s="60" t="str">
        <f t="shared" si="245"/>
        <v>-0.310010154565954+0.17559093258201i</v>
      </c>
      <c r="BD268" s="51">
        <f t="shared" si="246"/>
        <v>-8.9640673531277386</v>
      </c>
      <c r="BE268" s="63">
        <f t="shared" si="247"/>
        <v>150.47261897273575</v>
      </c>
      <c r="BF268" s="60" t="str">
        <f t="shared" si="248"/>
        <v>0.229909060612585+0.49193875226706i</v>
      </c>
      <c r="BG268" s="66">
        <f t="shared" si="249"/>
        <v>-5.3038132245802352</v>
      </c>
      <c r="BH268" s="63">
        <f t="shared" si="250"/>
        <v>64.95082255446782</v>
      </c>
      <c r="BI268" s="60" t="e">
        <f t="shared" si="255"/>
        <v>#NUM!</v>
      </c>
      <c r="BJ268" s="66" t="e">
        <f t="shared" si="251"/>
        <v>#NUM!</v>
      </c>
      <c r="BK268" s="63" t="e">
        <f t="shared" si="256"/>
        <v>#NUM!</v>
      </c>
      <c r="BL268" s="51">
        <f t="shared" si="252"/>
        <v>-5.3038132245802352</v>
      </c>
      <c r="BM268" s="63">
        <f t="shared" si="253"/>
        <v>64.95082255446782</v>
      </c>
    </row>
    <row r="269" spans="14:65" x14ac:dyDescent="0.3">
      <c r="N269" s="11">
        <v>51</v>
      </c>
      <c r="O269" s="52">
        <f t="shared" si="254"/>
        <v>3235.9365692962833</v>
      </c>
      <c r="P269" s="50" t="str">
        <f t="shared" si="206"/>
        <v>21.1560044893378</v>
      </c>
      <c r="Q269" s="18" t="str">
        <f t="shared" si="207"/>
        <v>1+14.1707802868137i</v>
      </c>
      <c r="R269" s="18">
        <f t="shared" si="218"/>
        <v>14.206020341290088</v>
      </c>
      <c r="S269" s="18">
        <f t="shared" si="219"/>
        <v>1.5003453716320732</v>
      </c>
      <c r="T269" s="18" t="str">
        <f t="shared" si="208"/>
        <v>1+0.0203319891071675i</v>
      </c>
      <c r="U269" s="18">
        <f t="shared" si="220"/>
        <v>1.0002066735335522</v>
      </c>
      <c r="V269" s="18">
        <f t="shared" si="221"/>
        <v>2.0329188123031812E-2</v>
      </c>
      <c r="W269" s="32" t="str">
        <f t="shared" si="209"/>
        <v>1-0.00913134895404742i</v>
      </c>
      <c r="X269" s="18">
        <f t="shared" si="222"/>
        <v>1.0000416898978366</v>
      </c>
      <c r="Y269" s="18">
        <f t="shared" si="223"/>
        <v>-9.1310951714501931E-3</v>
      </c>
      <c r="Z269" s="32" t="str">
        <f t="shared" si="210"/>
        <v>0.99998952871452+0.00498369466332644i</v>
      </c>
      <c r="AA269" s="18">
        <f t="shared" si="224"/>
        <v>1.0000019473736965</v>
      </c>
      <c r="AB269" s="18">
        <f t="shared" si="225"/>
        <v>4.9837055885200597E-3</v>
      </c>
      <c r="AC269" s="68" t="str">
        <f t="shared" si="226"/>
        <v>0.114088478859495-1.48521960885386i</v>
      </c>
      <c r="AD269" s="66">
        <f t="shared" si="227"/>
        <v>3.4613645159053523</v>
      </c>
      <c r="AE269" s="63">
        <f t="shared" si="228"/>
        <v>-85.607399438341986</v>
      </c>
      <c r="AF269" s="51" t="e">
        <f t="shared" si="229"/>
        <v>#NUM!</v>
      </c>
      <c r="AG269" s="51" t="str">
        <f t="shared" si="211"/>
        <v>1-8.71370961735751i</v>
      </c>
      <c r="AH269" s="51">
        <f t="shared" si="230"/>
        <v>8.770902764004898</v>
      </c>
      <c r="AI269" s="51">
        <f t="shared" si="231"/>
        <v>-1.4565345106128911</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-0.000133283554228113</v>
      </c>
      <c r="AT269" s="32" t="str">
        <f t="shared" si="215"/>
        <v>0.00124228453444794i</v>
      </c>
      <c r="AU269" s="32">
        <f t="shared" si="239"/>
        <v>1.2422845344479401E-3</v>
      </c>
      <c r="AV269" s="32">
        <f t="shared" si="240"/>
        <v>1.5707963267948966</v>
      </c>
      <c r="AW269" s="32" t="str">
        <f t="shared" si="216"/>
        <v>1+0.21720424371826i</v>
      </c>
      <c r="AX269" s="32">
        <f t="shared" si="241"/>
        <v>1.0233170004887153</v>
      </c>
      <c r="AY269" s="32">
        <f t="shared" si="242"/>
        <v>0.21388205736420079</v>
      </c>
      <c r="AZ269" s="32" t="str">
        <f t="shared" si="217"/>
        <v>1+3.23687299785017i</v>
      </c>
      <c r="BA269" s="32">
        <f t="shared" si="243"/>
        <v>3.3878233136058835</v>
      </c>
      <c r="BB269" s="32">
        <f t="shared" si="244"/>
        <v>1.2711578828882599</v>
      </c>
      <c r="BC269" s="60" t="str">
        <f t="shared" si="245"/>
        <v>-0.309381551906872+0.174488057492963i</v>
      </c>
      <c r="BD269" s="51">
        <f t="shared" si="246"/>
        <v>-8.9906790008270114</v>
      </c>
      <c r="BE269" s="63">
        <f t="shared" si="247"/>
        <v>150.57744258373862</v>
      </c>
      <c r="BF269" s="60" t="str">
        <f t="shared" si="248"/>
        <v>0.223856213855123+0.479406624568245i</v>
      </c>
      <c r="BG269" s="66">
        <f t="shared" si="249"/>
        <v>-5.5293144849216604</v>
      </c>
      <c r="BH269" s="63">
        <f t="shared" si="250"/>
        <v>64.970043145396673</v>
      </c>
      <c r="BI269" s="60" t="e">
        <f t="shared" si="255"/>
        <v>#NUM!</v>
      </c>
      <c r="BJ269" s="66" t="e">
        <f t="shared" si="251"/>
        <v>#NUM!</v>
      </c>
      <c r="BK269" s="63" t="e">
        <f t="shared" si="256"/>
        <v>#NUM!</v>
      </c>
      <c r="BL269" s="51">
        <f t="shared" si="252"/>
        <v>-5.5293144849216604</v>
      </c>
      <c r="BM269" s="63">
        <f t="shared" si="253"/>
        <v>64.970043145396673</v>
      </c>
    </row>
    <row r="270" spans="14:65" x14ac:dyDescent="0.3">
      <c r="N270" s="11">
        <v>52</v>
      </c>
      <c r="O270" s="52">
        <f t="shared" si="254"/>
        <v>3311.3112148259115</v>
      </c>
      <c r="P270" s="50" t="str">
        <f t="shared" si="206"/>
        <v>21.1560044893378</v>
      </c>
      <c r="Q270" s="18" t="str">
        <f t="shared" si="207"/>
        <v>1+14.5008601626468i</v>
      </c>
      <c r="R270" s="18">
        <f t="shared" si="218"/>
        <v>14.535299978212937</v>
      </c>
      <c r="S270" s="18">
        <f t="shared" si="219"/>
        <v>1.5019439090293083</v>
      </c>
      <c r="T270" s="18" t="str">
        <f t="shared" si="208"/>
        <v>1+0.0208055819724932i</v>
      </c>
      <c r="U270" s="18">
        <f t="shared" si="220"/>
        <v>1.0002164127033779</v>
      </c>
      <c r="V270" s="18">
        <f t="shared" si="221"/>
        <v>2.0802580698989374E-2</v>
      </c>
      <c r="W270" s="32" t="str">
        <f t="shared" si="209"/>
        <v>1-0.00934404539474695i</v>
      </c>
      <c r="X270" s="18">
        <f t="shared" si="222"/>
        <v>1.0000436546393059</v>
      </c>
      <c r="Y270" s="18">
        <f t="shared" si="223"/>
        <v>-9.3437734624358011E-3</v>
      </c>
      <c r="Z270" s="32" t="str">
        <f t="shared" si="210"/>
        <v>0.999989035218039+0.00509977982464895i</v>
      </c>
      <c r="AA270" s="18">
        <f t="shared" si="224"/>
        <v>1.0000020391532032</v>
      </c>
      <c r="AB270" s="18">
        <f t="shared" si="225"/>
        <v>5.099791531198019E-3</v>
      </c>
      <c r="AC270" s="68" t="str">
        <f>(IMDIV(IMPRODUCT(P270,T270,W270),IMPRODUCT(Q270,Z270)))</f>
        <v>0.109394639117945-1.45175119240564i</v>
      </c>
      <c r="AD270" s="66">
        <f t="shared" si="227"/>
        <v>3.2624340202603417</v>
      </c>
      <c r="AE270" s="63">
        <f t="shared" si="228"/>
        <v>-85.690702290985925</v>
      </c>
      <c r="AF270" s="51" t="e">
        <f t="shared" si="229"/>
        <v>#NUM!</v>
      </c>
      <c r="AG270" s="51" t="str">
        <f t="shared" si="211"/>
        <v>1-8.91667798821138i</v>
      </c>
      <c r="AH270" s="51">
        <f t="shared" si="230"/>
        <v>8.9725774638870259</v>
      </c>
      <c r="AI270" s="51">
        <f t="shared" si="231"/>
        <v>-1.4591136055829963</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-0.000133283554228113</v>
      </c>
      <c r="AT270" s="32" t="str">
        <f t="shared" si="215"/>
        <v>0.00127122105851933i</v>
      </c>
      <c r="AU270" s="32">
        <f t="shared" si="239"/>
        <v>1.2712210585193299E-3</v>
      </c>
      <c r="AV270" s="32">
        <f t="shared" si="240"/>
        <v>1.5707963267948966</v>
      </c>
      <c r="AW270" s="32" t="str">
        <f t="shared" si="216"/>
        <v>1+0.222263580490538i</v>
      </c>
      <c r="AX270" s="32">
        <f t="shared" si="241"/>
        <v>1.0244028012517703</v>
      </c>
      <c r="AY270" s="32">
        <f t="shared" si="242"/>
        <v>0.21870835752561119</v>
      </c>
      <c r="AZ270" s="32" t="str">
        <f t="shared" si="217"/>
        <v>1+3.31226945560289i</v>
      </c>
      <c r="BA270" s="32">
        <f t="shared" si="243"/>
        <v>3.4599319280182184</v>
      </c>
      <c r="BB270" s="32">
        <f t="shared" si="244"/>
        <v>1.2775901730982036</v>
      </c>
      <c r="BC270" s="60" t="str">
        <f t="shared" si="245"/>
        <v>-0.308726050585683+0.173465431456329i</v>
      </c>
      <c r="BD270" s="51">
        <f t="shared" si="246"/>
        <v>-9.0169543235338345</v>
      </c>
      <c r="BE270" s="63">
        <f t="shared" si="247"/>
        <v>150.66945903545954</v>
      </c>
      <c r="BF270" s="60" t="str">
        <f t="shared" si="248"/>
        <v>0.218055672067755+0.467169600338053i</v>
      </c>
      <c r="BG270" s="66">
        <f t="shared" si="249"/>
        <v>-5.7545203032734928</v>
      </c>
      <c r="BH270" s="63">
        <f t="shared" si="250"/>
        <v>64.978756744473642</v>
      </c>
      <c r="BI270" s="60" t="e">
        <f t="shared" si="255"/>
        <v>#NUM!</v>
      </c>
      <c r="BJ270" s="66" t="e">
        <f t="shared" si="251"/>
        <v>#NUM!</v>
      </c>
      <c r="BK270" s="63" t="e">
        <f t="shared" si="256"/>
        <v>#NUM!</v>
      </c>
      <c r="BL270" s="51">
        <f t="shared" si="252"/>
        <v>-5.7545203032734928</v>
      </c>
      <c r="BM270" s="63">
        <f t="shared" si="253"/>
        <v>64.978756744473642</v>
      </c>
    </row>
    <row r="271" spans="14:65" x14ac:dyDescent="0.3">
      <c r="N271" s="11">
        <v>53</v>
      </c>
      <c r="O271" s="52">
        <f t="shared" si="254"/>
        <v>3388.4415613920314</v>
      </c>
      <c r="P271" s="50" t="str">
        <f t="shared" si="206"/>
        <v>21.1560044893378</v>
      </c>
      <c r="Q271" s="18" t="str">
        <f t="shared" si="207"/>
        <v>1+14.8386285864796i</v>
      </c>
      <c r="R271" s="18">
        <f t="shared" si="218"/>
        <v>14.872286250858997</v>
      </c>
      <c r="S271" s="18">
        <f t="shared" si="219"/>
        <v>1.5035063999017466</v>
      </c>
      <c r="T271" s="18" t="str">
        <f t="shared" si="208"/>
        <v>1+0.0212902062327751i</v>
      </c>
      <c r="U271" s="18">
        <f t="shared" si="220"/>
        <v>1.0002266107644977</v>
      </c>
      <c r="V271" s="18">
        <f t="shared" si="221"/>
        <v>2.128699034962489E-2</v>
      </c>
      <c r="W271" s="32" t="str">
        <f t="shared" si="209"/>
        <v>1-0.00956169617199781i</v>
      </c>
      <c r="X271" s="18">
        <f t="shared" si="222"/>
        <v>1.0000457119720505</v>
      </c>
      <c r="Y271" s="18">
        <f t="shared" si="223"/>
        <v>-9.5614047919960355E-3</v>
      </c>
      <c r="Z271" s="32" t="str">
        <f t="shared" si="210"/>
        <v>0.999988518463785+0.00521856895673805i</v>
      </c>
      <c r="AA271" s="18">
        <f t="shared" si="224"/>
        <v>1.0000021352583963</v>
      </c>
      <c r="AB271" s="18">
        <f t="shared" si="225"/>
        <v>5.2185815005237378E-3</v>
      </c>
      <c r="AC271" s="68" t="str">
        <f t="shared" si="226"/>
        <v>0.104910094830832-1.41902350089367i</v>
      </c>
      <c r="AD271" s="66">
        <f t="shared" si="227"/>
        <v>3.0634648801539948</v>
      </c>
      <c r="AE271" s="63">
        <f t="shared" si="228"/>
        <v>-85.771747315532011</v>
      </c>
      <c r="AF271" s="51" t="e">
        <f t="shared" si="229"/>
        <v>#NUM!</v>
      </c>
      <c r="AG271" s="51" t="str">
        <f t="shared" si="211"/>
        <v>1-9.12437409976077i</v>
      </c>
      <c r="AH271" s="51">
        <f t="shared" si="230"/>
        <v>9.1790088088194555</v>
      </c>
      <c r="AI271" s="51">
        <f t="shared" si="231"/>
        <v>-1.4616354356771348</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-0.000133283554228113</v>
      </c>
      <c r="AT271" s="32" t="str">
        <f t="shared" si="215"/>
        <v>0.00130083160082256i</v>
      </c>
      <c r="AU271" s="32">
        <f t="shared" si="239"/>
        <v>1.30083160082256E-3</v>
      </c>
      <c r="AV271" s="32">
        <f t="shared" si="240"/>
        <v>1.5707963267948966</v>
      </c>
      <c r="AW271" s="32" t="str">
        <f t="shared" si="216"/>
        <v>1+0.227440764355197i</v>
      </c>
      <c r="AX271" s="32">
        <f t="shared" si="241"/>
        <v>1.0255385420794658</v>
      </c>
      <c r="AY271" s="32">
        <f t="shared" si="242"/>
        <v>0.2236363791246691</v>
      </c>
      <c r="AZ271" s="32" t="str">
        <f t="shared" si="217"/>
        <v>1+3.38942212246403i</v>
      </c>
      <c r="BA271" s="32">
        <f t="shared" si="243"/>
        <v>3.5338622390026146</v>
      </c>
      <c r="BB271" s="32">
        <f t="shared" si="244"/>
        <v>1.2839002790989189</v>
      </c>
      <c r="BC271" s="60" t="str">
        <f t="shared" si="245"/>
        <v>-0.308042626978842+0.172521718368745i</v>
      </c>
      <c r="BD271" s="51">
        <f t="shared" si="246"/>
        <v>-9.0429376928460758</v>
      </c>
      <c r="BE271" s="63">
        <f t="shared" si="247"/>
        <v>150.74864663860532</v>
      </c>
      <c r="BF271" s="60" t="str">
        <f t="shared" si="248"/>
        <v>0.212495591571519+0.455218996794442i</v>
      </c>
      <c r="BG271" s="66">
        <f t="shared" si="249"/>
        <v>-5.9794728126920891</v>
      </c>
      <c r="BH271" s="63">
        <f t="shared" si="250"/>
        <v>64.97689932307334</v>
      </c>
      <c r="BI271" s="60" t="e">
        <f t="shared" si="255"/>
        <v>#NUM!</v>
      </c>
      <c r="BJ271" s="66" t="e">
        <f t="shared" si="251"/>
        <v>#NUM!</v>
      </c>
      <c r="BK271" s="63" t="e">
        <f t="shared" si="256"/>
        <v>#NUM!</v>
      </c>
      <c r="BL271" s="51">
        <f t="shared" si="252"/>
        <v>-5.9794728126920891</v>
      </c>
      <c r="BM271" s="63">
        <f t="shared" si="253"/>
        <v>64.97689932307334</v>
      </c>
    </row>
    <row r="272" spans="14:65" x14ac:dyDescent="0.3">
      <c r="N272" s="11">
        <v>54</v>
      </c>
      <c r="O272" s="52">
        <f t="shared" si="254"/>
        <v>3467.3685045253224</v>
      </c>
      <c r="P272" s="50" t="str">
        <f t="shared" si="206"/>
        <v>21.1560044893378</v>
      </c>
      <c r="Q272" s="18" t="str">
        <f t="shared" si="207"/>
        <v>1+15.1842646476015i</v>
      </c>
      <c r="R272" s="18">
        <f t="shared" si="218"/>
        <v>15.217157845287689</v>
      </c>
      <c r="S272" s="18">
        <f t="shared" si="219"/>
        <v>1.5050336421685286</v>
      </c>
      <c r="T272" s="18" t="str">
        <f t="shared" si="208"/>
        <v>1+0.0217861188422108i</v>
      </c>
      <c r="U272" s="18">
        <f t="shared" si="220"/>
        <v>1.0002372893339895</v>
      </c>
      <c r="V272" s="18">
        <f t="shared" si="221"/>
        <v>2.1782673005481448E-2</v>
      </c>
      <c r="W272" s="32" t="str">
        <f t="shared" si="209"/>
        <v>1-0.00978441668712308i</v>
      </c>
      <c r="X272" s="18">
        <f t="shared" si="222"/>
        <v>1.0000478662593644</v>
      </c>
      <c r="Y272" s="18">
        <f t="shared" si="223"/>
        <v>-9.7841044686331254E-3</v>
      </c>
      <c r="Z272" s="32" t="str">
        <f t="shared" si="210"/>
        <v>0.999987977355654+0.00534012504316393i</v>
      </c>
      <c r="AA272" s="18">
        <f t="shared" si="224"/>
        <v>1.0000022358931646</v>
      </c>
      <c r="AB272" s="18">
        <f t="shared" si="225"/>
        <v>5.3401384840638839E-3</v>
      </c>
      <c r="AC272" s="68" t="str">
        <f t="shared" si="226"/>
        <v>0.100625596722061-1.38702110081358i</v>
      </c>
      <c r="AD272" s="66">
        <f t="shared" si="227"/>
        <v>2.8644592547392849</v>
      </c>
      <c r="AE272" s="63">
        <f t="shared" si="228"/>
        <v>-85.850575781251663</v>
      </c>
      <c r="AF272" s="51" t="e">
        <f t="shared" si="229"/>
        <v>#NUM!</v>
      </c>
      <c r="AG272" s="51" t="str">
        <f t="shared" si="211"/>
        <v>1-9.33690807523321i</v>
      </c>
      <c r="AH272" s="51">
        <f t="shared" si="230"/>
        <v>9.3903062998687705</v>
      </c>
      <c r="AI272" s="51">
        <f t="shared" si="231"/>
        <v>-1.4641012096301853</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-0.000133283554228113</v>
      </c>
      <c r="AT272" s="32" t="str">
        <f t="shared" si="215"/>
        <v>0.00133113186125908i</v>
      </c>
      <c r="AU272" s="32">
        <f t="shared" si="239"/>
        <v>1.3311318612590801E-3</v>
      </c>
      <c r="AV272" s="32">
        <f t="shared" si="240"/>
        <v>1.5707963267948966</v>
      </c>
      <c r="AW272" s="32" t="str">
        <f t="shared" si="216"/>
        <v>1+0.232738540323651i</v>
      </c>
      <c r="AX272" s="32">
        <f t="shared" si="241"/>
        <v>1.026726462185515</v>
      </c>
      <c r="AY272" s="32">
        <f t="shared" si="242"/>
        <v>0.22866777719827919</v>
      </c>
      <c r="AZ272" s="32" t="str">
        <f t="shared" si="217"/>
        <v>1+3.4683719057988i</v>
      </c>
      <c r="BA272" s="32">
        <f t="shared" si="243"/>
        <v>3.6096542323239773</v>
      </c>
      <c r="BB272" s="32">
        <f t="shared" si="244"/>
        <v>1.2900895358198048</v>
      </c>
      <c r="BC272" s="60" t="str">
        <f t="shared" si="245"/>
        <v>-0.307330230145829+0.171655576558636i</v>
      </c>
      <c r="BD272" s="51">
        <f t="shared" si="246"/>
        <v>-9.0686733125444814</v>
      </c>
      <c r="BE272" s="63">
        <f t="shared" si="247"/>
        <v>150.81498705236706</v>
      </c>
      <c r="BF272" s="60" t="str">
        <f t="shared" si="248"/>
        <v>0.207164618959997+0.443546458952041i</v>
      </c>
      <c r="BG272" s="66">
        <f t="shared" si="249"/>
        <v>-6.2042140578051903</v>
      </c>
      <c r="BH272" s="63">
        <f t="shared" si="250"/>
        <v>64.964411271115353</v>
      </c>
      <c r="BI272" s="60" t="e">
        <f t="shared" si="255"/>
        <v>#NUM!</v>
      </c>
      <c r="BJ272" s="66" t="e">
        <f t="shared" si="251"/>
        <v>#NUM!</v>
      </c>
      <c r="BK272" s="63" t="e">
        <f t="shared" si="256"/>
        <v>#NUM!</v>
      </c>
      <c r="BL272" s="51">
        <f t="shared" si="252"/>
        <v>-6.2042140578051903</v>
      </c>
      <c r="BM272" s="63">
        <f t="shared" si="253"/>
        <v>64.964411271115353</v>
      </c>
    </row>
    <row r="273" spans="14:65" x14ac:dyDescent="0.3">
      <c r="N273" s="11">
        <v>55</v>
      </c>
      <c r="O273" s="52">
        <f t="shared" si="254"/>
        <v>3548.1338923357539</v>
      </c>
      <c r="P273" s="50" t="str">
        <f t="shared" si="206"/>
        <v>21.1560044893378</v>
      </c>
      <c r="Q273" s="18" t="str">
        <f t="shared" si="207"/>
        <v>1+15.5379516068269i</v>
      </c>
      <c r="R273" s="18">
        <f t="shared" si="218"/>
        <v>15.570097627699532</v>
      </c>
      <c r="S273" s="18">
        <f t="shared" si="219"/>
        <v>1.5065264170797181</v>
      </c>
      <c r="T273" s="18" t="str">
        <f t="shared" si="208"/>
        <v>1+0.0222935827402299i</v>
      </c>
      <c r="U273" s="18">
        <f t="shared" si="220"/>
        <v>1.0002484710467672</v>
      </c>
      <c r="V273" s="18">
        <f t="shared" si="221"/>
        <v>2.2289890509186686E-2</v>
      </c>
      <c r="W273" s="32" t="str">
        <f t="shared" si="209"/>
        <v>1-0.0100123250294879i</v>
      </c>
      <c r="X273" s="18">
        <f t="shared" si="222"/>
        <v>1.0000501220701372</v>
      </c>
      <c r="Y273" s="18">
        <f t="shared" si="223"/>
        <v>-1.0011990482254044E-2</v>
      </c>
      <c r="Z273" s="32" t="str">
        <f t="shared" si="210"/>
        <v>0.999987410745882+0.00546451253457259i</v>
      </c>
      <c r="AA273" s="18">
        <f t="shared" si="224"/>
        <v>1.000002341271006</v>
      </c>
      <c r="AB273" s="18">
        <f t="shared" si="225"/>
        <v>5.4645269367467539E-3</v>
      </c>
      <c r="AC273" s="68" t="str">
        <f t="shared" si="226"/>
        <v>0.0965322968954819-1.35572881699595i</v>
      </c>
      <c r="AD273" s="66">
        <f t="shared" si="227"/>
        <v>2.6654192281319711</v>
      </c>
      <c r="AE273" s="63">
        <f t="shared" si="228"/>
        <v>-85.927227901317764</v>
      </c>
      <c r="AF273" s="51" t="e">
        <f t="shared" si="229"/>
        <v>#NUM!</v>
      </c>
      <c r="AG273" s="51" t="str">
        <f t="shared" si="211"/>
        <v>1-9.55439260295569i</v>
      </c>
      <c r="AH273" s="51">
        <f t="shared" si="230"/>
        <v>9.6065820150256584</v>
      </c>
      <c r="AI273" s="51">
        <f t="shared" si="231"/>
        <v>-1.4665121148268241</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-0.000133283554228113</v>
      </c>
      <c r="AT273" s="32" t="str">
        <f t="shared" si="215"/>
        <v>0.00136213790542805i</v>
      </c>
      <c r="AU273" s="32">
        <f t="shared" si="239"/>
        <v>1.3621379054280501E-3</v>
      </c>
      <c r="AV273" s="32">
        <f t="shared" si="240"/>
        <v>1.5707963267948966</v>
      </c>
      <c r="AW273" s="32" t="str">
        <f t="shared" si="216"/>
        <v>1+0.238159717346843i</v>
      </c>
      <c r="AX273" s="32">
        <f t="shared" si="241"/>
        <v>1.0279688959140389</v>
      </c>
      <c r="AY273" s="32">
        <f t="shared" si="242"/>
        <v>0.2338042000465903</v>
      </c>
      <c r="AZ273" s="32" t="str">
        <f t="shared" si="217"/>
        <v>1+3.54916066582734i</v>
      </c>
      <c r="BA273" s="32">
        <f t="shared" si="243"/>
        <v>3.6873488351193418</v>
      </c>
      <c r="BB273" s="32">
        <f t="shared" si="244"/>
        <v>1.2961593274307306</v>
      </c>
      <c r="BC273" s="60" t="str">
        <f t="shared" si="245"/>
        <v>-0.306587782207551+0.170865655696449i</v>
      </c>
      <c r="BD273" s="51">
        <f t="shared" si="246"/>
        <v>-9.0942052408927552</v>
      </c>
      <c r="BE273" s="63">
        <f t="shared" si="247"/>
        <v>150.86846514319424</v>
      </c>
      <c r="BF273" s="60" t="str">
        <f t="shared" si="248"/>
        <v>0.202051870445997+0.432143945482586i</v>
      </c>
      <c r="BG273" s="66">
        <f t="shared" si="249"/>
        <v>-6.4287860127607841</v>
      </c>
      <c r="BH273" s="63">
        <f t="shared" si="250"/>
        <v>64.941237241876522</v>
      </c>
      <c r="BI273" s="60" t="e">
        <f t="shared" si="255"/>
        <v>#NUM!</v>
      </c>
      <c r="BJ273" s="66" t="e">
        <f t="shared" si="251"/>
        <v>#NUM!</v>
      </c>
      <c r="BK273" s="63" t="e">
        <f t="shared" si="256"/>
        <v>#NUM!</v>
      </c>
      <c r="BL273" s="51">
        <f t="shared" si="252"/>
        <v>-6.4287860127607841</v>
      </c>
      <c r="BM273" s="63">
        <f t="shared" si="253"/>
        <v>64.941237241876522</v>
      </c>
    </row>
    <row r="274" spans="14:65" x14ac:dyDescent="0.3">
      <c r="N274" s="11">
        <v>56</v>
      </c>
      <c r="O274" s="52">
        <f t="shared" si="254"/>
        <v>3630.7805477010188</v>
      </c>
      <c r="P274" s="50" t="str">
        <f t="shared" si="206"/>
        <v>21.1560044893378</v>
      </c>
      <c r="Q274" s="18" t="str">
        <f t="shared" si="207"/>
        <v>1+15.8998769936635i</v>
      </c>
      <c r="R274" s="18">
        <f t="shared" si="218"/>
        <v>15.931292741445368</v>
      </c>
      <c r="S274" s="18">
        <f t="shared" si="219"/>
        <v>1.5079854894976203</v>
      </c>
      <c r="T274" s="18" t="str">
        <f t="shared" si="208"/>
        <v>1+0.0228128669909085i</v>
      </c>
      <c r="U274" s="18">
        <f t="shared" si="220"/>
        <v>1.0002601796034594</v>
      </c>
      <c r="V274" s="18">
        <f t="shared" si="221"/>
        <v>2.2808910749643651E-2</v>
      </c>
      <c r="W274" s="32" t="str">
        <f t="shared" si="209"/>
        <v>1-0.0102455420391122i</v>
      </c>
      <c r="X274" s="18">
        <f t="shared" si="222"/>
        <v>1.0000524841885425</v>
      </c>
      <c r="Y274" s="18">
        <f t="shared" si="223"/>
        <v>-1.0245183566308682E-2</v>
      </c>
      <c r="Z274" s="32" t="str">
        <f t="shared" si="210"/>
        <v>0.999986817432614+0.00559179738285849i</v>
      </c>
      <c r="AA274" s="18">
        <f t="shared" si="224"/>
        <v>1.0000024516154842</v>
      </c>
      <c r="AB274" s="18">
        <f t="shared" si="225"/>
        <v>5.5918128150553564E-3</v>
      </c>
      <c r="AC274" s="68" t="str">
        <f t="shared" si="226"/>
        <v>0.0926217320605378-1.32513173278343i</v>
      </c>
      <c r="AD274" s="66">
        <f t="shared" si="227"/>
        <v>2.4663468136205093</v>
      </c>
      <c r="AE274" s="63">
        <f t="shared" si="228"/>
        <v>-86.001742846754141</v>
      </c>
      <c r="AF274" s="51" t="e">
        <f t="shared" si="229"/>
        <v>#NUM!</v>
      </c>
      <c r="AG274" s="51" t="str">
        <f t="shared" si="211"/>
        <v>1-9.77694299610366i</v>
      </c>
      <c r="AH274" s="51">
        <f t="shared" si="230"/>
        <v>9.8279506688353084</v>
      </c>
      <c r="AI274" s="51">
        <f t="shared" si="231"/>
        <v>-1.4688693173933605</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-0.000133283554228113</v>
      </c>
      <c r="AT274" s="32" t="str">
        <f t="shared" si="215"/>
        <v>0.00139386617314451i</v>
      </c>
      <c r="AU274" s="32">
        <f t="shared" si="239"/>
        <v>1.3938661731445099E-3</v>
      </c>
      <c r="AV274" s="32">
        <f t="shared" si="240"/>
        <v>1.5707963267948966</v>
      </c>
      <c r="AW274" s="32" t="str">
        <f t="shared" si="216"/>
        <v>1+0.24370716980459i</v>
      </c>
      <c r="AX274" s="32">
        <f t="shared" si="241"/>
        <v>1.0292682763080592</v>
      </c>
      <c r="AY274" s="32">
        <f t="shared" si="242"/>
        <v>0.239047286481923</v>
      </c>
      <c r="AZ274" s="32" t="str">
        <f t="shared" si="217"/>
        <v>1+3.63183123781962i</v>
      </c>
      <c r="BA274" s="32">
        <f t="shared" si="243"/>
        <v>3.766987939986322</v>
      </c>
      <c r="BB274" s="32">
        <f t="shared" si="244"/>
        <v>1.3021110825134881</v>
      </c>
      <c r="BC274" s="60" t="str">
        <f t="shared" si="245"/>
        <v>-0.30581417885762+0.170150593633045i</v>
      </c>
      <c r="BD274" s="51">
        <f t="shared" si="246"/>
        <v>-9.1195774143699655</v>
      </c>
      <c r="BE274" s="63">
        <f t="shared" si="247"/>
        <v>150.90906886576485</v>
      </c>
      <c r="BF274" s="60" t="str">
        <f t="shared" si="248"/>
        <v>0.197146912040622+0.421003715432761i</v>
      </c>
      <c r="BG274" s="66">
        <f t="shared" si="249"/>
        <v>-6.6532306007494588</v>
      </c>
      <c r="BH274" s="63">
        <f t="shared" si="250"/>
        <v>64.907326019010753</v>
      </c>
      <c r="BI274" s="60" t="e">
        <f t="shared" si="255"/>
        <v>#NUM!</v>
      </c>
      <c r="BJ274" s="66" t="e">
        <f t="shared" si="251"/>
        <v>#NUM!</v>
      </c>
      <c r="BK274" s="63" t="e">
        <f t="shared" si="256"/>
        <v>#NUM!</v>
      </c>
      <c r="BL274" s="51">
        <f t="shared" si="252"/>
        <v>-6.6532306007494588</v>
      </c>
      <c r="BM274" s="63">
        <f t="shared" si="253"/>
        <v>64.907326019010753</v>
      </c>
    </row>
    <row r="275" spans="14:65" x14ac:dyDescent="0.3">
      <c r="N275" s="11">
        <v>57</v>
      </c>
      <c r="O275" s="52">
        <f t="shared" si="254"/>
        <v>3715.352290971724</v>
      </c>
      <c r="P275" s="50" t="str">
        <f t="shared" ref="P275:P338" si="257">COMPLEX(Adc,0)</f>
        <v>21.1560044893378</v>
      </c>
      <c r="Q275" s="18" t="str">
        <f t="shared" ref="Q275:Q338" si="258">IMSUM(COMPLEX(1,0),IMDIV(COMPLEX(0,2*PI()*O275),COMPLEX(wp_lf,0)))</f>
        <v>1+16.2702327057419i</v>
      </c>
      <c r="R275" s="18">
        <f t="shared" si="218"/>
        <v>16.300934706298083</v>
      </c>
      <c r="S275" s="18">
        <f t="shared" si="219"/>
        <v>1.5094116081780677</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1-0.0104841913707413i</v>
      </c>
      <c r="X275" s="18">
        <f t="shared" si="222"/>
        <v>1.0000549576241788</v>
      </c>
      <c r="Y275" s="18">
        <f t="shared" si="223"/>
        <v>-1.0483807261351974E-2</v>
      </c>
      <c r="Z275" s="32" t="str">
        <f t="shared" ref="Z275:Z338" si="261">IMSUM(COMPLEX(1,0),IMDIV(COMPLEX(0,2*PI()*O275),COMPLEX(Q*(wsl/2),0)),IMDIV(IMPOWER(COMPLEX(0,2*PI()*O275),2),IMPOWER(COMPLEX(wsl/2,0),2)))</f>
        <v>0.999986196157354+0.00572204707613295i</v>
      </c>
      <c r="AA275" s="18">
        <f t="shared" si="224"/>
        <v>1.0000025671607027</v>
      </c>
      <c r="AB275" s="18">
        <f t="shared" si="225"/>
        <v>5.7220636120177042E-3</v>
      </c>
      <c r="AC275" s="68" t="str">
        <f t="shared" si="226"/>
        <v>0.0888858074016608-1.29521518981799i</v>
      </c>
      <c r="AD275" s="66">
        <f t="shared" si="227"/>
        <v>2.2672439577453889</v>
      </c>
      <c r="AE275" s="63">
        <f t="shared" si="228"/>
        <v>-86.074158760345085</v>
      </c>
      <c r="AF275" s="51" t="e">
        <f t="shared" si="229"/>
        <v>#NUM!</v>
      </c>
      <c r="AG275" s="51" t="str">
        <f t="shared" ref="AG275:AG338" si="262">IMSUM(COMPLEX(1,0),IMDIV(COMPLEX(0,2*PI()*O275),COMPLEX(wp_lf_DCM,0)))</f>
        <v>1-10.0046772538413i</v>
      </c>
      <c r="AH275" s="51">
        <f t="shared" si="230"/>
        <v>10.05452967341235</v>
      </c>
      <c r="AI275" s="51">
        <f t="shared" si="231"/>
        <v>-1.4711739623119555</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-0.000133283554228113</v>
      </c>
      <c r="AT275" s="32" t="str">
        <f t="shared" ref="AT275:AT338" si="266">COMPLEX(0,2*PI()*O275*wp0_ea)</f>
        <v>0.00142633348715597i</v>
      </c>
      <c r="AU275" s="32">
        <f t="shared" si="239"/>
        <v>1.42633348715597E-3</v>
      </c>
      <c r="AV275" s="32">
        <f t="shared" si="240"/>
        <v>1.5707963267948966</v>
      </c>
      <c r="AW275" s="32" t="str">
        <f t="shared" ref="AW275:AW338" si="267">IMSUM(COMPLEX(1,0),IMDIV(COMPLEX(0,2*PI()*O275),COMPLEX(wp1_ea,0)))</f>
        <v>1+0.249383839029613i</v>
      </c>
      <c r="AX275" s="32">
        <f t="shared" si="241"/>
        <v>1.0306271387699568</v>
      </c>
      <c r="AY275" s="32">
        <f t="shared" si="242"/>
        <v>0.24439866289658563</v>
      </c>
      <c r="AZ275" s="32" t="str">
        <f t="shared" ref="AZ275:AZ338" si="268">IMSUM(COMPLEX(1,0),IMDIV(COMPLEX(0,2*PI()*O275),COMPLEX(wz_ea,0)))</f>
        <v>1+3.71642745480716i</v>
      </c>
      <c r="BA275" s="32">
        <f t="shared" si="243"/>
        <v>3.8486144294855547</v>
      </c>
      <c r="BB275" s="32">
        <f t="shared" si="244"/>
        <v>1.3079462694467086</v>
      </c>
      <c r="BC275" s="60" t="str">
        <f t="shared" si="245"/>
        <v>-0.305008290018255+0.16950901316916i</v>
      </c>
      <c r="BD275" s="51">
        <f t="shared" si="246"/>
        <v>-9.1448336725811892</v>
      </c>
      <c r="BE275" s="63">
        <f t="shared" si="247"/>
        <v>150.93678916656236</v>
      </c>
      <c r="BF275" s="60" t="str">
        <f t="shared" si="248"/>
        <v>0.192439740545281+0.410118315749454i</v>
      </c>
      <c r="BG275" s="66">
        <f t="shared" si="249"/>
        <v>-6.8775897148358069</v>
      </c>
      <c r="BH275" s="63">
        <f t="shared" si="250"/>
        <v>64.862630406217306</v>
      </c>
      <c r="BI275" s="60" t="e">
        <f t="shared" si="255"/>
        <v>#NUM!</v>
      </c>
      <c r="BJ275" s="66" t="e">
        <f t="shared" si="251"/>
        <v>#NUM!</v>
      </c>
      <c r="BK275" s="63" t="e">
        <f t="shared" si="256"/>
        <v>#NUM!</v>
      </c>
      <c r="BL275" s="51">
        <f t="shared" si="252"/>
        <v>-6.8775897148358069</v>
      </c>
      <c r="BM275" s="63">
        <f t="shared" si="253"/>
        <v>64.862630406217306</v>
      </c>
    </row>
    <row r="276" spans="14:65" x14ac:dyDescent="0.3">
      <c r="N276" s="11">
        <v>58</v>
      </c>
      <c r="O276" s="52">
        <f t="shared" si="254"/>
        <v>3801.8939632056172</v>
      </c>
      <c r="P276" s="50" t="str">
        <f t="shared" si="257"/>
        <v>21.1560044893378</v>
      </c>
      <c r="Q276" s="18" t="str">
        <f t="shared" si="258"/>
        <v>1+16.6492151105628i</v>
      </c>
      <c r="R276" s="18">
        <f t="shared" ref="R276:R339" si="269">IMABS(Q276)</f>
        <v>16.679219520043276</v>
      </c>
      <c r="S276" s="18">
        <f t="shared" ref="S276:S339" si="270">IMARGUMENT(Q276)</f>
        <v>1.5108055060512802</v>
      </c>
      <c r="T276" s="18" t="str">
        <f t="shared" si="259"/>
        <v>1+0.0238880042890683i</v>
      </c>
      <c r="U276" s="18">
        <f t="shared" ref="U276:U339" si="271">IMABS(T276)</f>
        <v>1.0002852776827791</v>
      </c>
      <c r="V276" s="18">
        <f t="shared" ref="V276:V339" si="272">IMARGUMENT(T276)</f>
        <v>2.3883462053111773E-2</v>
      </c>
      <c r="W276" s="32" t="str">
        <f t="shared" si="260"/>
        <v>1-0.01072839955941i</v>
      </c>
      <c r="X276" s="18">
        <f t="shared" ref="X276:X339" si="273">IMABS(W276)</f>
        <v>1.0000575476226887</v>
      </c>
      <c r="Y276" s="18">
        <f t="shared" ref="Y276:Y339" si="274">IMARGUMENT(W276)</f>
        <v>-1.0727987980063157E-2</v>
      </c>
      <c r="Z276" s="32" t="str">
        <f t="shared" si="261"/>
        <v>0.999985545602293+0.00585533067450743i</v>
      </c>
      <c r="AA276" s="18">
        <f t="shared" ref="AA276:AA339" si="275">IMABS(Z276)</f>
        <v>1.0000026881517985</v>
      </c>
      <c r="AB276" s="18">
        <f t="shared" ref="AB276:AB339" si="276">IMARGUMENT(Z276)</f>
        <v>5.8553483930135859E-3</v>
      </c>
      <c r="AC276" s="68" t="str">
        <f t="shared" ref="AC276:AC339" si="277">(IMDIV(IMPRODUCT(P276,T276,W276),IMPRODUCT(Q276,Z276)))</f>
        <v>0.0853167810718269-1.26596478747048i</v>
      </c>
      <c r="AD276" s="66">
        <f t="shared" ref="AD276:AD339" si="278">20*LOG(IMABS(AC276))</f>
        <v>2.0681125442512585</v>
      </c>
      <c r="AE276" s="63">
        <f t="shared" ref="AE276:AE339" si="279">(180/PI())*IMARGUMENT(AC276)</f>
        <v>-86.144512770483843</v>
      </c>
      <c r="AF276" s="51" t="e">
        <f t="shared" ref="AF276:AF339" si="280">COMPLEX($B$68,0)</f>
        <v>#NUM!</v>
      </c>
      <c r="AG276" s="51" t="str">
        <f t="shared" si="262"/>
        <v>1-10.2377161238864i</v>
      </c>
      <c r="AH276" s="51">
        <f t="shared" ref="AH276:AH339" si="281">IMABS(AG276)</f>
        <v>10.286439200874305</v>
      </c>
      <c r="AI276" s="51">
        <f t="shared" ref="AI276:AI339" si="282">IMARGUMENT(AG276)</f>
        <v>-1.4734271735552833</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-0.000133283554228113</v>
      </c>
      <c r="AT276" s="32" t="str">
        <f t="shared" si="266"/>
        <v>0.00145955706206207i</v>
      </c>
      <c r="AU276" s="32">
        <f t="shared" ref="AU276:AU339" si="290">IMABS(AT276)</f>
        <v>1.4595570620620701E-3</v>
      </c>
      <c r="AV276" s="32">
        <f t="shared" ref="AV276:AV339" si="291">IMARGUMENT(AT276)</f>
        <v>1.5707963267948966</v>
      </c>
      <c r="AW276" s="32" t="str">
        <f t="shared" si="267"/>
        <v>1+0.255192734867074i</v>
      </c>
      <c r="AX276" s="32">
        <f t="shared" ref="AX276:AX339" si="292">IMABS(AW276)</f>
        <v>1.0320481248124707</v>
      </c>
      <c r="AY276" s="32">
        <f t="shared" ref="AY276:AY339" si="293">IMARGUMENT(AW276)</f>
        <v>0.2498599401437771</v>
      </c>
      <c r="AZ276" s="32" t="str">
        <f t="shared" si="268"/>
        <v>1+3.80299417082396i</v>
      </c>
      <c r="BA276" s="32">
        <f t="shared" ref="BA276:BA339" si="294">IMABS(AZ276)</f>
        <v>3.9322722010716675</v>
      </c>
      <c r="BB276" s="32">
        <f t="shared" ref="BB276:BB339" si="295">IMARGUMENT(AZ276)</f>
        <v>1.3136663920041722</v>
      </c>
      <c r="BC276" s="60" t="str">
        <f t="shared" ref="BC276:BC339" si="296">IMPRODUCT(AS276,IMDIV(AZ276,IMPRODUCT(AT276,AW276)))</f>
        <v>-0.304168960653052+0.168939518759834i</v>
      </c>
      <c r="BD276" s="51">
        <f t="shared" ref="BD276:BD339" si="297">20*LOG(IMABS(BC276))</f>
        <v>-9.1700177840923196</v>
      </c>
      <c r="BE276" s="63">
        <f t="shared" ref="BE276:BE339" si="298">(180/PI())*IMARGUMENT(BC276)</f>
        <v>150.95161991038762</v>
      </c>
      <c r="BF276" s="60" t="str">
        <f t="shared" ref="BF276:BF339" si="299">IMPRODUCT(AC276,BC276)</f>
        <v>0.187920765337277+0.39948056956467i</v>
      </c>
      <c r="BG276" s="66">
        <f t="shared" ref="BG276:BG339" si="300">20*LOG(IMABS(BF276))</f>
        <v>-7.1019052398410674</v>
      </c>
      <c r="BH276" s="63">
        <f t="shared" ref="BH276:BH339" si="301">(180/PI())*IMARGUMENT(BF276)</f>
        <v>64.807107139903735</v>
      </c>
      <c r="BI276" s="60" t="e">
        <f t="shared" si="255"/>
        <v>#NUM!</v>
      </c>
      <c r="BJ276" s="66" t="e">
        <f t="shared" ref="BJ276:BJ339" si="302">20*LOG(IMABS(BI276))</f>
        <v>#NUM!</v>
      </c>
      <c r="BK276" s="63" t="e">
        <f t="shared" si="256"/>
        <v>#NUM!</v>
      </c>
      <c r="BL276" s="51">
        <f t="shared" ref="BL276:BL339" si="303">IF($B$31=0,BJ276,BG276)</f>
        <v>-7.1019052398410674</v>
      </c>
      <c r="BM276" s="63">
        <f t="shared" ref="BM276:BM339" si="304">IF($B$31=0,BK276,BH276)</f>
        <v>64.807107139903735</v>
      </c>
    </row>
    <row r="277" spans="14:65" x14ac:dyDescent="0.3">
      <c r="N277" s="11">
        <v>59</v>
      </c>
      <c r="O277" s="52">
        <f t="shared" si="254"/>
        <v>3890.451449942811</v>
      </c>
      <c r="P277" s="50" t="str">
        <f t="shared" si="257"/>
        <v>21.1560044893378</v>
      </c>
      <c r="Q277" s="18" t="str">
        <f t="shared" si="258"/>
        <v>1+17.0370251496137i</v>
      </c>
      <c r="R277" s="18">
        <f t="shared" si="269"/>
        <v>17.066347762440849</v>
      </c>
      <c r="S277" s="18">
        <f t="shared" si="270"/>
        <v>1.5121679005019186</v>
      </c>
      <c r="T277" s="18" t="str">
        <f t="shared" si="259"/>
        <v>1+0.0244444273885762i</v>
      </c>
      <c r="U277" s="18">
        <f t="shared" si="271"/>
        <v>1.0002987203982394</v>
      </c>
      <c r="V277" s="18">
        <f t="shared" si="272"/>
        <v>2.4439560373556487E-2</v>
      </c>
      <c r="W277" s="32" t="str">
        <f t="shared" si="260"/>
        <v>1-0.0109782960875322i</v>
      </c>
      <c r="X277" s="18">
        <f t="shared" si="273"/>
        <v>1.0000602596768784</v>
      </c>
      <c r="Y277" s="18">
        <f t="shared" si="274"/>
        <v>-1.0977855073751631E-2</v>
      </c>
      <c r="Z277" s="32" t="str">
        <f t="shared" si="261"/>
        <v>0.999984864387516+0.00599171884670999i</v>
      </c>
      <c r="AA277" s="18">
        <f t="shared" si="275"/>
        <v>1.0000028148454667</v>
      </c>
      <c r="AB277" s="18">
        <f t="shared" si="276"/>
        <v>5.9917378324161564E-3</v>
      </c>
      <c r="AC277" s="68" t="str">
        <f t="shared" si="277"/>
        <v>0.0819072492909398-1.23736638194367i</v>
      </c>
      <c r="AD277" s="66">
        <f t="shared" si="278"/>
        <v>1.8689543979223002</v>
      </c>
      <c r="AE277" s="63">
        <f t="shared" si="279"/>
        <v>-86.212841004937161</v>
      </c>
      <c r="AF277" s="51" t="e">
        <f t="shared" si="280"/>
        <v>#NUM!</v>
      </c>
      <c r="AG277" s="51" t="str">
        <f t="shared" si="262"/>
        <v>1-10.4761831665327i</v>
      </c>
      <c r="AH277" s="51">
        <f t="shared" si="281"/>
        <v>10.523802247227145</v>
      </c>
      <c r="AI277" s="51">
        <f t="shared" si="282"/>
        <v>-1.4756300542397973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-0.000133283554228113</v>
      </c>
      <c r="AT277" s="32" t="str">
        <f t="shared" si="266"/>
        <v>0.001493554513442i</v>
      </c>
      <c r="AU277" s="32">
        <f t="shared" si="290"/>
        <v>1.4935545134420001E-3</v>
      </c>
      <c r="AV277" s="32">
        <f t="shared" si="291"/>
        <v>1.5707963267948966</v>
      </c>
      <c r="AW277" s="32" t="str">
        <f t="shared" si="267"/>
        <v>1+0.261136937270438i</v>
      </c>
      <c r="AX277" s="32">
        <f t="shared" si="292"/>
        <v>1.0335339858983761</v>
      </c>
      <c r="AY277" s="32">
        <f t="shared" si="293"/>
        <v>0.2554327102260911</v>
      </c>
      <c r="AZ277" s="32" t="str">
        <f t="shared" si="268"/>
        <v>1+3.89157728468872i</v>
      </c>
      <c r="BA277" s="32">
        <f t="shared" si="294"/>
        <v>4.0180061924672579</v>
      </c>
      <c r="BB277" s="32">
        <f t="shared" si="295"/>
        <v>1.319272985165296</v>
      </c>
      <c r="BC277" s="60" t="str">
        <f t="shared" si="296"/>
        <v>-0.303295011749308+0.168440693158783i</v>
      </c>
      <c r="BD277" s="51">
        <f t="shared" si="297"/>
        <v>-9.1951734729351049</v>
      </c>
      <c r="BE277" s="63">
        <f t="shared" si="298"/>
        <v>150.95355783005351</v>
      </c>
      <c r="BF277" s="60" t="str">
        <f t="shared" si="299"/>
        <v>0.183580790929918+0.389083565195099i</v>
      </c>
      <c r="BG277" s="66">
        <f t="shared" si="300"/>
        <v>-7.3262190750128111</v>
      </c>
      <c r="BH277" s="63">
        <f t="shared" si="301"/>
        <v>64.740716825116365</v>
      </c>
      <c r="BI277" s="60" t="e">
        <f t="shared" si="255"/>
        <v>#NUM!</v>
      </c>
      <c r="BJ277" s="66" t="e">
        <f t="shared" si="302"/>
        <v>#NUM!</v>
      </c>
      <c r="BK277" s="63" t="e">
        <f t="shared" si="256"/>
        <v>#NUM!</v>
      </c>
      <c r="BL277" s="51">
        <f t="shared" si="303"/>
        <v>-7.3262190750128111</v>
      </c>
      <c r="BM277" s="63">
        <f t="shared" si="304"/>
        <v>64.740716825116365</v>
      </c>
    </row>
    <row r="278" spans="14:65" x14ac:dyDescent="0.3">
      <c r="N278" s="11">
        <v>60</v>
      </c>
      <c r="O278" s="52">
        <f t="shared" si="254"/>
        <v>3981.0717055349769</v>
      </c>
      <c r="P278" s="50" t="str">
        <f t="shared" si="257"/>
        <v>21.1560044893378</v>
      </c>
      <c r="Q278" s="18" t="str">
        <f t="shared" si="258"/>
        <v>1+17.4338684449107i</v>
      </c>
      <c r="R278" s="18">
        <f t="shared" si="269"/>
        <v>17.462524701613255</v>
      </c>
      <c r="S278" s="18">
        <f t="shared" si="270"/>
        <v>1.5134994936479946</v>
      </c>
      <c r="T278" s="18" t="str">
        <f t="shared" si="259"/>
        <v>1+0.0250138112470457i</v>
      </c>
      <c r="U278" s="18">
        <f t="shared" si="271"/>
        <v>1.0003127964557401</v>
      </c>
      <c r="V278" s="18">
        <f t="shared" si="272"/>
        <v>2.5008596234564421E-2</v>
      </c>
      <c r="W278" s="32" t="str">
        <f t="shared" si="260"/>
        <v>1-0.0112340134535548i</v>
      </c>
      <c r="X278" s="18">
        <f t="shared" si="273"/>
        <v>1.0000630995383615</v>
      </c>
      <c r="Y278" s="18">
        <f t="shared" si="274"/>
        <v>-1.1233540900385365E-2</v>
      </c>
      <c r="Z278" s="32" t="str">
        <f t="shared" si="261"/>
        <v>0.999984151068075+0.00613128390755484i</v>
      </c>
      <c r="AA278" s="18">
        <f t="shared" si="275"/>
        <v>1.000002947510503</v>
      </c>
      <c r="AB278" s="18">
        <f t="shared" si="276"/>
        <v>6.1313042510884232E-3</v>
      </c>
      <c r="AC278" s="68" t="str">
        <f t="shared" si="277"/>
        <v>0.0786501320297247-1.20940608507689i</v>
      </c>
      <c r="AD278" s="66">
        <f t="shared" si="278"/>
        <v>1.6697712883044042</v>
      </c>
      <c r="AE278" s="63">
        <f t="shared" si="279"/>
        <v>-86.279178604507592</v>
      </c>
      <c r="AF278" s="51" t="e">
        <f t="shared" si="280"/>
        <v>#NUM!</v>
      </c>
      <c r="AG278" s="51" t="str">
        <f t="shared" si="262"/>
        <v>1-10.7202048201625i</v>
      </c>
      <c r="AH278" s="51">
        <f t="shared" si="281"/>
        <v>10.766744697736419</v>
      </c>
      <c r="AI278" s="51">
        <f t="shared" si="282"/>
        <v>-1.4777836867958811</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-0.000133283554228113</v>
      </c>
      <c r="AT278" s="32" t="str">
        <f t="shared" si="266"/>
        <v>0.00152834386719449i</v>
      </c>
      <c r="AU278" s="32">
        <f t="shared" si="290"/>
        <v>1.52834386719449E-3</v>
      </c>
      <c r="AV278" s="32">
        <f t="shared" si="291"/>
        <v>1.5707963267948966</v>
      </c>
      <c r="AW278" s="32" t="str">
        <f t="shared" si="267"/>
        <v>1+0.267219597934497i</v>
      </c>
      <c r="AX278" s="32">
        <f t="shared" si="292"/>
        <v>1.0350875873665351</v>
      </c>
      <c r="AY278" s="32">
        <f t="shared" si="293"/>
        <v>0.26111854278655616</v>
      </c>
      <c r="AZ278" s="32" t="str">
        <f t="shared" si="268"/>
        <v>1+3.98222376434092i</v>
      </c>
      <c r="BA278" s="32">
        <f t="shared" si="294"/>
        <v>4.1058624074951133</v>
      </c>
      <c r="BB278" s="32">
        <f t="shared" si="295"/>
        <v>1.3247676111356359</v>
      </c>
      <c r="BC278" s="60" t="str">
        <f t="shared" si="296"/>
        <v>-0.302385241482908+0.1680110940089i</v>
      </c>
      <c r="BD278" s="51">
        <f t="shared" si="297"/>
        <v>-9.2203444455296832</v>
      </c>
      <c r="BE278" s="63">
        <f t="shared" si="298"/>
        <v>150.94260249942437</v>
      </c>
      <c r="BF278" s="60" t="str">
        <f t="shared" si="299"/>
        <v>0.179411000288318+0.378920645813132i</v>
      </c>
      <c r="BG278" s="66">
        <f t="shared" si="300"/>
        <v>-7.5505731572252852</v>
      </c>
      <c r="BH278" s="63">
        <f t="shared" si="301"/>
        <v>64.663423894916775</v>
      </c>
      <c r="BI278" s="60" t="e">
        <f t="shared" si="255"/>
        <v>#NUM!</v>
      </c>
      <c r="BJ278" s="66" t="e">
        <f t="shared" si="302"/>
        <v>#NUM!</v>
      </c>
      <c r="BK278" s="63" t="e">
        <f t="shared" si="256"/>
        <v>#NUM!</v>
      </c>
      <c r="BL278" s="51">
        <f t="shared" si="303"/>
        <v>-7.5505731572252852</v>
      </c>
      <c r="BM278" s="63">
        <f t="shared" si="304"/>
        <v>64.663423894916775</v>
      </c>
    </row>
    <row r="279" spans="14:65" x14ac:dyDescent="0.3">
      <c r="N279" s="11">
        <v>61</v>
      </c>
      <c r="O279" s="52">
        <f t="shared" si="254"/>
        <v>4073.8027780411317</v>
      </c>
      <c r="P279" s="50" t="str">
        <f t="shared" si="257"/>
        <v>21.1560044893378</v>
      </c>
      <c r="Q279" s="18" t="str">
        <f t="shared" si="258"/>
        <v>1+17.8399554080217i</v>
      </c>
      <c r="R279" s="18">
        <f t="shared" si="269"/>
        <v>17.8679604029168</v>
      </c>
      <c r="S279" s="18">
        <f t="shared" si="270"/>
        <v>1.5148009726183236</v>
      </c>
      <c r="T279" s="18" t="str">
        <f t="shared" si="259"/>
        <v>1+0.0255964577593354i</v>
      </c>
      <c r="U279" s="18">
        <f t="shared" si="271"/>
        <v>1.0003275356851002</v>
      </c>
      <c r="V279" s="18">
        <f t="shared" si="272"/>
        <v>2.5590869871598129E-2</v>
      </c>
      <c r="W279" s="32" t="str">
        <f t="shared" si="260"/>
        <v>1-0.0114956872422104i</v>
      </c>
      <c r="X279" s="18">
        <f t="shared" si="273"/>
        <v>1.0000660732297495</v>
      </c>
      <c r="Y279" s="18">
        <f t="shared" si="274"/>
        <v>-1.1495180894173392E-2</v>
      </c>
      <c r="Z279" s="32" t="str">
        <f t="shared" si="261"/>
        <v>0.999983404130926+0.00627409985628464i</v>
      </c>
      <c r="AA279" s="18">
        <f t="shared" si="275"/>
        <v>1.0000030864283778</v>
      </c>
      <c r="AB279" s="18">
        <f t="shared" si="276"/>
        <v>6.2741216547544179E-3</v>
      </c>
      <c r="AC279" s="68" t="str">
        <f t="shared" si="277"/>
        <v>0.0755386592601015-1.18207026287947i</v>
      </c>
      <c r="AD279" s="66">
        <f t="shared" si="278"/>
        <v>1.4705649333241735</v>
      </c>
      <c r="AE279" s="63">
        <f t="shared" si="279"/>
        <v>-86.343559736575685</v>
      </c>
      <c r="AF279" s="51" t="e">
        <f t="shared" si="280"/>
        <v>#NUM!</v>
      </c>
      <c r="AG279" s="51" t="str">
        <f t="shared" si="262"/>
        <v>1-10.9699104682866i</v>
      </c>
      <c r="AH279" s="51">
        <f t="shared" si="281"/>
        <v>11.0153953938215</v>
      </c>
      <c r="AI279" s="51">
        <f t="shared" si="282"/>
        <v>-1.4798891331532915</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-0.000133283554228113</v>
      </c>
      <c r="AT279" s="32" t="str">
        <f t="shared" si="266"/>
        <v>0.00156394356909539i</v>
      </c>
      <c r="AU279" s="32">
        <f t="shared" si="290"/>
        <v>1.5639435690953901E-3</v>
      </c>
      <c r="AV279" s="32">
        <f t="shared" si="291"/>
        <v>1.5707963267948966</v>
      </c>
      <c r="AW279" s="32" t="str">
        <f t="shared" si="267"/>
        <v>1+0.273443941966452i</v>
      </c>
      <c r="AX279" s="32">
        <f t="shared" si="292"/>
        <v>1.0367119124415194</v>
      </c>
      <c r="AY279" s="32">
        <f t="shared" si="293"/>
        <v>0.26691898139768877</v>
      </c>
      <c r="AZ279" s="32" t="str">
        <f t="shared" si="268"/>
        <v>1+4.07498167174395i</v>
      </c>
      <c r="BA279" s="32">
        <f t="shared" si="294"/>
        <v>4.1958879423846778</v>
      </c>
      <c r="BB279" s="32">
        <f t="shared" si="295"/>
        <v>1.3301518555744116</v>
      </c>
      <c r="BC279" s="60" t="str">
        <f t="shared" si="296"/>
        <v>-0.301438426579139+0.16764925038634i</v>
      </c>
      <c r="BD279" s="51">
        <f t="shared" si="297"/>
        <v>-9.2455744177711612</v>
      </c>
      <c r="BE279" s="63">
        <f t="shared" si="298"/>
        <v>150.91875632989024</v>
      </c>
      <c r="BF279" s="60" t="str">
        <f t="shared" si="299"/>
        <v>0.175402938882464+0.368985399748522i</v>
      </c>
      <c r="BG279" s="66">
        <f t="shared" si="300"/>
        <v>-7.7750094844469864</v>
      </c>
      <c r="BH279" s="63">
        <f t="shared" si="301"/>
        <v>64.575196593314615</v>
      </c>
      <c r="BI279" s="60" t="e">
        <f t="shared" si="255"/>
        <v>#NUM!</v>
      </c>
      <c r="BJ279" s="66" t="e">
        <f t="shared" si="302"/>
        <v>#NUM!</v>
      </c>
      <c r="BK279" s="63" t="e">
        <f t="shared" si="256"/>
        <v>#NUM!</v>
      </c>
      <c r="BL279" s="51">
        <f t="shared" si="303"/>
        <v>-7.7750094844469864</v>
      </c>
      <c r="BM279" s="63">
        <f t="shared" si="304"/>
        <v>64.575196593314615</v>
      </c>
    </row>
    <row r="280" spans="14:65" x14ac:dyDescent="0.3">
      <c r="N280" s="11">
        <v>62</v>
      </c>
      <c r="O280" s="52">
        <f t="shared" si="254"/>
        <v>4168.6938347033583</v>
      </c>
      <c r="P280" s="50" t="str">
        <f t="shared" si="257"/>
        <v>21.1560044893378</v>
      </c>
      <c r="Q280" s="18" t="str">
        <f t="shared" si="258"/>
        <v>1+18.2555013516298i</v>
      </c>
      <c r="R280" s="18">
        <f t="shared" si="269"/>
        <v>18.282869840354866</v>
      </c>
      <c r="S280" s="18">
        <f t="shared" si="270"/>
        <v>1.5160730098282451</v>
      </c>
      <c r="T280" s="18" t="str">
        <f t="shared" si="259"/>
        <v>1+0.0261926758523383i</v>
      </c>
      <c r="U280" s="18">
        <f t="shared" si="271"/>
        <v>1.0003429693201755</v>
      </c>
      <c r="V280" s="18">
        <f t="shared" si="272"/>
        <v>2.6186688433618079E-2</v>
      </c>
      <c r="W280" s="32" t="str">
        <f t="shared" si="260"/>
        <v>1-0.0117634561964052i</v>
      </c>
      <c r="X280" s="18">
        <f t="shared" si="273"/>
        <v>1.0000691870574179</v>
      </c>
      <c r="Y280" s="18">
        <f t="shared" si="274"/>
        <v>-1.1762913636735615E-2</v>
      </c>
      <c r="Z280" s="32" t="str">
        <f t="shared" si="261"/>
        <v>0.999982621991713+0.00642024241580577i</v>
      </c>
      <c r="AA280" s="18">
        <f t="shared" si="275"/>
        <v>1.0000032318938268</v>
      </c>
      <c r="AB280" s="18">
        <f t="shared" si="276"/>
        <v>6.4202657732654305E-3</v>
      </c>
      <c r="AC280" s="68" t="str">
        <f t="shared" si="277"/>
        <v>0.0725663577531807-1.15534553381733i</v>
      </c>
      <c r="AD280" s="66">
        <f t="shared" si="278"/>
        <v>1.2713370028074329</v>
      </c>
      <c r="AE280" s="63">
        <f t="shared" si="279"/>
        <v>-86.40601760850609</v>
      </c>
      <c r="AF280" s="51" t="e">
        <f t="shared" si="280"/>
        <v>#NUM!</v>
      </c>
      <c r="AG280" s="51" t="str">
        <f t="shared" si="262"/>
        <v>1-11.225432508145i</v>
      </c>
      <c r="AH280" s="51">
        <f t="shared" si="281"/>
        <v>11.269886201507031</v>
      </c>
      <c r="AI280" s="51">
        <f t="shared" si="282"/>
        <v>-1.4819474349403792</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-0.000133283554228113</v>
      </c>
      <c r="AT280" s="32" t="str">
        <f t="shared" si="266"/>
        <v>0.00160037249457787i</v>
      </c>
      <c r="AU280" s="32">
        <f t="shared" si="290"/>
        <v>1.6003724945778701E-3</v>
      </c>
      <c r="AV280" s="32">
        <f t="shared" si="291"/>
        <v>1.5707963267948966</v>
      </c>
      <c r="AW280" s="32" t="str">
        <f t="shared" si="267"/>
        <v>1+0.279813269595896i</v>
      </c>
      <c r="AX280" s="32">
        <f t="shared" si="292"/>
        <v>1.0384100663234854</v>
      </c>
      <c r="AY280" s="32">
        <f t="shared" si="293"/>
        <v>0.27283553964457052</v>
      </c>
      <c r="AZ280" s="32" t="str">
        <f t="shared" si="268"/>
        <v>1+4.16990018836811i</v>
      </c>
      <c r="BA280" s="32">
        <f t="shared" si="294"/>
        <v>4.2881310125685754</v>
      </c>
      <c r="BB280" s="32">
        <f t="shared" si="295"/>
        <v>1.3354273240252763</v>
      </c>
      <c r="BC280" s="60" t="str">
        <f t="shared" si="296"/>
        <v>-0.300453323882963+0.167353659307033i</v>
      </c>
      <c r="BD280" s="51">
        <f t="shared" si="297"/>
        <v>-9.2709071420281202</v>
      </c>
      <c r="BE280" s="63">
        <f t="shared" si="298"/>
        <v>150.88202459028963</v>
      </c>
      <c r="BF280" s="60" t="str">
        <f t="shared" si="299"/>
        <v>0.171548499459344+0.359271651381331i</v>
      </c>
      <c r="BG280" s="66">
        <f t="shared" si="300"/>
        <v>-7.9995701392206904</v>
      </c>
      <c r="BH280" s="63">
        <f t="shared" si="301"/>
        <v>64.476006981783556</v>
      </c>
      <c r="BI280" s="60" t="e">
        <f t="shared" si="255"/>
        <v>#NUM!</v>
      </c>
      <c r="BJ280" s="66" t="e">
        <f t="shared" si="302"/>
        <v>#NUM!</v>
      </c>
      <c r="BK280" s="63" t="e">
        <f t="shared" si="256"/>
        <v>#NUM!</v>
      </c>
      <c r="BL280" s="51">
        <f t="shared" si="303"/>
        <v>-7.9995701392206904</v>
      </c>
      <c r="BM280" s="63">
        <f t="shared" si="304"/>
        <v>64.476006981783556</v>
      </c>
    </row>
    <row r="281" spans="14:65" x14ac:dyDescent="0.3">
      <c r="N281" s="11">
        <v>63</v>
      </c>
      <c r="O281" s="52">
        <f t="shared" si="254"/>
        <v>4265.7951880159299</v>
      </c>
      <c r="P281" s="50" t="str">
        <f t="shared" si="257"/>
        <v>21.1560044893378</v>
      </c>
      <c r="Q281" s="18" t="str">
        <f t="shared" si="258"/>
        <v>1+18.6807266036946i</v>
      </c>
      <c r="R281" s="18">
        <f t="shared" si="269"/>
        <v>18.707473010590796</v>
      </c>
      <c r="S281" s="18">
        <f t="shared" si="270"/>
        <v>1.5173162632533483</v>
      </c>
      <c r="T281" s="18" t="str">
        <f t="shared" si="259"/>
        <v>1+0.0268027816487791i</v>
      </c>
      <c r="U281" s="18">
        <f t="shared" si="271"/>
        <v>1.0003591300648542</v>
      </c>
      <c r="V281" s="18">
        <f t="shared" si="272"/>
        <v>2.6796366138419667E-2</v>
      </c>
      <c r="W281" s="32" t="str">
        <f t="shared" si="260"/>
        <v>1-0.012037462290783i</v>
      </c>
      <c r="X281" s="18">
        <f t="shared" si="273"/>
        <v>1.0000724476248719</v>
      </c>
      <c r="Y281" s="18">
        <f t="shared" si="274"/>
        <v>-1.2036880929897376E-2</v>
      </c>
      <c r="Z281" s="32" t="str">
        <f t="shared" si="261"/>
        <v>0.999981802991414+0.0065697890728377i</v>
      </c>
      <c r="AA281" s="18">
        <f t="shared" si="275"/>
        <v>1.0000033842154838</v>
      </c>
      <c r="AB281" s="18">
        <f t="shared" si="276"/>
        <v>6.5698141007824937E-3</v>
      </c>
      <c r="AC281" s="68" t="str">
        <f t="shared" si="277"/>
        <v>0.0697270384063585-1.12921876687654i</v>
      </c>
      <c r="AD281" s="66">
        <f t="shared" si="278"/>
        <v>1.0720891219078317</v>
      </c>
      <c r="AE281" s="63">
        <f t="shared" si="279"/>
        <v>-86.466584480904089</v>
      </c>
      <c r="AF281" s="51" t="e">
        <f t="shared" si="280"/>
        <v>#NUM!</v>
      </c>
      <c r="AG281" s="51" t="str">
        <f t="shared" si="262"/>
        <v>1-11.4869064209053i</v>
      </c>
      <c r="AH281" s="51">
        <f t="shared" si="281"/>
        <v>11.530352081468953</v>
      </c>
      <c r="AI281" s="51">
        <f t="shared" si="282"/>
        <v>-1.4839596136956821</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-0.000133283554228113</v>
      </c>
      <c r="AT281" s="32" t="str">
        <f t="shared" si="266"/>
        <v>0.0016376499587404i</v>
      </c>
      <c r="AU281" s="32">
        <f t="shared" si="290"/>
        <v>1.6376499587403999E-3</v>
      </c>
      <c r="AV281" s="32">
        <f t="shared" si="291"/>
        <v>1.5707963267948966</v>
      </c>
      <c r="AW281" s="32" t="str">
        <f t="shared" si="267"/>
        <v>1+0.286330957924646i</v>
      </c>
      <c r="AX281" s="32">
        <f t="shared" si="292"/>
        <v>1.0401852803544402</v>
      </c>
      <c r="AY281" s="32">
        <f t="shared" si="293"/>
        <v>0.27886969699874287</v>
      </c>
      <c r="AZ281" s="32" t="str">
        <f t="shared" si="268"/>
        <v>1+4.26702964126728i</v>
      </c>
      <c r="BA281" s="32">
        <f t="shared" si="294"/>
        <v>4.3826409799861059</v>
      </c>
      <c r="BB281" s="32">
        <f t="shared" si="295"/>
        <v>1.3405956385459761</v>
      </c>
      <c r="BC281" s="60" t="str">
        <f t="shared" si="296"/>
        <v>-0.299428672152421+0.167122782206017i</v>
      </c>
      <c r="BD281" s="51">
        <f t="shared" si="297"/>
        <v>-9.2963864337998512</v>
      </c>
      <c r="BE281" s="63">
        <f t="shared" si="298"/>
        <v>150.83241545021005</v>
      </c>
      <c r="BF281" s="60" t="str">
        <f t="shared" si="299"/>
        <v>0.167839907516518+0.349773452588893i</v>
      </c>
      <c r="BG281" s="66">
        <f t="shared" si="300"/>
        <v>-8.2242973118920268</v>
      </c>
      <c r="BH281" s="63">
        <f t="shared" si="301"/>
        <v>64.365830969306003</v>
      </c>
      <c r="BI281" s="60" t="e">
        <f t="shared" si="255"/>
        <v>#NUM!</v>
      </c>
      <c r="BJ281" s="66" t="e">
        <f t="shared" si="302"/>
        <v>#NUM!</v>
      </c>
      <c r="BK281" s="63" t="e">
        <f t="shared" si="256"/>
        <v>#NUM!</v>
      </c>
      <c r="BL281" s="51">
        <f t="shared" si="303"/>
        <v>-8.2242973118920268</v>
      </c>
      <c r="BM281" s="63">
        <f t="shared" si="304"/>
        <v>64.365830969306003</v>
      </c>
    </row>
    <row r="282" spans="14:65" x14ac:dyDescent="0.3">
      <c r="N282" s="11">
        <v>64</v>
      </c>
      <c r="O282" s="52">
        <f t="shared" si="254"/>
        <v>4365.1583224016631</v>
      </c>
      <c r="P282" s="50" t="str">
        <f t="shared" si="257"/>
        <v>21.1560044893378</v>
      </c>
      <c r="Q282" s="18" t="str">
        <f t="shared" si="258"/>
        <v>1+19.1158566242733i</v>
      </c>
      <c r="R282" s="18">
        <f t="shared" si="269"/>
        <v>19.14199504962253</v>
      </c>
      <c r="S282" s="18">
        <f t="shared" si="270"/>
        <v>1.518531376700976</v>
      </c>
      <c r="T282" s="18" t="str">
        <f t="shared" si="259"/>
        <v>1+0.0274270986348268i</v>
      </c>
      <c r="U282" s="18">
        <f t="shared" si="271"/>
        <v>1.0003760521621479</v>
      </c>
      <c r="V282" s="18">
        <f t="shared" si="272"/>
        <v>2.7420224431182551E-2</v>
      </c>
      <c r="W282" s="32" t="str">
        <f t="shared" si="260"/>
        <v>1-0.0123178508070021i</v>
      </c>
      <c r="X282" s="18">
        <f t="shared" si="273"/>
        <v>1.000075861846742</v>
      </c>
      <c r="Y282" s="18">
        <f t="shared" si="274"/>
        <v>-1.2317227870141938E-2</v>
      </c>
      <c r="Z282" s="32" t="str">
        <f t="shared" si="261"/>
        <v>0.99998094539282+0.00672281911899748i</v>
      </c>
      <c r="AA282" s="18">
        <f t="shared" si="275"/>
        <v>1.0000035437165335</v>
      </c>
      <c r="AB282" s="18">
        <f t="shared" si="276"/>
        <v>6.7228459368963954E-3</v>
      </c>
      <c r="AC282" s="68" t="str">
        <f t="shared" si="277"/>
        <v>0.0670147840812749-1.10367707942497i</v>
      </c>
      <c r="AD282" s="66">
        <f t="shared" si="278"/>
        <v>0.87282287444819984</v>
      </c>
      <c r="AE282" s="63">
        <f t="shared" si="279"/>
        <v>-86.525291680709103</v>
      </c>
      <c r="AF282" s="51" t="e">
        <f t="shared" si="280"/>
        <v>#NUM!</v>
      </c>
      <c r="AG282" s="51" t="str">
        <f t="shared" si="262"/>
        <v>1-11.7544708434972i</v>
      </c>
      <c r="AH282" s="51">
        <f t="shared" si="281"/>
        <v>11.796931160714033</v>
      </c>
      <c r="AI282" s="51">
        <f t="shared" si="282"/>
        <v>-1.4859266710905943</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-0.000133283554228113</v>
      </c>
      <c r="AT282" s="32" t="str">
        <f t="shared" si="266"/>
        <v>0.00167579572658792i</v>
      </c>
      <c r="AU282" s="32">
        <f t="shared" si="290"/>
        <v>1.6757957265879199E-3</v>
      </c>
      <c r="AV282" s="32">
        <f t="shared" si="291"/>
        <v>1.5707963267948966</v>
      </c>
      <c r="AW282" s="32" t="str">
        <f t="shared" si="267"/>
        <v>1+0.293000462717325i</v>
      </c>
      <c r="AX282" s="32">
        <f t="shared" si="292"/>
        <v>1.0420409162564426</v>
      </c>
      <c r="AY282" s="32">
        <f t="shared" si="293"/>
        <v>0.28502289448046353</v>
      </c>
      <c r="AZ282" s="32" t="str">
        <f t="shared" si="268"/>
        <v>1+4.36642152976306i</v>
      </c>
      <c r="BA282" s="32">
        <f t="shared" si="294"/>
        <v>4.479468380910661</v>
      </c>
      <c r="BB282" s="32">
        <f t="shared" si="295"/>
        <v>1.3456584345319742</v>
      </c>
      <c r="BC282" s="60" t="str">
        <f t="shared" si="296"/>
        <v>-0.29836319408886+0.166955041401539i</v>
      </c>
      <c r="BD282" s="51">
        <f t="shared" si="297"/>
        <v>-9.3220561977791334</v>
      </c>
      <c r="BE282" s="63">
        <f t="shared" si="298"/>
        <v>150.76994004653051</v>
      </c>
      <c r="BF282" s="60" t="str">
        <f t="shared" si="299"/>
        <v>0.164269707459661+0.340485074710703i</v>
      </c>
      <c r="BG282" s="66">
        <f t="shared" si="300"/>
        <v>-8.4492333233309296</v>
      </c>
      <c r="BH282" s="63">
        <f t="shared" si="301"/>
        <v>64.244648365821419</v>
      </c>
      <c r="BI282" s="60" t="e">
        <f t="shared" si="255"/>
        <v>#NUM!</v>
      </c>
      <c r="BJ282" s="66" t="e">
        <f t="shared" si="302"/>
        <v>#NUM!</v>
      </c>
      <c r="BK282" s="63" t="e">
        <f t="shared" si="256"/>
        <v>#NUM!</v>
      </c>
      <c r="BL282" s="51">
        <f t="shared" si="303"/>
        <v>-8.4492333233309296</v>
      </c>
      <c r="BM282" s="63">
        <f t="shared" si="304"/>
        <v>64.244648365821419</v>
      </c>
    </row>
    <row r="283" spans="14:65" x14ac:dyDescent="0.3">
      <c r="N283" s="11">
        <v>65</v>
      </c>
      <c r="O283" s="52">
        <f t="shared" si="254"/>
        <v>4466.8359215096343</v>
      </c>
      <c r="P283" s="50" t="str">
        <f t="shared" si="257"/>
        <v>21.1560044893378</v>
      </c>
      <c r="Q283" s="18" t="str">
        <f t="shared" si="258"/>
        <v>1+19.5611221250625i</v>
      </c>
      <c r="R283" s="18">
        <f t="shared" si="269"/>
        <v>19.58666635217973</v>
      </c>
      <c r="S283" s="18">
        <f t="shared" si="270"/>
        <v>1.5197189800792963</v>
      </c>
      <c r="T283" s="18" t="str">
        <f t="shared" si="259"/>
        <v>1+0.0280659578316113i</v>
      </c>
      <c r="U283" s="18">
        <f t="shared" si="271"/>
        <v>1.000393771466519</v>
      </c>
      <c r="V283" s="18">
        <f t="shared" si="272"/>
        <v>2.8058592146278198E-2</v>
      </c>
      <c r="W283" s="32" t="str">
        <f t="shared" si="260"/>
        <v>1-0.0126047704107651i</v>
      </c>
      <c r="X283" s="18">
        <f t="shared" si="273"/>
        <v>1.0000794369634385</v>
      </c>
      <c r="Y283" s="18">
        <f t="shared" si="274"/>
        <v>-1.2604102924756961E-2</v>
      </c>
      <c r="Z283" s="32" t="str">
        <f t="shared" si="261"/>
        <v>0.99998004737685+0.00687941369284119i</v>
      </c>
      <c r="AA283" s="18">
        <f t="shared" si="275"/>
        <v>1.0000037107353974</v>
      </c>
      <c r="AB283" s="18">
        <f t="shared" si="276"/>
        <v>6.8794424287071916E-3</v>
      </c>
      <c r="AC283" s="68" t="str">
        <f t="shared" si="277"/>
        <v>0.0644239379347603-1.07870783489254i</v>
      </c>
      <c r="AD283" s="66">
        <f t="shared" si="278"/>
        <v>0.67353980618355602</v>
      </c>
      <c r="AE283" s="63">
        <f t="shared" si="279"/>
        <v>-86.582169614114278</v>
      </c>
      <c r="AF283" s="51" t="e">
        <f t="shared" si="280"/>
        <v>#NUM!</v>
      </c>
      <c r="AG283" s="51" t="str">
        <f t="shared" si="262"/>
        <v>1-12.0282676421191i</v>
      </c>
      <c r="AH283" s="51">
        <f t="shared" si="281"/>
        <v>12.069764805929294</v>
      </c>
      <c r="AI283" s="51">
        <f t="shared" si="282"/>
        <v>-1.4878495891618664</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-0.000133283554228113</v>
      </c>
      <c r="AT283" s="32" t="str">
        <f t="shared" si="266"/>
        <v>0.00171483002351145i</v>
      </c>
      <c r="AU283" s="32">
        <f t="shared" si="290"/>
        <v>1.71483002351145E-3</v>
      </c>
      <c r="AV283" s="32">
        <f t="shared" si="291"/>
        <v>1.5707963267948966</v>
      </c>
      <c r="AW283" s="32" t="str">
        <f t="shared" si="267"/>
        <v>1+0.299825320233657i</v>
      </c>
      <c r="AX283" s="32">
        <f t="shared" si="292"/>
        <v>1.0439804704366913</v>
      </c>
      <c r="AY283" s="32">
        <f t="shared" si="293"/>
        <v>0.29129653010783929</v>
      </c>
      <c r="AZ283" s="32" t="str">
        <f t="shared" si="268"/>
        <v>1+4.46812855275035i</v>
      </c>
      <c r="BA283" s="32">
        <f t="shared" si="294"/>
        <v>4.5786649543183371</v>
      </c>
      <c r="BB283" s="32">
        <f t="shared" si="295"/>
        <v>1.3506173577286782</v>
      </c>
      <c r="BC283" s="60" t="str">
        <f t="shared" si="296"/>
        <v>-0.297255598617505+0.166848816557624i</v>
      </c>
      <c r="BD283" s="51">
        <f t="shared" si="297"/>
        <v>-9.3479604530673335</v>
      </c>
      <c r="BE283" s="63">
        <f t="shared" si="298"/>
        <v>150.69461257297948</v>
      </c>
      <c r="BF283" s="60" t="str">
        <f t="shared" si="299"/>
        <v>0.160830749427163+0.331401000996771i</v>
      </c>
      <c r="BG283" s="66">
        <f t="shared" si="300"/>
        <v>-8.6744206468837852</v>
      </c>
      <c r="BH283" s="63">
        <f t="shared" si="301"/>
        <v>64.112442958865174</v>
      </c>
      <c r="BI283" s="60" t="e">
        <f t="shared" si="255"/>
        <v>#NUM!</v>
      </c>
      <c r="BJ283" s="66" t="e">
        <f t="shared" si="302"/>
        <v>#NUM!</v>
      </c>
      <c r="BK283" s="63" t="e">
        <f t="shared" si="256"/>
        <v>#NUM!</v>
      </c>
      <c r="BL283" s="51">
        <f t="shared" si="303"/>
        <v>-8.6744206468837852</v>
      </c>
      <c r="BM283" s="63">
        <f t="shared" si="304"/>
        <v>64.112442958865174</v>
      </c>
    </row>
    <row r="284" spans="14:65" x14ac:dyDescent="0.3">
      <c r="N284" s="11">
        <v>66</v>
      </c>
      <c r="O284" s="52">
        <f t="shared" ref="O284:O318" si="305">10^(3+(N284/100))</f>
        <v>4570.8818961487532</v>
      </c>
      <c r="P284" s="50" t="str">
        <f t="shared" si="257"/>
        <v>21.1560044893378</v>
      </c>
      <c r="Q284" s="18" t="str">
        <f t="shared" si="258"/>
        <v>1+20.0167591917244i</v>
      </c>
      <c r="R284" s="18">
        <f t="shared" si="269"/>
        <v>20.04172269390741</v>
      </c>
      <c r="S284" s="18">
        <f t="shared" si="270"/>
        <v>1.520879689663752</v>
      </c>
      <c r="T284" s="18" t="str">
        <f t="shared" si="259"/>
        <v>1+0.028719697970735i</v>
      </c>
      <c r="U284" s="18">
        <f t="shared" si="271"/>
        <v>1.000412325519598</v>
      </c>
      <c r="V284" s="18">
        <f t="shared" si="272"/>
        <v>2.8711805672380651E-2</v>
      </c>
      <c r="W284" s="32" t="str">
        <f t="shared" si="260"/>
        <v>1-0.0128983732306437i</v>
      </c>
      <c r="X284" s="18">
        <f t="shared" si="273"/>
        <v>1.000083180556496</v>
      </c>
      <c r="Y284" s="18">
        <f t="shared" si="274"/>
        <v>-1.2897658009712834E-2</v>
      </c>
      <c r="Z284" s="32" t="str">
        <f t="shared" si="261"/>
        <v>0.999979107038691+0.00703965582288466i</v>
      </c>
      <c r="AA284" s="18">
        <f t="shared" si="275"/>
        <v>1.0000038856264521</v>
      </c>
      <c r="AB284" s="18">
        <f t="shared" si="276"/>
        <v>7.0396866138857121E-3</v>
      </c>
      <c r="AC284" s="68" t="str">
        <f t="shared" si="277"/>
        <v>0.0619490922252528-1.05429864028857i</v>
      </c>
      <c r="AD284" s="66">
        <f t="shared" si="278"/>
        <v>0.47424142799005975</v>
      </c>
      <c r="AE284" s="63">
        <f t="shared" si="279"/>
        <v>-86.637247779302257</v>
      </c>
      <c r="AF284" s="51" t="e">
        <f t="shared" si="280"/>
        <v>#NUM!</v>
      </c>
      <c r="AG284" s="51" t="str">
        <f t="shared" si="262"/>
        <v>1-12.3084419874579i</v>
      </c>
      <c r="AH284" s="51">
        <f t="shared" si="281"/>
        <v>12.348997698542851</v>
      </c>
      <c r="AI284" s="51">
        <f t="shared" si="282"/>
        <v>-1.4897293305528188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-0.000133283554228113</v>
      </c>
      <c r="AT284" s="32" t="str">
        <f t="shared" si="266"/>
        <v>0.00175477354601191i</v>
      </c>
      <c r="AU284" s="32">
        <f t="shared" si="290"/>
        <v>1.75477354601191E-3</v>
      </c>
      <c r="AV284" s="32">
        <f t="shared" si="291"/>
        <v>1.5707963267948966</v>
      </c>
      <c r="AW284" s="32" t="str">
        <f t="shared" si="267"/>
        <v>1+0.306809149103434i</v>
      </c>
      <c r="AX284" s="32">
        <f t="shared" si="292"/>
        <v>1.0460075783537963</v>
      </c>
      <c r="AY284" s="32">
        <f t="shared" si="293"/>
        <v>0.29769195413238142</v>
      </c>
      <c r="AZ284" s="32" t="str">
        <f t="shared" si="268"/>
        <v>1+4.57220463663898i</v>
      </c>
      <c r="BA284" s="32">
        <f t="shared" si="294"/>
        <v>4.6802836708155828</v>
      </c>
      <c r="BB284" s="32">
        <f t="shared" si="295"/>
        <v>1.3554740614265524</v>
      </c>
      <c r="BC284" s="60" t="str">
        <f t="shared" si="296"/>
        <v>-0.296104583431646+0.166802441160584i</v>
      </c>
      <c r="BD284" s="51">
        <f t="shared" si="297"/>
        <v>-9.3741433572880553</v>
      </c>
      <c r="BE284" s="63">
        <f t="shared" si="298"/>
        <v>150.60645039241038</v>
      </c>
      <c r="BF284" s="60" t="str">
        <f t="shared" si="299"/>
        <v>0.157516176765091+0.322515919506052i</v>
      </c>
      <c r="BG284" s="66">
        <f t="shared" si="300"/>
        <v>-8.8999019292979913</v>
      </c>
      <c r="BH284" s="63">
        <f t="shared" si="301"/>
        <v>63.969202613108102</v>
      </c>
      <c r="BI284" s="60" t="e">
        <f t="shared" si="255"/>
        <v>#NUM!</v>
      </c>
      <c r="BJ284" s="66" t="e">
        <f t="shared" si="302"/>
        <v>#NUM!</v>
      </c>
      <c r="BK284" s="63" t="e">
        <f t="shared" si="256"/>
        <v>#NUM!</v>
      </c>
      <c r="BL284" s="51">
        <f t="shared" si="303"/>
        <v>-8.8999019292979913</v>
      </c>
      <c r="BM284" s="63">
        <f t="shared" si="304"/>
        <v>63.969202613108102</v>
      </c>
    </row>
    <row r="285" spans="14:65" x14ac:dyDescent="0.3">
      <c r="N285" s="11">
        <v>67</v>
      </c>
      <c r="O285" s="52">
        <f t="shared" si="305"/>
        <v>4677.3514128719844</v>
      </c>
      <c r="P285" s="50" t="str">
        <f t="shared" si="257"/>
        <v>21.1560044893378</v>
      </c>
      <c r="Q285" s="18" t="str">
        <f t="shared" si="258"/>
        <v>1+20.483009409063i</v>
      </c>
      <c r="R285" s="18">
        <f t="shared" si="269"/>
        <v>20.507405356401463</v>
      </c>
      <c r="S285" s="18">
        <f t="shared" si="270"/>
        <v>1.5220141083607293</v>
      </c>
      <c r="T285" s="18" t="str">
        <f t="shared" si="259"/>
        <v>1+0.0293886656738729i</v>
      </c>
      <c r="U285" s="18">
        <f t="shared" si="271"/>
        <v>1.0004317536294471</v>
      </c>
      <c r="V285" s="18">
        <f t="shared" si="272"/>
        <v>2.9380209120924962E-2</v>
      </c>
      <c r="W285" s="32" t="str">
        <f t="shared" si="260"/>
        <v>1-0.0131988149387394i</v>
      </c>
      <c r="X285" s="18">
        <f t="shared" si="273"/>
        <v>1.0000871005646392</v>
      </c>
      <c r="Y285" s="18">
        <f t="shared" si="274"/>
        <v>-1.3198048569309282E-2</v>
      </c>
      <c r="Z285" s="32" t="str">
        <f t="shared" si="261"/>
        <v>0.99997812238376+0.00720363047162627i</v>
      </c>
      <c r="AA285" s="18">
        <f t="shared" si="275"/>
        <v>1.0000040687607836</v>
      </c>
      <c r="AB285" s="18">
        <f t="shared" si="276"/>
        <v>7.203663464740038E-3</v>
      </c>
      <c r="AC285" s="68" t="str">
        <f t="shared" si="277"/>
        <v>0.059585077577568-1.03043734357384i</v>
      </c>
      <c r="AD285" s="66">
        <f t="shared" si="278"/>
        <v>0.27492921898749362</v>
      </c>
      <c r="AE285" s="63">
        <f t="shared" si="279"/>
        <v>-86.690554778988428</v>
      </c>
      <c r="AF285" s="51" t="e">
        <f t="shared" si="280"/>
        <v>#NUM!</v>
      </c>
      <c r="AG285" s="51" t="str">
        <f t="shared" si="262"/>
        <v>1-12.5951424316598i</v>
      </c>
      <c r="AH285" s="51">
        <f t="shared" si="281"/>
        <v>12.634777911534384</v>
      </c>
      <c r="AI285" s="51">
        <f t="shared" si="282"/>
        <v>-1.4915668387621874</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-0.000133283554228113</v>
      </c>
      <c r="AT285" s="32" t="str">
        <f t="shared" si="266"/>
        <v>0.00179564747267364i</v>
      </c>
      <c r="AU285" s="32">
        <f t="shared" si="290"/>
        <v>1.7956474726736401E-3</v>
      </c>
      <c r="AV285" s="32">
        <f t="shared" si="291"/>
        <v>1.5707963267948966</v>
      </c>
      <c r="AW285" s="32" t="str">
        <f t="shared" si="267"/>
        <v>1+0.313955652245165i</v>
      </c>
      <c r="AX285" s="32">
        <f t="shared" si="292"/>
        <v>1.0481260189388903</v>
      </c>
      <c r="AY285" s="32">
        <f t="shared" si="293"/>
        <v>0.30421046406174351</v>
      </c>
      <c r="AZ285" s="32" t="str">
        <f t="shared" si="268"/>
        <v>1+4.67870496394624i</v>
      </c>
      <c r="BA285" s="32">
        <f t="shared" si="294"/>
        <v>4.7843787621440663</v>
      </c>
      <c r="BB285" s="32">
        <f t="shared" si="295"/>
        <v>1.3602302038331076</v>
      </c>
      <c r="BC285" s="60" t="str">
        <f t="shared" si="296"/>
        <v>-0.294908837813257+0.166814199026892i</v>
      </c>
      <c r="BD285" s="51">
        <f t="shared" si="297"/>
        <v>-9.4006492293440118</v>
      </c>
      <c r="BE285" s="63">
        <f t="shared" si="298"/>
        <v>150.5054741714026</v>
      </c>
      <c r="BF285" s="60" t="str">
        <f t="shared" si="299"/>
        <v>0.154319414136255+0.313824716422798i</v>
      </c>
      <c r="BG285" s="66">
        <f t="shared" si="300"/>
        <v>-9.1257200103565239</v>
      </c>
      <c r="BH285" s="63">
        <f t="shared" si="301"/>
        <v>63.81491939241419</v>
      </c>
      <c r="BI285" s="60" t="e">
        <f t="shared" si="255"/>
        <v>#NUM!</v>
      </c>
      <c r="BJ285" s="66" t="e">
        <f t="shared" si="302"/>
        <v>#NUM!</v>
      </c>
      <c r="BK285" s="63" t="e">
        <f t="shared" si="256"/>
        <v>#NUM!</v>
      </c>
      <c r="BL285" s="51">
        <f t="shared" si="303"/>
        <v>-9.1257200103565239</v>
      </c>
      <c r="BM285" s="63">
        <f t="shared" si="304"/>
        <v>63.81491939241419</v>
      </c>
    </row>
    <row r="286" spans="14:65" x14ac:dyDescent="0.3">
      <c r="N286" s="11">
        <v>68</v>
      </c>
      <c r="O286" s="52">
        <f t="shared" si="305"/>
        <v>4786.3009232263848</v>
      </c>
      <c r="P286" s="50" t="str">
        <f t="shared" si="257"/>
        <v>21.1560044893378</v>
      </c>
      <c r="Q286" s="18" t="str">
        <f t="shared" si="258"/>
        <v>1+20.9601199891149i</v>
      </c>
      <c r="R286" s="18">
        <f t="shared" si="269"/>
        <v>20.983961255160903</v>
      </c>
      <c r="S286" s="18">
        <f t="shared" si="270"/>
        <v>1.5231228259682821</v>
      </c>
      <c r="T286" s="18" t="str">
        <f t="shared" si="259"/>
        <v>1+0.0300732156365561i</v>
      </c>
      <c r="U286" s="18">
        <f t="shared" si="271"/>
        <v>1.0004520969535338</v>
      </c>
      <c r="V286" s="18">
        <f t="shared" si="272"/>
        <v>3.0064154497955513E-2</v>
      </c>
      <c r="W286" s="32" t="str">
        <f t="shared" si="260"/>
        <v>1-0.0135062548332225i</v>
      </c>
      <c r="X286" s="18">
        <f t="shared" si="273"/>
        <v>1.0000912053006066</v>
      </c>
      <c r="Y286" s="18">
        <f t="shared" si="274"/>
        <v>-1.3505433657627809E-2</v>
      </c>
      <c r="Z286" s="32" t="str">
        <f t="shared" si="261"/>
        <v>0.999977091323472+0.00737142458059527i</v>
      </c>
      <c r="AA286" s="18">
        <f t="shared" si="275"/>
        <v>1.0000042605269734</v>
      </c>
      <c r="AB286" s="18">
        <f t="shared" si="276"/>
        <v>7.3714599333106539E-3</v>
      </c>
      <c r="AC286" s="68" t="str">
        <f t="shared" si="277"/>
        <v>0.0573269526893077-1.00711203090333i</v>
      </c>
      <c r="AD286" s="66">
        <f t="shared" si="278"/>
        <v>7.5604629599398523E-2</v>
      </c>
      <c r="AE286" s="63">
        <f t="shared" si="279"/>
        <v>-86.742118332763923</v>
      </c>
      <c r="AF286" s="51" t="e">
        <f t="shared" si="280"/>
        <v>#NUM!</v>
      </c>
      <c r="AG286" s="51" t="str">
        <f t="shared" si="262"/>
        <v>1-12.8885209870955i</v>
      </c>
      <c r="AH286" s="51">
        <f t="shared" si="281"/>
        <v>12.927256988038923</v>
      </c>
      <c r="AI286" s="51">
        <f t="shared" si="282"/>
        <v>-1.4933630383996359</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-0.000133283554228113</v>
      </c>
      <c r="AT286" s="32" t="str">
        <f t="shared" si="266"/>
        <v>0.00183747347539358i</v>
      </c>
      <c r="AU286" s="32">
        <f t="shared" si="290"/>
        <v>1.83747347539358E-3</v>
      </c>
      <c r="AV286" s="32">
        <f t="shared" si="291"/>
        <v>1.5707963267948966</v>
      </c>
      <c r="AW286" s="32" t="str">
        <f t="shared" si="267"/>
        <v>1+0.321268618829411i</v>
      </c>
      <c r="AX286" s="32">
        <f t="shared" si="292"/>
        <v>1.0503397190645307</v>
      </c>
      <c r="AY286" s="32">
        <f t="shared" si="293"/>
        <v>0.31085329947170204</v>
      </c>
      <c r="AZ286" s="32" t="str">
        <f t="shared" si="268"/>
        <v>1+4.78768600255536i</v>
      </c>
      <c r="BA286" s="32">
        <f t="shared" si="294"/>
        <v>4.8910057512810718</v>
      </c>
      <c r="BB286" s="32">
        <f t="shared" si="295"/>
        <v>1.364887445615538</v>
      </c>
      <c r="BC286" s="60" t="str">
        <f t="shared" si="296"/>
        <v>-0.293667045742199+0.166882320861752i</v>
      </c>
      <c r="BD286" s="51">
        <f t="shared" si="297"/>
        <v>-9.4275225705629691</v>
      </c>
      <c r="BE286" s="63">
        <f t="shared" si="298"/>
        <v>150.39170803671709</v>
      </c>
      <c r="BF286" s="60" t="str">
        <f t="shared" si="299"/>
        <v>0.151234156247268+0.305322469759531i</v>
      </c>
      <c r="BG286" s="66">
        <f t="shared" si="300"/>
        <v>-9.3519179409635669</v>
      </c>
      <c r="BH286" s="63">
        <f t="shared" si="301"/>
        <v>63.649589703953247</v>
      </c>
      <c r="BI286" s="60" t="e">
        <f t="shared" si="255"/>
        <v>#NUM!</v>
      </c>
      <c r="BJ286" s="66" t="e">
        <f t="shared" si="302"/>
        <v>#NUM!</v>
      </c>
      <c r="BK286" s="63" t="e">
        <f t="shared" si="256"/>
        <v>#NUM!</v>
      </c>
      <c r="BL286" s="51">
        <f t="shared" si="303"/>
        <v>-9.3519179409635669</v>
      </c>
      <c r="BM286" s="63">
        <f t="shared" si="304"/>
        <v>63.649589703953247</v>
      </c>
    </row>
    <row r="287" spans="14:65" x14ac:dyDescent="0.3">
      <c r="N287" s="11">
        <v>69</v>
      </c>
      <c r="O287" s="52">
        <f t="shared" si="305"/>
        <v>4897.7881936844633</v>
      </c>
      <c r="P287" s="50" t="str">
        <f t="shared" si="257"/>
        <v>21.1560044893378</v>
      </c>
      <c r="Q287" s="18" t="str">
        <f t="shared" si="258"/>
        <v>1+21.4483439022251i</v>
      </c>
      <c r="R287" s="18">
        <f t="shared" si="269"/>
        <v>21.471643070527151</v>
      </c>
      <c r="S287" s="18">
        <f t="shared" si="270"/>
        <v>1.5242064194337941</v>
      </c>
      <c r="T287" s="18" t="str">
        <f t="shared" si="259"/>
        <v>1+0.0307737108162359i</v>
      </c>
      <c r="U287" s="18">
        <f t="shared" si="271"/>
        <v>1.0004733985855903</v>
      </c>
      <c r="V287" s="18">
        <f t="shared" si="272"/>
        <v>3.0764001879405107E-2</v>
      </c>
      <c r="W287" s="32" t="str">
        <f t="shared" si="260"/>
        <v>1-0.0138208559227947i</v>
      </c>
      <c r="X287" s="18">
        <f t="shared" si="273"/>
        <v>1.0000955034687631</v>
      </c>
      <c r="Y287" s="18">
        <f t="shared" si="274"/>
        <v>-1.3819976021830088E-2</v>
      </c>
      <c r="Z287" s="32" t="str">
        <f t="shared" si="261"/>
        <v>0.99997601167081+0.00754312711644925i</v>
      </c>
      <c r="AA287" s="18">
        <f t="shared" si="275"/>
        <v>1.0000044613319257</v>
      </c>
      <c r="AB287" s="18">
        <f t="shared" si="276"/>
        <v>7.5431649975180731E-3</v>
      </c>
      <c r="AC287" s="68" t="str">
        <f t="shared" si="277"/>
        <v>0.0551699944626032-0.98431102375488i</v>
      </c>
      <c r="AD287" s="66">
        <f t="shared" si="278"/>
        <v>-0.12373091544136378</v>
      </c>
      <c r="AE287" s="63">
        <f t="shared" si="279"/>
        <v>-86.791965289232351</v>
      </c>
      <c r="AF287" s="51" t="e">
        <f t="shared" si="280"/>
        <v>#NUM!</v>
      </c>
      <c r="AG287" s="51" t="str">
        <f t="shared" si="262"/>
        <v>1-13.1887332069583i</v>
      </c>
      <c r="AH287" s="51">
        <f t="shared" si="281"/>
        <v>13.22659002178281</v>
      </c>
      <c r="AI287" s="51">
        <f t="shared" si="282"/>
        <v>-1.4951188354469931</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-0.000133283554228113</v>
      </c>
      <c r="AT287" s="32" t="str">
        <f t="shared" si="266"/>
        <v>0.00188027373087201i</v>
      </c>
      <c r="AU287" s="32">
        <f t="shared" si="290"/>
        <v>1.8802737308720101E-3</v>
      </c>
      <c r="AV287" s="32">
        <f t="shared" si="291"/>
        <v>1.5707963267948966</v>
      </c>
      <c r="AW287" s="32" t="str">
        <f t="shared" si="267"/>
        <v>1+0.328751926287853i</v>
      </c>
      <c r="AX287" s="32">
        <f t="shared" si="292"/>
        <v>1.0526527580536584</v>
      </c>
      <c r="AY287" s="32">
        <f t="shared" si="293"/>
        <v>0.31762163661092246</v>
      </c>
      <c r="AZ287" s="32" t="str">
        <f t="shared" si="268"/>
        <v>1+4.89920553565557i</v>
      </c>
      <c r="BA287" s="32">
        <f t="shared" si="294"/>
        <v>5.0002214831543395</v>
      </c>
      <c r="BB287" s="32">
        <f t="shared" si="295"/>
        <v>1.3694474476076219</v>
      </c>
      <c r="BC287" s="60" t="str">
        <f t="shared" si="296"/>
        <v>-0.292377889305317+0.16700498088979i</v>
      </c>
      <c r="BD287" s="51">
        <f t="shared" si="297"/>
        <v>-9.4548080839769035</v>
      </c>
      <c r="BE287" s="63">
        <f t="shared" si="298"/>
        <v>150.26517975303594</v>
      </c>
      <c r="BF287" s="60" t="str">
        <f t="shared" si="299"/>
        <v>0.148254357177831+0.297004443416324i</v>
      </c>
      <c r="BG287" s="66">
        <f t="shared" si="300"/>
        <v>-9.578538999418285</v>
      </c>
      <c r="BH287" s="63">
        <f t="shared" si="301"/>
        <v>63.473214463803643</v>
      </c>
      <c r="BI287" s="60" t="e">
        <f t="shared" si="255"/>
        <v>#NUM!</v>
      </c>
      <c r="BJ287" s="66" t="e">
        <f t="shared" si="302"/>
        <v>#NUM!</v>
      </c>
      <c r="BK287" s="63" t="e">
        <f t="shared" si="256"/>
        <v>#NUM!</v>
      </c>
      <c r="BL287" s="51">
        <f t="shared" si="303"/>
        <v>-9.578538999418285</v>
      </c>
      <c r="BM287" s="63">
        <f t="shared" si="304"/>
        <v>63.473214463803643</v>
      </c>
    </row>
    <row r="288" spans="14:65" x14ac:dyDescent="0.3">
      <c r="N288" s="11">
        <v>70</v>
      </c>
      <c r="O288" s="52">
        <f t="shared" si="305"/>
        <v>5011.8723362727324</v>
      </c>
      <c r="P288" s="50" t="str">
        <f t="shared" si="257"/>
        <v>21.1560044893378</v>
      </c>
      <c r="Q288" s="18" t="str">
        <f t="shared" si="258"/>
        <v>1+21.9479400111746i</v>
      </c>
      <c r="R288" s="18">
        <f t="shared" si="269"/>
        <v>21.97070938167721</v>
      </c>
      <c r="S288" s="18">
        <f t="shared" si="270"/>
        <v>1.5252654531084506</v>
      </c>
      <c r="T288" s="18" t="str">
        <f t="shared" si="259"/>
        <v>1+0.0314905226247287i</v>
      </c>
      <c r="U288" s="18">
        <f t="shared" si="271"/>
        <v>1.0004957036465367</v>
      </c>
      <c r="V288" s="18">
        <f t="shared" si="272"/>
        <v>3.1480119589844653E-2</v>
      </c>
      <c r="W288" s="32" t="str">
        <f t="shared" si="260"/>
        <v>1-0.0141427850131178i</v>
      </c>
      <c r="X288" s="18">
        <f t="shared" si="273"/>
        <v>1.0001000041835453</v>
      </c>
      <c r="Y288" s="18">
        <f t="shared" si="274"/>
        <v>-1.4141842187339274E-2</v>
      </c>
      <c r="Z288" s="32" t="str">
        <f t="shared" si="261"/>
        <v>0.999974881135685+0.00771882911814546i</v>
      </c>
      <c r="AA288" s="18">
        <f t="shared" si="275"/>
        <v>1.0000046716017295</v>
      </c>
      <c r="AB288" s="18">
        <f t="shared" si="276"/>
        <v>7.7188697083879279E-3</v>
      </c>
      <c r="AC288" s="68" t="str">
        <f t="shared" si="277"/>
        <v>0.0531096885453238-0.962022875957502i</v>
      </c>
      <c r="AD288" s="66">
        <f t="shared" si="278"/>
        <v>-0.32307601413764064</v>
      </c>
      <c r="AE288" s="63">
        <f t="shared" si="279"/>
        <v>-86.840121637934786</v>
      </c>
      <c r="AF288" s="51" t="e">
        <f t="shared" si="280"/>
        <v>#NUM!</v>
      </c>
      <c r="AG288" s="51" t="str">
        <f t="shared" si="262"/>
        <v>1-13.4959382677409i</v>
      </c>
      <c r="AH288" s="51">
        <f t="shared" si="281"/>
        <v>13.532935739397908</v>
      </c>
      <c r="AI288" s="51">
        <f t="shared" si="282"/>
        <v>-1.4968351175243886</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-0.000133283554228113</v>
      </c>
      <c r="AT288" s="32" t="str">
        <f t="shared" si="266"/>
        <v>0.00192407093237092i</v>
      </c>
      <c r="AU288" s="32">
        <f t="shared" si="290"/>
        <v>1.92407093237092E-3</v>
      </c>
      <c r="AV288" s="32">
        <f t="shared" si="291"/>
        <v>1.5707963267948966</v>
      </c>
      <c r="AW288" s="32" t="str">
        <f t="shared" si="267"/>
        <v>1+0.33640954236916i</v>
      </c>
      <c r="AX288" s="32">
        <f t="shared" si="292"/>
        <v>1.055069372220153</v>
      </c>
      <c r="AY288" s="32">
        <f t="shared" si="293"/>
        <v>0.32451658280366641</v>
      </c>
      <c r="AZ288" s="32" t="str">
        <f t="shared" si="268"/>
        <v>1+5.01332269237943i</v>
      </c>
      <c r="BA288" s="32">
        <f t="shared" si="294"/>
        <v>5.1120841559902486</v>
      </c>
      <c r="BB288" s="32">
        <f t="shared" si="295"/>
        <v>1.3739118686743921</v>
      </c>
      <c r="BC288" s="60" t="str">
        <f t="shared" si="296"/>
        <v>-0.291040052415647+0.167180293581384i</v>
      </c>
      <c r="BD288" s="51">
        <f t="shared" si="297"/>
        <v>-9.4825506914786928</v>
      </c>
      <c r="BE288" s="63">
        <f t="shared" si="298"/>
        <v>150.12592092131703</v>
      </c>
      <c r="BF288" s="60" t="str">
        <f t="shared" si="299"/>
        <v>0.145374220296573+0.288866081566746i</v>
      </c>
      <c r="BG288" s="66">
        <f t="shared" si="300"/>
        <v>-9.80562670561633</v>
      </c>
      <c r="BH288" s="63">
        <f t="shared" si="301"/>
        <v>63.285799283382232</v>
      </c>
      <c r="BI288" s="60" t="e">
        <f t="shared" si="255"/>
        <v>#NUM!</v>
      </c>
      <c r="BJ288" s="66" t="e">
        <f t="shared" si="302"/>
        <v>#NUM!</v>
      </c>
      <c r="BK288" s="63" t="e">
        <f t="shared" si="256"/>
        <v>#NUM!</v>
      </c>
      <c r="BL288" s="51">
        <f t="shared" si="303"/>
        <v>-9.80562670561633</v>
      </c>
      <c r="BM288" s="63">
        <f t="shared" si="304"/>
        <v>63.285799283382232</v>
      </c>
    </row>
    <row r="289" spans="14:65" x14ac:dyDescent="0.3">
      <c r="N289" s="11">
        <v>71</v>
      </c>
      <c r="O289" s="52">
        <f t="shared" si="305"/>
        <v>5128.6138399136489</v>
      </c>
      <c r="P289" s="50" t="str">
        <f t="shared" si="257"/>
        <v>21.1560044893378</v>
      </c>
      <c r="Q289" s="18" t="str">
        <f t="shared" si="258"/>
        <v>1+22.4591732084332i</v>
      </c>
      <c r="R289" s="18">
        <f t="shared" si="269"/>
        <v>22.481424803744169</v>
      </c>
      <c r="S289" s="18">
        <f t="shared" si="270"/>
        <v>1.5263004789984245</v>
      </c>
      <c r="T289" s="18" t="str">
        <f t="shared" si="259"/>
        <v>1+0.0322240311251433i</v>
      </c>
      <c r="U289" s="18">
        <f t="shared" si="271"/>
        <v>1.0005190593796573</v>
      </c>
      <c r="V289" s="18">
        <f t="shared" si="272"/>
        <v>3.2212884384740591E-2</v>
      </c>
      <c r="W289" s="32" t="str">
        <f t="shared" si="260"/>
        <v>1-0.0144722127952567i</v>
      </c>
      <c r="X289" s="18">
        <f t="shared" si="273"/>
        <v>1.0001047169887716</v>
      </c>
      <c r="Y289" s="18">
        <f t="shared" si="274"/>
        <v>-1.4471202544946502E-2</v>
      </c>
      <c r="Z289" s="32" t="str">
        <f t="shared" si="261"/>
        <v>0.999973697320081+0.00789862374521086i</v>
      </c>
      <c r="AA289" s="18">
        <f t="shared" si="275"/>
        <v>1.0000048917825659</v>
      </c>
      <c r="AB289" s="18">
        <f t="shared" si="276"/>
        <v>7.8986672383785893E-3</v>
      </c>
      <c r="AC289" s="68" t="str">
        <f t="shared" si="277"/>
        <v>0.0511417202663167-0.940236370632471i</v>
      </c>
      <c r="AD289" s="66">
        <f t="shared" si="278"/>
        <v>-0.52242928431590863</v>
      </c>
      <c r="AE289" s="63">
        <f t="shared" si="279"/>
        <v>-86.886612521058922</v>
      </c>
      <c r="AF289" s="51" t="e">
        <f t="shared" si="280"/>
        <v>#NUM!</v>
      </c>
      <c r="AG289" s="51" t="str">
        <f t="shared" si="262"/>
        <v>1-13.8102990536329i</v>
      </c>
      <c r="AH289" s="51">
        <f t="shared" si="281"/>
        <v>13.846456584656371</v>
      </c>
      <c r="AI289" s="51">
        <f t="shared" si="282"/>
        <v>-1.4985127541604835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-0.000133283554228113</v>
      </c>
      <c r="AT289" s="32" t="str">
        <f t="shared" si="266"/>
        <v>0.00196888830174626i</v>
      </c>
      <c r="AU289" s="32">
        <f t="shared" si="290"/>
        <v>1.9688883017462602E-3</v>
      </c>
      <c r="AV289" s="32">
        <f t="shared" si="291"/>
        <v>1.5707963267948966</v>
      </c>
      <c r="AW289" s="32" t="str">
        <f t="shared" si="267"/>
        <v>1+0.344245527242736i</v>
      </c>
      <c r="AX289" s="32">
        <f t="shared" si="292"/>
        <v>1.0575939594317989</v>
      </c>
      <c r="AY289" s="32">
        <f t="shared" si="293"/>
        <v>0.33153917065734612</v>
      </c>
      <c r="AZ289" s="32" t="str">
        <f t="shared" si="268"/>
        <v>1+5.13009797915393i</v>
      </c>
      <c r="BA289" s="32">
        <f t="shared" si="294"/>
        <v>5.2266533533150277</v>
      </c>
      <c r="BB289" s="32">
        <f t="shared" si="295"/>
        <v>1.3782823637280408</v>
      </c>
      <c r="BC289" s="60" t="str">
        <f t="shared" si="296"/>
        <v>-0.289652224850594+0.16740631050021i</v>
      </c>
      <c r="BD289" s="51">
        <f t="shared" si="297"/>
        <v>-9.5107955486017239</v>
      </c>
      <c r="BE289" s="63">
        <f t="shared" si="298"/>
        <v>149.9739671969983</v>
      </c>
      <c r="BF289" s="60" t="str">
        <f t="shared" si="299"/>
        <v>0.142588188747865+0.280903003341561i</v>
      </c>
      <c r="BG289" s="66">
        <f t="shared" si="300"/>
        <v>-10.033224832917625</v>
      </c>
      <c r="BH289" s="63">
        <f t="shared" si="301"/>
        <v>63.087354675939345</v>
      </c>
      <c r="BI289" s="60" t="e">
        <f t="shared" si="255"/>
        <v>#NUM!</v>
      </c>
      <c r="BJ289" s="66" t="e">
        <f t="shared" si="302"/>
        <v>#NUM!</v>
      </c>
      <c r="BK289" s="63" t="e">
        <f t="shared" si="256"/>
        <v>#NUM!</v>
      </c>
      <c r="BL289" s="51">
        <f t="shared" si="303"/>
        <v>-10.033224832917625</v>
      </c>
      <c r="BM289" s="63">
        <f t="shared" si="304"/>
        <v>63.087354675939345</v>
      </c>
    </row>
    <row r="290" spans="14:65" x14ac:dyDescent="0.3">
      <c r="N290" s="11">
        <v>72</v>
      </c>
      <c r="O290" s="52">
        <f t="shared" si="305"/>
        <v>5248.0746024977261</v>
      </c>
      <c r="P290" s="50" t="str">
        <f t="shared" si="257"/>
        <v>21.1560044893378</v>
      </c>
      <c r="Q290" s="18" t="str">
        <f t="shared" si="258"/>
        <v>1+22.9823145566094i</v>
      </c>
      <c r="R290" s="18">
        <f t="shared" si="269"/>
        <v>23.004060128136949</v>
      </c>
      <c r="S290" s="18">
        <f t="shared" si="270"/>
        <v>1.5273120370126867</v>
      </c>
      <c r="T290" s="18" t="str">
        <f t="shared" si="259"/>
        <v>1+0.0329746252333961i</v>
      </c>
      <c r="U290" s="18">
        <f t="shared" si="271"/>
        <v>1.0005435152502278</v>
      </c>
      <c r="V290" s="18">
        <f t="shared" si="272"/>
        <v>3.2962681636256215E-2</v>
      </c>
      <c r="W290" s="32" t="str">
        <f t="shared" si="260"/>
        <v>1-0.014809313936182i</v>
      </c>
      <c r="X290" s="18">
        <f t="shared" si="273"/>
        <v>1.0001096518778632</v>
      </c>
      <c r="Y290" s="18">
        <f t="shared" si="274"/>
        <v>-1.4808231439881466E-2</v>
      </c>
      <c r="Z290" s="32" t="str">
        <f t="shared" si="261"/>
        <v>0.999972457712967+0.00808260632713665i</v>
      </c>
      <c r="AA290" s="18">
        <f t="shared" si="275"/>
        <v>1.0000051223416562</v>
      </c>
      <c r="AB290" s="18">
        <f t="shared" si="276"/>
        <v>8.0826529308374324E-3</v>
      </c>
      <c r="AC290" s="68" t="str">
        <f t="shared" si="277"/>
        <v>0.0492619659496686-0.91894051705888i</v>
      </c>
      <c r="AD290" s="66">
        <f t="shared" si="278"/>
        <v>-0.72178936075389433</v>
      </c>
      <c r="AE290" s="63">
        <f t="shared" si="279"/>
        <v>-86.931462244928824</v>
      </c>
      <c r="AF290" s="51" t="e">
        <f t="shared" si="280"/>
        <v>#NUM!</v>
      </c>
      <c r="AG290" s="51" t="str">
        <f t="shared" si="262"/>
        <v>1-14.1319822428841i</v>
      </c>
      <c r="AH290" s="51">
        <f t="shared" si="281"/>
        <v>14.167318804671245</v>
      </c>
      <c r="AI290" s="51">
        <f t="shared" si="282"/>
        <v>-1.5001525970660667</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-0.000133283554228113</v>
      </c>
      <c r="AT290" s="32" t="str">
        <f t="shared" si="266"/>
        <v>0.0020147496017605i</v>
      </c>
      <c r="AU290" s="32">
        <f t="shared" si="290"/>
        <v>2.0147496017605001E-3</v>
      </c>
      <c r="AV290" s="32">
        <f t="shared" si="291"/>
        <v>1.5707963267948966</v>
      </c>
      <c r="AW290" s="32" t="str">
        <f t="shared" si="267"/>
        <v>1+0.352264035651486i</v>
      </c>
      <c r="AX290" s="32">
        <f t="shared" si="292"/>
        <v>1.0602310836857554</v>
      </c>
      <c r="AY290" s="32">
        <f t="shared" si="293"/>
        <v>0.3386903520837794</v>
      </c>
      <c r="AZ290" s="32" t="str">
        <f t="shared" si="268"/>
        <v>1+5.24959331178189i</v>
      </c>
      <c r="BA290" s="32">
        <f t="shared" si="294"/>
        <v>5.3439900766286188</v>
      </c>
      <c r="BB290" s="32">
        <f t="shared" si="295"/>
        <v>1.3825605818885069</v>
      </c>
      <c r="BC290" s="60" t="str">
        <f t="shared" si="296"/>
        <v>-0.288213106616322+0.167681017299812i</v>
      </c>
      <c r="BD290" s="51">
        <f t="shared" si="297"/>
        <v>-9.5395880566674265</v>
      </c>
      <c r="BE290" s="63">
        <f t="shared" si="298"/>
        <v>149.80935852716212</v>
      </c>
      <c r="BF290" s="60" t="str">
        <f t="shared" si="299"/>
        <v>0.139890936494067+0.273110997781778i</v>
      </c>
      <c r="BG290" s="66">
        <f t="shared" si="300"/>
        <v>-10.261377417421325</v>
      </c>
      <c r="BH290" s="63">
        <f t="shared" si="301"/>
        <v>62.877896282233245</v>
      </c>
      <c r="BI290" s="60" t="e">
        <f t="shared" si="255"/>
        <v>#NUM!</v>
      </c>
      <c r="BJ290" s="66" t="e">
        <f t="shared" si="302"/>
        <v>#NUM!</v>
      </c>
      <c r="BK290" s="63" t="e">
        <f t="shared" si="256"/>
        <v>#NUM!</v>
      </c>
      <c r="BL290" s="51">
        <f t="shared" si="303"/>
        <v>-10.261377417421325</v>
      </c>
      <c r="BM290" s="63">
        <f t="shared" si="304"/>
        <v>62.877896282233245</v>
      </c>
    </row>
    <row r="291" spans="14:65" x14ac:dyDescent="0.3">
      <c r="N291" s="11">
        <v>73</v>
      </c>
      <c r="O291" s="52">
        <f t="shared" si="305"/>
        <v>5370.3179637025269</v>
      </c>
      <c r="P291" s="50" t="str">
        <f t="shared" si="257"/>
        <v>21.1560044893378</v>
      </c>
      <c r="Q291" s="18" t="str">
        <f t="shared" si="258"/>
        <v>1+23.5176414321704i</v>
      </c>
      <c r="R291" s="18">
        <f t="shared" si="269"/>
        <v>23.538892466132253</v>
      </c>
      <c r="S291" s="18">
        <f t="shared" si="270"/>
        <v>1.5283006552073595</v>
      </c>
      <c r="T291" s="18" t="str">
        <f t="shared" si="259"/>
        <v>1+0.0337427029244183i</v>
      </c>
      <c r="U291" s="18">
        <f t="shared" si="271"/>
        <v>1.0005691230497999</v>
      </c>
      <c r="V291" s="18">
        <f t="shared" si="272"/>
        <v>3.3729905522627217E-2</v>
      </c>
      <c r="W291" s="32" t="str">
        <f t="shared" si="260"/>
        <v>1-0.0151542671713808i</v>
      </c>
      <c r="X291" s="18">
        <f t="shared" si="273"/>
        <v>1.0001148193150133</v>
      </c>
      <c r="Y291" s="18">
        <f t="shared" si="274"/>
        <v>-1.5153107262888927E-2</v>
      </c>
      <c r="Z291" s="32" t="str">
        <f t="shared" si="261"/>
        <v>0.999971159684969+0.008270874413923i</v>
      </c>
      <c r="AA291" s="18">
        <f t="shared" si="275"/>
        <v>1.0000053637682513</v>
      </c>
      <c r="AB291" s="18">
        <f t="shared" si="276"/>
        <v>8.2709243506116914E-3</v>
      </c>
      <c r="AC291" s="68" t="str">
        <f t="shared" si="277"/>
        <v>0.0474664845934408-0.89812454747499i</v>
      </c>
      <c r="AD291" s="66">
        <f t="shared" si="278"/>
        <v>-0.92115489233982994</v>
      </c>
      <c r="AE291" s="63">
        <f t="shared" si="279"/>
        <v>-86.974694291273167</v>
      </c>
      <c r="AF291" s="51" t="e">
        <f t="shared" si="280"/>
        <v>#NUM!</v>
      </c>
      <c r="AG291" s="51" t="str">
        <f t="shared" si="262"/>
        <v>1-14.4611583961793i</v>
      </c>
      <c r="AH291" s="51">
        <f t="shared" si="281"/>
        <v>14.495692538108937</v>
      </c>
      <c r="AI291" s="51">
        <f t="shared" si="282"/>
        <v>-1.5017554804103479</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-0.000133283554228113</v>
      </c>
      <c r="AT291" s="32" t="str">
        <f t="shared" si="266"/>
        <v>0.00206167914868196i</v>
      </c>
      <c r="AU291" s="32">
        <f t="shared" si="290"/>
        <v>2.0616791486819598E-3</v>
      </c>
      <c r="AV291" s="32">
        <f t="shared" si="291"/>
        <v>1.5707963267948966</v>
      </c>
      <c r="AW291" s="32" t="str">
        <f t="shared" si="267"/>
        <v>1+0.360469319114702i</v>
      </c>
      <c r="AX291" s="32">
        <f t="shared" si="292"/>
        <v>1.0629854796858784</v>
      </c>
      <c r="AY291" s="32">
        <f t="shared" si="293"/>
        <v>0.34597099214500387</v>
      </c>
      <c r="AZ291" s="32" t="str">
        <f t="shared" si="268"/>
        <v>1+5.37187204827031i</v>
      </c>
      <c r="BA291" s="32">
        <f t="shared" si="294"/>
        <v>5.4641567787708887</v>
      </c>
      <c r="BB291" s="32">
        <f t="shared" si="295"/>
        <v>1.3867481647822002</v>
      </c>
      <c r="BC291" s="60" t="str">
        <f t="shared" si="296"/>
        <v>-0.286721412643664+0.168002330898975i</v>
      </c>
      <c r="BD291" s="51">
        <f t="shared" si="297"/>
        <v>-9.5689738720492894</v>
      </c>
      <c r="BE291" s="63">
        <f t="shared" si="298"/>
        <v>149.63213940567002</v>
      </c>
      <c r="BF291" s="60" t="str">
        <f t="shared" si="299"/>
        <v>0.137277359897525+0.265486019033259i</v>
      </c>
      <c r="BG291" s="66">
        <f t="shared" si="300"/>
        <v>-10.490128764389123</v>
      </c>
      <c r="BH291" s="63">
        <f t="shared" si="301"/>
        <v>62.65744511439695</v>
      </c>
      <c r="BI291" s="60" t="e">
        <f t="shared" si="255"/>
        <v>#NUM!</v>
      </c>
      <c r="BJ291" s="66" t="e">
        <f t="shared" si="302"/>
        <v>#NUM!</v>
      </c>
      <c r="BK291" s="63" t="e">
        <f t="shared" si="256"/>
        <v>#NUM!</v>
      </c>
      <c r="BL291" s="51">
        <f t="shared" si="303"/>
        <v>-10.490128764389123</v>
      </c>
      <c r="BM291" s="63">
        <f t="shared" si="304"/>
        <v>62.65744511439695</v>
      </c>
    </row>
    <row r="292" spans="14:65" x14ac:dyDescent="0.3">
      <c r="N292" s="11">
        <v>74</v>
      </c>
      <c r="O292" s="52">
        <f t="shared" si="305"/>
        <v>5495.4087385762541</v>
      </c>
      <c r="P292" s="50" t="str">
        <f t="shared" si="257"/>
        <v>21.1560044893378</v>
      </c>
      <c r="Q292" s="18" t="str">
        <f t="shared" si="258"/>
        <v>1+24.0654376725115i</v>
      </c>
      <c r="R292" s="18">
        <f t="shared" si="269"/>
        <v>24.086205395818073</v>
      </c>
      <c r="S292" s="18">
        <f t="shared" si="270"/>
        <v>1.5292668500265587</v>
      </c>
      <c r="T292" s="18" t="str">
        <f t="shared" si="259"/>
        <v>1+0.0345286714431686i</v>
      </c>
      <c r="U292" s="18">
        <f t="shared" si="271"/>
        <v>1.0005959370053579</v>
      </c>
      <c r="V292" s="18">
        <f t="shared" si="272"/>
        <v>3.4514959221145537E-2</v>
      </c>
      <c r="W292" s="32" t="str">
        <f t="shared" si="260"/>
        <v>1-0.0155072553996242i</v>
      </c>
      <c r="X292" s="18">
        <f t="shared" si="273"/>
        <v>1.0001202302573571</v>
      </c>
      <c r="Y292" s="18">
        <f t="shared" si="274"/>
        <v>-1.5506012543352279E-2</v>
      </c>
      <c r="Z292" s="32" t="str">
        <f t="shared" si="261"/>
        <v>0.999969800482796+0.00846352782780161i</v>
      </c>
      <c r="AA292" s="18">
        <f t="shared" si="275"/>
        <v>1.0000056165746745</v>
      </c>
      <c r="AB292" s="18">
        <f t="shared" si="276"/>
        <v>8.4635813358418729E-3</v>
      </c>
      <c r="AC292" s="68" t="str">
        <f t="shared" si="277"/>
        <v>0.0457515098987496-0.877777913825417i</v>
      </c>
      <c r="AD292" s="66">
        <f t="shared" si="278"/>
        <v>-1.1205245392593941</v>
      </c>
      <c r="AE292" s="63">
        <f t="shared" si="279"/>
        <v>-87.016331328270297</v>
      </c>
      <c r="AF292" s="51" t="e">
        <f t="shared" si="280"/>
        <v>#NUM!</v>
      </c>
      <c r="AG292" s="51" t="str">
        <f t="shared" si="262"/>
        <v>1-14.7980020470723i</v>
      </c>
      <c r="AH292" s="51">
        <f t="shared" si="281"/>
        <v>14.831751905461337</v>
      </c>
      <c r="AI292" s="51">
        <f t="shared" si="282"/>
        <v>-1.5033222210993178</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-0.000133283554228113</v>
      </c>
      <c r="AT292" s="32" t="str">
        <f t="shared" si="266"/>
        <v>0.0021097018251776i</v>
      </c>
      <c r="AU292" s="32">
        <f t="shared" si="290"/>
        <v>2.1097018251776001E-3</v>
      </c>
      <c r="AV292" s="32">
        <f t="shared" si="291"/>
        <v>1.5707963267948966</v>
      </c>
      <c r="AW292" s="32" t="str">
        <f t="shared" si="267"/>
        <v>1+0.36886572818229i</v>
      </c>
      <c r="AX292" s="32">
        <f t="shared" si="292"/>
        <v>1.0658620574105502</v>
      </c>
      <c r="AY292" s="32">
        <f t="shared" si="293"/>
        <v>0.3533818627368045</v>
      </c>
      <c r="AZ292" s="32" t="str">
        <f t="shared" si="268"/>
        <v>1+5.49699902242388i</v>
      </c>
      <c r="BA292" s="32">
        <f t="shared" si="294"/>
        <v>5.5872173980013606</v>
      </c>
      <c r="BB292" s="32">
        <f t="shared" si="295"/>
        <v>1.3908467449724349</v>
      </c>
      <c r="BC292" s="60" t="str">
        <f t="shared" si="296"/>
        <v>-0.285175877818668+0.168368096867869i</v>
      </c>
      <c r="BD292" s="51">
        <f t="shared" si="297"/>
        <v>-9.5989989123019299</v>
      </c>
      <c r="BE292" s="63">
        <f t="shared" si="298"/>
        <v>149.44235914513843</v>
      </c>
      <c r="BF292" s="60" t="str">
        <f t="shared" si="299"/>
        <v>0.134742569826528+0.258024181755486i</v>
      </c>
      <c r="BG292" s="66">
        <f t="shared" si="300"/>
        <v>-10.71952345156134</v>
      </c>
      <c r="BH292" s="63">
        <f t="shared" si="301"/>
        <v>62.426027816868185</v>
      </c>
      <c r="BI292" s="60" t="e">
        <f t="shared" si="255"/>
        <v>#NUM!</v>
      </c>
      <c r="BJ292" s="66" t="e">
        <f t="shared" si="302"/>
        <v>#NUM!</v>
      </c>
      <c r="BK292" s="63" t="e">
        <f t="shared" si="256"/>
        <v>#NUM!</v>
      </c>
      <c r="BL292" s="51">
        <f t="shared" si="303"/>
        <v>-10.71952345156134</v>
      </c>
      <c r="BM292" s="63">
        <f t="shared" si="304"/>
        <v>62.426027816868185</v>
      </c>
    </row>
    <row r="293" spans="14:65" x14ac:dyDescent="0.3">
      <c r="N293" s="11">
        <v>75</v>
      </c>
      <c r="O293" s="52">
        <f t="shared" si="305"/>
        <v>5623.4132519034993</v>
      </c>
      <c r="P293" s="50" t="str">
        <f t="shared" si="257"/>
        <v>21.1560044893378</v>
      </c>
      <c r="Q293" s="18" t="str">
        <f t="shared" si="258"/>
        <v>1+24.6259937264503i</v>
      </c>
      <c r="R293" s="18">
        <f t="shared" si="269"/>
        <v>24.64628911246416</v>
      </c>
      <c r="S293" s="18">
        <f t="shared" si="270"/>
        <v>1.5302111265396614</v>
      </c>
      <c r="T293" s="18" t="str">
        <f t="shared" si="259"/>
        <v>1+0.035332947520559i</v>
      </c>
      <c r="U293" s="18">
        <f t="shared" si="271"/>
        <v>1.0006240138935756</v>
      </c>
      <c r="V293" s="18">
        <f t="shared" si="272"/>
        <v>3.5318255104774363E-2</v>
      </c>
      <c r="W293" s="32" t="str">
        <f t="shared" si="260"/>
        <v>1-0.0158684657799434i</v>
      </c>
      <c r="X293" s="18">
        <f t="shared" si="273"/>
        <v>1.0001258961781807</v>
      </c>
      <c r="Y293" s="18">
        <f t="shared" si="274"/>
        <v>-1.5867134044508312E-2</v>
      </c>
      <c r="Z293" s="32" t="str">
        <f t="shared" si="261"/>
        <v>0.999968377223398+0.00866066871616253i</v>
      </c>
      <c r="AA293" s="18">
        <f t="shared" si="275"/>
        <v>1.0000058812974089</v>
      </c>
      <c r="AB293" s="18">
        <f t="shared" si="276"/>
        <v>8.6607260509644884E-3</v>
      </c>
      <c r="AC293" s="68" t="str">
        <f t="shared" si="277"/>
        <v>0.0441134426355105-0.857890284463647i</v>
      </c>
      <c r="AD293" s="66">
        <f t="shared" si="278"/>
        <v>-1.3198969702043797</v>
      </c>
      <c r="AE293" s="63">
        <f t="shared" si="279"/>
        <v>-87.056395221369741</v>
      </c>
      <c r="AF293" s="51" t="e">
        <f t="shared" si="280"/>
        <v>#NUM!</v>
      </c>
      <c r="AG293" s="51" t="str">
        <f t="shared" si="262"/>
        <v>1-15.1426917945253i</v>
      </c>
      <c r="AH293" s="51">
        <f t="shared" si="281"/>
        <v>15.175675101424114</v>
      </c>
      <c r="AI293" s="51">
        <f t="shared" si="282"/>
        <v>-1.5048536190555983</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-0.000133283554228113</v>
      </c>
      <c r="AT293" s="32" t="str">
        <f t="shared" si="266"/>
        <v>0.00215884309350616i</v>
      </c>
      <c r="AU293" s="32">
        <f t="shared" si="290"/>
        <v>2.15884309350616E-3</v>
      </c>
      <c r="AV293" s="32">
        <f t="shared" si="291"/>
        <v>1.5707963267948966</v>
      </c>
      <c r="AW293" s="32" t="str">
        <f t="shared" si="267"/>
        <v>1+0.377457714741475i</v>
      </c>
      <c r="AX293" s="32">
        <f t="shared" si="292"/>
        <v>1.0688659066589488</v>
      </c>
      <c r="AY293" s="32">
        <f t="shared" si="293"/>
        <v>0.36092363612536255</v>
      </c>
      <c r="AZ293" s="32" t="str">
        <f t="shared" si="268"/>
        <v>1+5.62504057822051i</v>
      </c>
      <c r="BA293" s="32">
        <f t="shared" si="294"/>
        <v>5.7132373928121822</v>
      </c>
      <c r="BB293" s="32">
        <f t="shared" si="295"/>
        <v>1.3948579445151559</v>
      </c>
      <c r="BC293" s="60" t="str">
        <f t="shared" si="296"/>
        <v>-0.283575262348298+0.168776087058744i</v>
      </c>
      <c r="BD293" s="51">
        <f t="shared" si="297"/>
        <v>-9.6297093589102207</v>
      </c>
      <c r="BE293" s="63">
        <f t="shared" si="298"/>
        <v>149.24007216451284</v>
      </c>
      <c r="BF293" s="60" t="str">
        <f t="shared" si="299"/>
        <v>0.132281884269036+0.250721756717547i</v>
      </c>
      <c r="BG293" s="66">
        <f t="shared" si="300"/>
        <v>-10.949606329114586</v>
      </c>
      <c r="BH293" s="63">
        <f t="shared" si="301"/>
        <v>62.183676943143055</v>
      </c>
      <c r="BI293" s="60" t="e">
        <f t="shared" si="255"/>
        <v>#NUM!</v>
      </c>
      <c r="BJ293" s="66" t="e">
        <f t="shared" si="302"/>
        <v>#NUM!</v>
      </c>
      <c r="BK293" s="63" t="e">
        <f t="shared" si="256"/>
        <v>#NUM!</v>
      </c>
      <c r="BL293" s="51">
        <f t="shared" si="303"/>
        <v>-10.949606329114586</v>
      </c>
      <c r="BM293" s="63">
        <f t="shared" si="304"/>
        <v>62.183676943143055</v>
      </c>
    </row>
    <row r="294" spans="14:65" x14ac:dyDescent="0.3">
      <c r="N294" s="11">
        <v>76</v>
      </c>
      <c r="O294" s="52">
        <f t="shared" si="305"/>
        <v>5754.399373371567</v>
      </c>
      <c r="P294" s="50" t="str">
        <f t="shared" si="257"/>
        <v>21.1560044893378</v>
      </c>
      <c r="Q294" s="18" t="str">
        <f t="shared" si="258"/>
        <v>1+25.1996068082263i</v>
      </c>
      <c r="R294" s="18">
        <f t="shared" si="269"/>
        <v>25.219440582400026</v>
      </c>
      <c r="S294" s="18">
        <f t="shared" si="270"/>
        <v>1.5311339786749589</v>
      </c>
      <c r="T294" s="18" t="str">
        <f t="shared" si="259"/>
        <v>1+0.0361559575944116i</v>
      </c>
      <c r="U294" s="18">
        <f t="shared" si="271"/>
        <v>1.0006534131604052</v>
      </c>
      <c r="V294" s="18">
        <f t="shared" si="272"/>
        <v>3.6140214942421478E-2</v>
      </c>
      <c r="W294" s="32" t="str">
        <f t="shared" si="260"/>
        <v>1-0.016238089830863i</v>
      </c>
      <c r="X294" s="18">
        <f t="shared" si="273"/>
        <v>1.0001318290912229</v>
      </c>
      <c r="Y294" s="18">
        <f t="shared" si="274"/>
        <v>-1.6236662860793317E-2</v>
      </c>
      <c r="Z294" s="32" t="str">
        <f t="shared" si="261"/>
        <v>0.999966886887852+0.00886240160571426i</v>
      </c>
      <c r="AA294" s="18">
        <f t="shared" si="275"/>
        <v>1.000006158498238</v>
      </c>
      <c r="AB294" s="18">
        <f t="shared" si="276"/>
        <v>8.8624630409535124E-3</v>
      </c>
      <c r="AC294" s="68" t="str">
        <f t="shared" si="277"/>
        <v>0.0425488433316068-0.838451540818618i</v>
      </c>
      <c r="AD294" s="66">
        <f t="shared" si="278"/>
        <v>-1.5192708595972384</v>
      </c>
      <c r="AE294" s="63">
        <f t="shared" si="279"/>
        <v>-87.094907043890146</v>
      </c>
      <c r="AF294" s="51" t="e">
        <f t="shared" si="280"/>
        <v>#NUM!</v>
      </c>
      <c r="AG294" s="51" t="str">
        <f t="shared" si="262"/>
        <v>1-15.495410397605i</v>
      </c>
      <c r="AH294" s="51">
        <f t="shared" si="281"/>
        <v>15.527644489432555</v>
      </c>
      <c r="AI294" s="51">
        <f t="shared" si="282"/>
        <v>-1.506350457499261</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-0.000133283554228113</v>
      </c>
      <c r="AT294" s="32" t="str">
        <f t="shared" si="266"/>
        <v>0.00220912900901855i</v>
      </c>
      <c r="AU294" s="32">
        <f t="shared" si="290"/>
        <v>2.20912900901855E-3</v>
      </c>
      <c r="AV294" s="32">
        <f t="shared" si="291"/>
        <v>1.5707963267948966</v>
      </c>
      <c r="AW294" s="32" t="str">
        <f t="shared" si="267"/>
        <v>1+0.386249834377258i</v>
      </c>
      <c r="AX294" s="32">
        <f t="shared" si="292"/>
        <v>1.072002301563042</v>
      </c>
      <c r="AY294" s="32">
        <f t="shared" si="293"/>
        <v>0.36859687835501975</v>
      </c>
      <c r="AZ294" s="32" t="str">
        <f t="shared" si="268"/>
        <v>1+5.75606460498792i</v>
      </c>
      <c r="BA294" s="32">
        <f t="shared" si="294"/>
        <v>5.8422837774961547</v>
      </c>
      <c r="BB294" s="32">
        <f t="shared" si="295"/>
        <v>1.3987833736337274</v>
      </c>
      <c r="BC294" s="60" t="str">
        <f t="shared" si="296"/>
        <v>-0.281918357458934+0.169223997516917i</v>
      </c>
      <c r="BD294" s="51">
        <f t="shared" si="297"/>
        <v>-9.6611516564164006</v>
      </c>
      <c r="BE294" s="63">
        <f t="shared" si="298"/>
        <v>149.02533829084368</v>
      </c>
      <c r="BF294" s="60" t="str">
        <f t="shared" si="299"/>
        <v>0.129890821437721+0.243575166554793i</v>
      </c>
      <c r="BG294" s="66">
        <f t="shared" si="300"/>
        <v>-11.180422516013628</v>
      </c>
      <c r="BH294" s="63">
        <f t="shared" si="301"/>
        <v>61.930431246953574</v>
      </c>
      <c r="BI294" s="60" t="e">
        <f t="shared" si="255"/>
        <v>#NUM!</v>
      </c>
      <c r="BJ294" s="66" t="e">
        <f t="shared" si="302"/>
        <v>#NUM!</v>
      </c>
      <c r="BK294" s="63" t="e">
        <f t="shared" si="256"/>
        <v>#NUM!</v>
      </c>
      <c r="BL294" s="51">
        <f t="shared" si="303"/>
        <v>-11.180422516013628</v>
      </c>
      <c r="BM294" s="63">
        <f t="shared" si="304"/>
        <v>61.930431246953574</v>
      </c>
    </row>
    <row r="295" spans="14:65" x14ac:dyDescent="0.3">
      <c r="N295" s="11">
        <v>77</v>
      </c>
      <c r="O295" s="52">
        <f t="shared" si="305"/>
        <v>5888.4365535558973</v>
      </c>
      <c r="P295" s="50" t="str">
        <f t="shared" si="257"/>
        <v>21.1560044893378</v>
      </c>
      <c r="Q295" s="18" t="str">
        <f t="shared" si="258"/>
        <v>1+25.7865810550884i</v>
      </c>
      <c r="R295" s="18">
        <f t="shared" si="269"/>
        <v>25.805963700482959</v>
      </c>
      <c r="S295" s="18">
        <f t="shared" si="270"/>
        <v>1.5320358894496633</v>
      </c>
      <c r="T295" s="18" t="str">
        <f t="shared" si="259"/>
        <v>1+0.0369981380355616i</v>
      </c>
      <c r="U295" s="18">
        <f t="shared" si="271"/>
        <v>1.0006841970462501</v>
      </c>
      <c r="V295" s="18">
        <f t="shared" si="272"/>
        <v>3.6981270102888937E-2</v>
      </c>
      <c r="W295" s="32" t="str">
        <f t="shared" si="260"/>
        <v>1-0.0166163235319475i</v>
      </c>
      <c r="X295" s="18">
        <f t="shared" si="273"/>
        <v>1.000138041576121</v>
      </c>
      <c r="Y295" s="18">
        <f t="shared" si="274"/>
        <v>-1.6614794517367644E-2</v>
      </c>
      <c r="Z295" s="32" t="str">
        <f t="shared" si="261"/>
        <v>0.999965326314955+0.00906883345790513i</v>
      </c>
      <c r="AA295" s="18">
        <f t="shared" si="275"/>
        <v>1.0000064487654376</v>
      </c>
      <c r="AB295" s="18">
        <f t="shared" si="276"/>
        <v>9.0688992868289391E-3</v>
      </c>
      <c r="AC295" s="68" t="str">
        <f t="shared" si="277"/>
        <v>0.041054425272657-0.819451774033305i</v>
      </c>
      <c r="AD295" s="66">
        <f t="shared" si="278"/>
        <v>-1.7186448848268872</v>
      </c>
      <c r="AE295" s="63">
        <f t="shared" si="279"/>
        <v>-87.131887087394773</v>
      </c>
      <c r="AF295" s="51" t="e">
        <f t="shared" si="280"/>
        <v>#NUM!</v>
      </c>
      <c r="AG295" s="51" t="str">
        <f t="shared" si="262"/>
        <v>1-15.8563448723836i</v>
      </c>
      <c r="AH295" s="51">
        <f t="shared" si="281"/>
        <v>15.887846698403333</v>
      </c>
      <c r="AI295" s="51">
        <f t="shared" si="282"/>
        <v>-1.5078135032291133</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-0.000133283554228113</v>
      </c>
      <c r="AT295" s="32" t="str">
        <f t="shared" si="266"/>
        <v>0.00226058623397281i</v>
      </c>
      <c r="AU295" s="32">
        <f t="shared" si="290"/>
        <v>2.2605862339728101E-3</v>
      </c>
      <c r="AV295" s="32">
        <f t="shared" si="291"/>
        <v>1.5707963267948966</v>
      </c>
      <c r="AW295" s="32" t="str">
        <f t="shared" si="267"/>
        <v>1+0.395246748787851i</v>
      </c>
      <c r="AX295" s="32">
        <f t="shared" si="292"/>
        <v>1.0752767050519445</v>
      </c>
      <c r="AY295" s="32">
        <f t="shared" si="293"/>
        <v>0.376402042547692</v>
      </c>
      <c r="AZ295" s="32" t="str">
        <f t="shared" si="268"/>
        <v>1+5.89014057339944i</v>
      </c>
      <c r="BA295" s="32">
        <f t="shared" si="294"/>
        <v>5.9744251584906714</v>
      </c>
      <c r="BB295" s="32">
        <f t="shared" si="295"/>
        <v>1.4026246295066405</v>
      </c>
      <c r="BC295" s="60" t="str">
        <f t="shared" si="296"/>
        <v>-0.280203991422068+0.169709446709295i</v>
      </c>
      <c r="BD295" s="51">
        <f t="shared" si="297"/>
        <v>-9.6933725076917217</v>
      </c>
      <c r="BE295" s="63">
        <f t="shared" si="298"/>
        <v>148.79822307374502</v>
      </c>
      <c r="BF295" s="60" t="str">
        <f t="shared" si="299"/>
        <v>0.127565093349205+0.236580981660017i</v>
      </c>
      <c r="BG295" s="66">
        <f t="shared" si="300"/>
        <v>-11.412017392518614</v>
      </c>
      <c r="BH295" s="63">
        <f t="shared" si="301"/>
        <v>61.666335986350227</v>
      </c>
      <c r="BI295" s="60" t="e">
        <f t="shared" si="255"/>
        <v>#NUM!</v>
      </c>
      <c r="BJ295" s="66" t="e">
        <f t="shared" si="302"/>
        <v>#NUM!</v>
      </c>
      <c r="BK295" s="63" t="e">
        <f t="shared" si="256"/>
        <v>#NUM!</v>
      </c>
      <c r="BL295" s="51">
        <f t="shared" si="303"/>
        <v>-11.412017392518614</v>
      </c>
      <c r="BM295" s="63">
        <f t="shared" si="304"/>
        <v>61.666335986350227</v>
      </c>
    </row>
    <row r="296" spans="14:65" x14ac:dyDescent="0.3">
      <c r="N296" s="11">
        <v>78</v>
      </c>
      <c r="O296" s="52">
        <f t="shared" si="305"/>
        <v>6025.595860743585</v>
      </c>
      <c r="P296" s="50" t="str">
        <f t="shared" si="257"/>
        <v>21.1560044893378</v>
      </c>
      <c r="Q296" s="18" t="str">
        <f t="shared" si="258"/>
        <v>1+26.3872276885516i</v>
      </c>
      <c r="R296" s="18">
        <f t="shared" si="269"/>
        <v>26.406169451237417</v>
      </c>
      <c r="S296" s="18">
        <f t="shared" si="270"/>
        <v>1.5329173311962325</v>
      </c>
      <c r="T296" s="18" t="str">
        <f t="shared" si="259"/>
        <v>1+0.0378599353792262i</v>
      </c>
      <c r="U296" s="18">
        <f t="shared" si="271"/>
        <v>1.0007164307169736</v>
      </c>
      <c r="V296" s="18">
        <f t="shared" si="272"/>
        <v>3.784186176251475E-2</v>
      </c>
      <c r="W296" s="32" t="str">
        <f t="shared" si="260"/>
        <v>1-0.0170033674277117i</v>
      </c>
      <c r="X296" s="18">
        <f t="shared" si="273"/>
        <v>1.0001445468050514</v>
      </c>
      <c r="Y296" s="18">
        <f t="shared" si="274"/>
        <v>-1.7001729071859716E-2</v>
      </c>
      <c r="Z296" s="32" t="str">
        <f t="shared" si="261"/>
        <v>0.999963692194523+0.00928007372563555i</v>
      </c>
      <c r="AA296" s="18">
        <f t="shared" si="275"/>
        <v>1.0000067527150285</v>
      </c>
      <c r="AB296" s="18">
        <f t="shared" si="276"/>
        <v>9.2801442624624118E-3</v>
      </c>
      <c r="AC296" s="68" t="str">
        <f t="shared" si="277"/>
        <v>0.0396270478000074-0.80088128158285i</v>
      </c>
      <c r="AD296" s="66">
        <f t="shared" si="278"/>
        <v>-1.9180177234886988</v>
      </c>
      <c r="AE296" s="63">
        <f t="shared" si="279"/>
        <v>-87.167354871846413</v>
      </c>
      <c r="AF296" s="51" t="e">
        <f t="shared" si="280"/>
        <v>#NUM!</v>
      </c>
      <c r="AG296" s="51" t="str">
        <f t="shared" si="262"/>
        <v>1-16.225686591097i</v>
      </c>
      <c r="AH296" s="51">
        <f t="shared" si="281"/>
        <v>16.256472721734717</v>
      </c>
      <c r="AI296" s="51">
        <f t="shared" si="282"/>
        <v>-1.5092435069040138</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-0.000133283554228113</v>
      </c>
      <c r="AT296" s="32" t="str">
        <f t="shared" si="266"/>
        <v>0.00231324205167072i</v>
      </c>
      <c r="AU296" s="32">
        <f t="shared" si="290"/>
        <v>2.3132420516707199E-3</v>
      </c>
      <c r="AV296" s="32">
        <f t="shared" si="291"/>
        <v>1.5707963267948966</v>
      </c>
      <c r="AW296" s="32" t="str">
        <f t="shared" si="267"/>
        <v>1+0.40445322825636i</v>
      </c>
      <c r="AX296" s="32">
        <f t="shared" si="292"/>
        <v>1.0786947732546919</v>
      </c>
      <c r="AY296" s="32">
        <f t="shared" si="293"/>
        <v>0.38433946211720271</v>
      </c>
      <c r="AZ296" s="32" t="str">
        <f t="shared" si="268"/>
        <v>1+6.02733957230819i</v>
      </c>
      <c r="BA296" s="32">
        <f t="shared" si="294"/>
        <v>6.109731771519292</v>
      </c>
      <c r="BB296" s="32">
        <f t="shared" si="295"/>
        <v>1.4063832951621638</v>
      </c>
      <c r="BC296" s="60" t="str">
        <f t="shared" si="296"/>
        <v>-0.278431035898023+0.170229974109238i</v>
      </c>
      <c r="BD296" s="51">
        <f t="shared" si="297"/>
        <v>-9.7264188651255026</v>
      </c>
      <c r="BE296" s="63">
        <f t="shared" si="298"/>
        <v>148.55879811084958</v>
      </c>
      <c r="BF296" s="60" t="str">
        <f t="shared" si="299"/>
        <v>0.125300599859885+0.22973591618347i</v>
      </c>
      <c r="BG296" s="66">
        <f t="shared" si="300"/>
        <v>-11.644436588614207</v>
      </c>
      <c r="BH296" s="63">
        <f t="shared" si="301"/>
        <v>61.391443239003245</v>
      </c>
      <c r="BI296" s="60" t="e">
        <f t="shared" si="255"/>
        <v>#NUM!</v>
      </c>
      <c r="BJ296" s="66" t="e">
        <f t="shared" si="302"/>
        <v>#NUM!</v>
      </c>
      <c r="BK296" s="63" t="e">
        <f t="shared" si="256"/>
        <v>#NUM!</v>
      </c>
      <c r="BL296" s="51">
        <f t="shared" si="303"/>
        <v>-11.644436588614207</v>
      </c>
      <c r="BM296" s="63">
        <f t="shared" si="304"/>
        <v>61.391443239003245</v>
      </c>
    </row>
    <row r="297" spans="14:65" x14ac:dyDescent="0.3">
      <c r="N297" s="11">
        <v>79</v>
      </c>
      <c r="O297" s="52">
        <f t="shared" si="305"/>
        <v>6165.9500186148289</v>
      </c>
      <c r="P297" s="50" t="str">
        <f t="shared" si="257"/>
        <v>21.1560044893378</v>
      </c>
      <c r="Q297" s="18" t="str">
        <f t="shared" si="258"/>
        <v>1+27.0018651794116i</v>
      </c>
      <c r="R297" s="18">
        <f t="shared" si="269"/>
        <v>27.020376073754427</v>
      </c>
      <c r="S297" s="18">
        <f t="shared" si="270"/>
        <v>1.5337787657850064</v>
      </c>
      <c r="T297" s="18" t="str">
        <f t="shared" si="259"/>
        <v>1+0.0387418065617644i</v>
      </c>
      <c r="U297" s="18">
        <f t="shared" si="271"/>
        <v>1.0007501824010172</v>
      </c>
      <c r="V297" s="18">
        <f t="shared" si="272"/>
        <v>3.8722441116520394E-2</v>
      </c>
      <c r="W297" s="32" t="str">
        <f t="shared" si="260"/>
        <v>1-0.0173994267339522i</v>
      </c>
      <c r="X297" s="18">
        <f t="shared" si="273"/>
        <v>1.0001513585706265</v>
      </c>
      <c r="Y297" s="18">
        <f t="shared" si="274"/>
        <v>-1.7397671218376404E-2</v>
      </c>
      <c r="Z297" s="32" t="str">
        <f t="shared" si="261"/>
        <v>0.999961981060368+0.00949623441129162i</v>
      </c>
      <c r="AA297" s="18">
        <f t="shared" si="275"/>
        <v>1.0000070709920856</v>
      </c>
      <c r="AB297" s="18">
        <f t="shared" si="276"/>
        <v>9.4963099927109097E-3</v>
      </c>
      <c r="AC297" s="68" t="str">
        <f t="shared" si="277"/>
        <v>0.0382637098949633-0.782730563878798i</v>
      </c>
      <c r="AD297" s="66">
        <f t="shared" si="278"/>
        <v>-2.1173880506254741</v>
      </c>
      <c r="AE297" s="63">
        <f t="shared" si="279"/>
        <v>-87.201329155544229</v>
      </c>
      <c r="AF297" s="51" t="e">
        <f t="shared" si="280"/>
        <v>#NUM!</v>
      </c>
      <c r="AG297" s="51" t="str">
        <f t="shared" si="262"/>
        <v>1-16.6036313836133i</v>
      </c>
      <c r="AH297" s="51">
        <f t="shared" si="281"/>
        <v>16.633718018618342</v>
      </c>
      <c r="AI297" s="51">
        <f t="shared" si="282"/>
        <v>-1.5106412033238021</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-0.000133283554228113</v>
      </c>
      <c r="AT297" s="32" t="str">
        <f t="shared" si="266"/>
        <v>0.0023671243809238i</v>
      </c>
      <c r="AU297" s="32">
        <f t="shared" si="290"/>
        <v>2.3671243809237998E-3</v>
      </c>
      <c r="AV297" s="32">
        <f t="shared" si="291"/>
        <v>1.5707963267948966</v>
      </c>
      <c r="AW297" s="32" t="str">
        <f t="shared" si="267"/>
        <v>1+0.413874154180062i</v>
      </c>
      <c r="AX297" s="32">
        <f t="shared" si="292"/>
        <v>1.0822623598269792</v>
      </c>
      <c r="AY297" s="32">
        <f t="shared" si="293"/>
        <v>0.3924093439246531</v>
      </c>
      <c r="AZ297" s="32" t="str">
        <f t="shared" si="268"/>
        <v>1+6.16773434643945i</v>
      </c>
      <c r="BA297" s="32">
        <f t="shared" si="294"/>
        <v>6.2482755195532853</v>
      </c>
      <c r="BB297" s="32">
        <f t="shared" si="295"/>
        <v>1.4100609384741387</v>
      </c>
      <c r="BC297" s="60" t="str">
        <f t="shared" si="296"/>
        <v>-0.276598412584589+0.170783039177559i</v>
      </c>
      <c r="BD297" s="51">
        <f t="shared" si="297"/>
        <v>-9.7603379175168641</v>
      </c>
      <c r="BE297" s="63">
        <f t="shared" si="298"/>
        <v>148.30714138244394</v>
      </c>
      <c r="BF297" s="60" t="str">
        <f t="shared" si="299"/>
        <v>0.123093423139842+0.223036824116386i</v>
      </c>
      <c r="BG297" s="66">
        <f t="shared" si="300"/>
        <v>-11.877725968142329</v>
      </c>
      <c r="BH297" s="63">
        <f t="shared" si="301"/>
        <v>61.105812226899609</v>
      </c>
      <c r="BI297" s="60" t="e">
        <f t="shared" si="255"/>
        <v>#NUM!</v>
      </c>
      <c r="BJ297" s="66" t="e">
        <f t="shared" si="302"/>
        <v>#NUM!</v>
      </c>
      <c r="BK297" s="63" t="e">
        <f t="shared" si="256"/>
        <v>#NUM!</v>
      </c>
      <c r="BL297" s="51">
        <f t="shared" si="303"/>
        <v>-11.877725968142329</v>
      </c>
      <c r="BM297" s="63">
        <f t="shared" si="304"/>
        <v>61.105812226899609</v>
      </c>
    </row>
    <row r="298" spans="14:65" x14ac:dyDescent="0.3">
      <c r="N298" s="11">
        <v>80</v>
      </c>
      <c r="O298" s="52">
        <f t="shared" si="305"/>
        <v>6309.5734448019384</v>
      </c>
      <c r="P298" s="50" t="str">
        <f t="shared" si="257"/>
        <v>21.1560044893378</v>
      </c>
      <c r="Q298" s="18" t="str">
        <f t="shared" si="258"/>
        <v>1+27.6308194166016i</v>
      </c>
      <c r="R298" s="18">
        <f t="shared" si="269"/>
        <v>27.648909230435262</v>
      </c>
      <c r="S298" s="18">
        <f t="shared" si="270"/>
        <v>1.5346206448431319</v>
      </c>
      <c r="T298" s="18" t="str">
        <f t="shared" si="259"/>
        <v>1+0.03964421916295i</v>
      </c>
      <c r="U298" s="18">
        <f t="shared" si="271"/>
        <v>1.0007855235329097</v>
      </c>
      <c r="V298" s="18">
        <f t="shared" si="272"/>
        <v>3.962346959406729E-2</v>
      </c>
      <c r="W298" s="32" t="str">
        <f t="shared" si="260"/>
        <v>1-0.0178047114465557i</v>
      </c>
      <c r="X298" s="18">
        <f t="shared" si="273"/>
        <v>1.0001584913150989</v>
      </c>
      <c r="Y298" s="18">
        <f t="shared" si="274"/>
        <v>-1.7802830393824499E-2</v>
      </c>
      <c r="Z298" s="32" t="str">
        <f t="shared" si="261"/>
        <v>0.999960189282945+0.00971743012613006i</v>
      </c>
      <c r="AA298" s="18">
        <f t="shared" si="275"/>
        <v>1.0000074042721081</v>
      </c>
      <c r="AB298" s="18">
        <f t="shared" si="276"/>
        <v>9.7175111129089269E-3</v>
      </c>
      <c r="AC298" s="68" t="str">
        <f t="shared" si="277"/>
        <v>0.0369615440377179-0.764990320865886i</v>
      </c>
      <c r="AD298" s="66">
        <f t="shared" si="278"/>
        <v>-2.3167545359617265</v>
      </c>
      <c r="AE298" s="63">
        <f t="shared" si="279"/>
        <v>-87.233827944845814</v>
      </c>
      <c r="AF298" s="51" t="e">
        <f t="shared" si="280"/>
        <v>#NUM!</v>
      </c>
      <c r="AG298" s="51" t="str">
        <f t="shared" si="262"/>
        <v>1-16.9903796412643i</v>
      </c>
      <c r="AH298" s="51">
        <f t="shared" si="281"/>
        <v>17.019782617715435</v>
      </c>
      <c r="AI298" s="51">
        <f t="shared" si="282"/>
        <v>-1.5120073117094679</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-0.000133283554228113</v>
      </c>
      <c r="AT298" s="32" t="str">
        <f t="shared" si="266"/>
        <v>0.00242226179085625i</v>
      </c>
      <c r="AU298" s="32">
        <f t="shared" si="290"/>
        <v>2.4222617908562501E-3</v>
      </c>
      <c r="AV298" s="32">
        <f t="shared" si="291"/>
        <v>1.5707963267948966</v>
      </c>
      <c r="AW298" s="32" t="str">
        <f t="shared" si="267"/>
        <v>1+0.423514521658581i</v>
      </c>
      <c r="AX298" s="32">
        <f t="shared" si="292"/>
        <v>1.0859855201869391</v>
      </c>
      <c r="AY298" s="32">
        <f t="shared" si="293"/>
        <v>0.40061176140376542</v>
      </c>
      <c r="AZ298" s="32" t="str">
        <f t="shared" si="268"/>
        <v>1+6.3113993349608i</v>
      </c>
      <c r="BA298" s="32">
        <f t="shared" si="294"/>
        <v>6.3901300116150717</v>
      </c>
      <c r="BB298" s="32">
        <f t="shared" si="295"/>
        <v>1.4136591112532726</v>
      </c>
      <c r="BC298" s="60" t="str">
        <f t="shared" si="296"/>
        <v>-0.274705100153162+0.171366020780382i</v>
      </c>
      <c r="BD298" s="51">
        <f t="shared" si="297"/>
        <v>-9.7951770724664993</v>
      </c>
      <c r="BE298" s="63">
        <f t="shared" si="298"/>
        <v>148.04333759328972</v>
      </c>
      <c r="BF298" s="60" t="str">
        <f t="shared" si="299"/>
        <v>0.120939822565598+0.216480695433305i</v>
      </c>
      <c r="BG298" s="66">
        <f t="shared" si="300"/>
        <v>-12.111931608428231</v>
      </c>
      <c r="BH298" s="63">
        <f t="shared" si="301"/>
        <v>60.809509648443807</v>
      </c>
      <c r="BI298" s="60" t="e">
        <f t="shared" si="255"/>
        <v>#NUM!</v>
      </c>
      <c r="BJ298" s="66" t="e">
        <f t="shared" si="302"/>
        <v>#NUM!</v>
      </c>
      <c r="BK298" s="63" t="e">
        <f t="shared" si="256"/>
        <v>#NUM!</v>
      </c>
      <c r="BL298" s="51">
        <f t="shared" si="303"/>
        <v>-12.111931608428231</v>
      </c>
      <c r="BM298" s="63">
        <f t="shared" si="304"/>
        <v>60.809509648443807</v>
      </c>
    </row>
    <row r="299" spans="14:65" x14ac:dyDescent="0.3">
      <c r="N299" s="11">
        <v>81</v>
      </c>
      <c r="O299" s="52">
        <f t="shared" si="305"/>
        <v>6456.5422903465615</v>
      </c>
      <c r="P299" s="50" t="str">
        <f t="shared" si="257"/>
        <v>21.1560044893378</v>
      </c>
      <c r="Q299" s="18" t="str">
        <f t="shared" si="258"/>
        <v>1+28.2744238799834i</v>
      </c>
      <c r="R299" s="18">
        <f t="shared" si="269"/>
        <v>28.292102179671549</v>
      </c>
      <c r="S299" s="18">
        <f t="shared" si="270"/>
        <v>1.53544340996978</v>
      </c>
      <c r="T299" s="18" t="str">
        <f t="shared" si="259"/>
        <v>1+0.0405676516538892i</v>
      </c>
      <c r="U299" s="18">
        <f t="shared" si="271"/>
        <v>1.0008225289034571</v>
      </c>
      <c r="V299" s="18">
        <f t="shared" si="272"/>
        <v>4.054541907702628E-2</v>
      </c>
      <c r="W299" s="32" t="str">
        <f t="shared" si="260"/>
        <v>1-0.0182194364528414i</v>
      </c>
      <c r="X299" s="18">
        <f t="shared" si="273"/>
        <v>1.0001659601609421</v>
      </c>
      <c r="Y299" s="18">
        <f t="shared" si="274"/>
        <v>-1.8217420886588648E-2</v>
      </c>
      <c r="Z299" s="32" t="str">
        <f t="shared" si="261"/>
        <v>0.999958313061653+0.00994377815104679i</v>
      </c>
      <c r="AA299" s="18">
        <f t="shared" si="275"/>
        <v>1.0000077532624554</v>
      </c>
      <c r="AB299" s="18">
        <f t="shared" si="276"/>
        <v>9.9438649297519336E-3</v>
      </c>
      <c r="AC299" s="68" t="str">
        <f t="shared" si="277"/>
        <v>0.0357178103298135-0.747651448616935i</v>
      </c>
      <c r="AD299" s="66">
        <f t="shared" si="278"/>
        <v>-2.5161158411274167</v>
      </c>
      <c r="AE299" s="63">
        <f t="shared" si="279"/>
        <v>-87.264868503678898</v>
      </c>
      <c r="AF299" s="51" t="e">
        <f t="shared" si="280"/>
        <v>#NUM!</v>
      </c>
      <c r="AG299" s="51" t="str">
        <f t="shared" si="262"/>
        <v>1-17.3861364230954i</v>
      </c>
      <c r="AH299" s="51">
        <f t="shared" si="281"/>
        <v>17.414871223252977</v>
      </c>
      <c r="AI299" s="51">
        <f t="shared" si="282"/>
        <v>-1.5133425359822112</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-0.000133283554228113</v>
      </c>
      <c r="AT299" s="32" t="str">
        <f t="shared" si="266"/>
        <v>0.00247868351605263i</v>
      </c>
      <c r="AU299" s="32">
        <f t="shared" si="290"/>
        <v>2.4786835160526301E-3</v>
      </c>
      <c r="AV299" s="32">
        <f t="shared" si="291"/>
        <v>1.5707963267948966</v>
      </c>
      <c r="AW299" s="32" t="str">
        <f t="shared" si="267"/>
        <v>1+0.433379442142362i</v>
      </c>
      <c r="AX299" s="32">
        <f t="shared" si="292"/>
        <v>1.0898705156446911</v>
      </c>
      <c r="AY299" s="32">
        <f t="shared" si="293"/>
        <v>0.40894664768810923</v>
      </c>
      <c r="AZ299" s="32" t="str">
        <f t="shared" si="268"/>
        <v>1+6.45841071095081i</v>
      </c>
      <c r="BA299" s="32">
        <f t="shared" si="294"/>
        <v>6.5353706024466698</v>
      </c>
      <c r="BB299" s="32">
        <f t="shared" si="295"/>
        <v>1.4171793484284918</v>
      </c>
      <c r="BC299" s="60" t="str">
        <f t="shared" si="296"/>
        <v>-0.272750141450492+0.171976217084902i</v>
      </c>
      <c r="BD299" s="51">
        <f t="shared" si="297"/>
        <v>-9.8309839340800789</v>
      </c>
      <c r="BE299" s="63">
        <f t="shared" si="298"/>
        <v>147.76747851950043</v>
      </c>
      <c r="BF299" s="60" t="str">
        <f t="shared" si="299"/>
        <v>0.118836230011429+0.210064652269012i</v>
      </c>
      <c r="BG299" s="66">
        <f t="shared" si="300"/>
        <v>-12.347099775207484</v>
      </c>
      <c r="BH299" s="63">
        <f t="shared" si="301"/>
        <v>60.502610015821574</v>
      </c>
      <c r="BI299" s="60" t="e">
        <f t="shared" si="255"/>
        <v>#NUM!</v>
      </c>
      <c r="BJ299" s="66" t="e">
        <f t="shared" si="302"/>
        <v>#NUM!</v>
      </c>
      <c r="BK299" s="63" t="e">
        <f t="shared" si="256"/>
        <v>#NUM!</v>
      </c>
      <c r="BL299" s="51">
        <f t="shared" si="303"/>
        <v>-12.347099775207484</v>
      </c>
      <c r="BM299" s="63">
        <f t="shared" si="304"/>
        <v>60.502610015821574</v>
      </c>
    </row>
    <row r="300" spans="14:65" x14ac:dyDescent="0.3">
      <c r="N300" s="11">
        <v>82</v>
      </c>
      <c r="O300" s="52">
        <f t="shared" si="305"/>
        <v>6606.9344800759654</v>
      </c>
      <c r="P300" s="50" t="str">
        <f t="shared" si="257"/>
        <v>21.1560044893378</v>
      </c>
      <c r="Q300" s="18" t="str">
        <f t="shared" si="258"/>
        <v>1+28.9330198171626i</v>
      </c>
      <c r="R300" s="18">
        <f t="shared" si="269"/>
        <v>28.950295952551571</v>
      </c>
      <c r="S300" s="18">
        <f t="shared" si="270"/>
        <v>1.5362474929476495</v>
      </c>
      <c r="T300" s="18" t="str">
        <f t="shared" si="259"/>
        <v>1+0.0415125936507115i</v>
      </c>
      <c r="U300" s="18">
        <f t="shared" si="271"/>
        <v>1.0008612768169269</v>
      </c>
      <c r="V300" s="18">
        <f t="shared" si="272"/>
        <v>4.1488772122452409E-2</v>
      </c>
      <c r="W300" s="32" t="str">
        <f t="shared" si="260"/>
        <v>1-0.0186438216454971i</v>
      </c>
      <c r="X300" s="18">
        <f t="shared" si="273"/>
        <v>1.0001737809428666</v>
      </c>
      <c r="Y300" s="18">
        <f t="shared" si="274"/>
        <v>-1.8641661947612759E-2</v>
      </c>
      <c r="Z300" s="32" t="str">
        <f t="shared" si="261"/>
        <v>0.999956348416776+0.0101753984987606i</v>
      </c>
      <c r="AA300" s="18">
        <f t="shared" si="275"/>
        <v>1.0000081187038539</v>
      </c>
      <c r="AB300" s="18">
        <f t="shared" si="276"/>
        <v>1.0175491483603144E-2</v>
      </c>
      <c r="AC300" s="68" t="str">
        <f t="shared" si="277"/>
        <v>0.0345298908693916-0.730705035931175i</v>
      </c>
      <c r="AD300" s="66">
        <f t="shared" si="278"/>
        <v>-2.7154706168645486</v>
      </c>
      <c r="AE300" s="63">
        <f t="shared" si="279"/>
        <v>-87.294467362847072</v>
      </c>
      <c r="AF300" s="51" t="e">
        <f t="shared" si="280"/>
        <v>#NUM!</v>
      </c>
      <c r="AG300" s="51" t="str">
        <f t="shared" si="262"/>
        <v>1-17.7911115645907i</v>
      </c>
      <c r="AH300" s="51">
        <f t="shared" si="281"/>
        <v>17.819193323596693</v>
      </c>
      <c r="AI300" s="51">
        <f t="shared" si="282"/>
        <v>-1.5146475650410867</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-0.000133283554228113</v>
      </c>
      <c r="AT300" s="32" t="str">
        <f t="shared" si="266"/>
        <v>0.00253641947205847i</v>
      </c>
      <c r="AU300" s="32">
        <f t="shared" si="290"/>
        <v>2.5364194720584698E-3</v>
      </c>
      <c r="AV300" s="32">
        <f t="shared" si="291"/>
        <v>1.5707963267948966</v>
      </c>
      <c r="AW300" s="32" t="str">
        <f t="shared" si="267"/>
        <v>1+0.443474146142821i</v>
      </c>
      <c r="AX300" s="32">
        <f t="shared" si="292"/>
        <v>1.0939238174101085</v>
      </c>
      <c r="AY300" s="32">
        <f t="shared" si="293"/>
        <v>0.41741378877501095</v>
      </c>
      <c r="AZ300" s="32" t="str">
        <f t="shared" si="268"/>
        <v>1+6.60884642178692i</v>
      </c>
      <c r="BA300" s="32">
        <f t="shared" si="294"/>
        <v>6.6840744330659412</v>
      </c>
      <c r="BB300" s="32">
        <f t="shared" si="295"/>
        <v>1.420623167313094</v>
      </c>
      <c r="BC300" s="60" t="str">
        <f t="shared" si="296"/>
        <v>-0.270732650939168+0.172610845974057i</v>
      </c>
      <c r="BD300" s="51">
        <f t="shared" si="297"/>
        <v>-9.8678062758148695</v>
      </c>
      <c r="BE300" s="63">
        <f t="shared" si="298"/>
        <v>147.47966335817441</v>
      </c>
      <c r="BF300" s="60" t="str">
        <f t="shared" si="299"/>
        <v>0.116779245517873+0.203785945106605i</v>
      </c>
      <c r="BG300" s="66">
        <f t="shared" si="300"/>
        <v>-12.583276892679407</v>
      </c>
      <c r="BH300" s="63">
        <f t="shared" si="301"/>
        <v>60.18519599532744</v>
      </c>
      <c r="BI300" s="60" t="e">
        <f t="shared" si="255"/>
        <v>#NUM!</v>
      </c>
      <c r="BJ300" s="66" t="e">
        <f t="shared" si="302"/>
        <v>#NUM!</v>
      </c>
      <c r="BK300" s="63" t="e">
        <f t="shared" si="256"/>
        <v>#NUM!</v>
      </c>
      <c r="BL300" s="51">
        <f t="shared" si="303"/>
        <v>-12.583276892679407</v>
      </c>
      <c r="BM300" s="63">
        <f t="shared" si="304"/>
        <v>60.18519599532744</v>
      </c>
    </row>
    <row r="301" spans="14:65" x14ac:dyDescent="0.3">
      <c r="N301" s="11">
        <v>83</v>
      </c>
      <c r="O301" s="52">
        <f t="shared" si="305"/>
        <v>6760.8297539198229</v>
      </c>
      <c r="P301" s="50" t="str">
        <f t="shared" si="257"/>
        <v>21.1560044893378</v>
      </c>
      <c r="Q301" s="18" t="str">
        <f t="shared" si="258"/>
        <v>1+29.6069564244227i</v>
      </c>
      <c r="R301" s="18">
        <f t="shared" si="269"/>
        <v>29.62383953368747</v>
      </c>
      <c r="S301" s="18">
        <f t="shared" si="270"/>
        <v>1.5370333159507676</v>
      </c>
      <c r="T301" s="18" t="str">
        <f t="shared" si="259"/>
        <v>1+0.0424795461741716i</v>
      </c>
      <c r="U301" s="18">
        <f t="shared" si="271"/>
        <v>1.0009018492555419</v>
      </c>
      <c r="V301" s="18">
        <f t="shared" si="272"/>
        <v>4.24540221887569E-2</v>
      </c>
      <c r="W301" s="32" t="str">
        <f t="shared" si="260"/>
        <v>1-0.0190780920391694i</v>
      </c>
      <c r="X301" s="18">
        <f t="shared" si="273"/>
        <v>1.000181970241343</v>
      </c>
      <c r="Y301" s="18">
        <f t="shared" si="274"/>
        <v>-1.9075777903931675E-2</v>
      </c>
      <c r="Z301" s="32" t="str">
        <f t="shared" si="261"/>
        <v>0.999954291181039+0.0104124139774459i</v>
      </c>
      <c r="AA301" s="18">
        <f t="shared" si="275"/>
        <v>1.0000085013719693</v>
      </c>
      <c r="AB301" s="18">
        <f t="shared" si="276"/>
        <v>1.0412513612258206E-2</v>
      </c>
      <c r="AC301" s="68" t="str">
        <f t="shared" si="277"/>
        <v>0.0333952843688545-0.714142360940709i</v>
      </c>
      <c r="AD301" s="66">
        <f t="shared" si="278"/>
        <v>-2.9148175002117944</v>
      </c>
      <c r="AE301" s="63">
        <f t="shared" si="279"/>
        <v>-87.322640329135581</v>
      </c>
      <c r="AF301" s="51" t="e">
        <f t="shared" si="280"/>
        <v>#NUM!</v>
      </c>
      <c r="AG301" s="51" t="str">
        <f t="shared" si="262"/>
        <v>1-18.2055197889307i</v>
      </c>
      <c r="AH301" s="51">
        <f t="shared" si="281"/>
        <v>18.232963302358382</v>
      </c>
      <c r="AI301" s="51">
        <f t="shared" si="282"/>
        <v>-1.515923073038943</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-0.000133283554228113</v>
      </c>
      <c r="AT301" s="32" t="str">
        <f t="shared" si="266"/>
        <v>0.00259550027124189i</v>
      </c>
      <c r="AU301" s="32">
        <f t="shared" si="290"/>
        <v>2.5955002712418902E-3</v>
      </c>
      <c r="AV301" s="32">
        <f t="shared" si="291"/>
        <v>1.5707963267948966</v>
      </c>
      <c r="AW301" s="32" t="str">
        <f t="shared" si="267"/>
        <v>1+0.45380398600564i</v>
      </c>
      <c r="AX301" s="32">
        <f t="shared" si="292"/>
        <v>1.0981521104631211</v>
      </c>
      <c r="AY301" s="32">
        <f t="shared" si="293"/>
        <v>0.42601281676390695</v>
      </c>
      <c r="AZ301" s="32" t="str">
        <f t="shared" si="268"/>
        <v>1+6.76278623047429i</v>
      </c>
      <c r="BA301" s="32">
        <f t="shared" si="294"/>
        <v>6.8363204722345081</v>
      </c>
      <c r="BB301" s="32">
        <f t="shared" si="295"/>
        <v>1.4239920669506485</v>
      </c>
      <c r="BC301" s="60" t="str">
        <f t="shared" si="296"/>
        <v>-0.268651822344934+0.173267046020589i</v>
      </c>
      <c r="BD301" s="51">
        <f t="shared" si="297"/>
        <v>-9.9056920083197202</v>
      </c>
      <c r="BE301" s="63">
        <f t="shared" si="298"/>
        <v>147.17999907733088</v>
      </c>
      <c r="BF301" s="60" t="str">
        <f t="shared" si="299"/>
        <v>0.114765633314946+0.197641948954044i</v>
      </c>
      <c r="BG301" s="66">
        <f t="shared" si="300"/>
        <v>-12.820509508531517</v>
      </c>
      <c r="BH301" s="63">
        <f t="shared" si="301"/>
        <v>59.857358748195274</v>
      </c>
      <c r="BI301" s="60" t="e">
        <f t="shared" si="255"/>
        <v>#NUM!</v>
      </c>
      <c r="BJ301" s="66" t="e">
        <f t="shared" si="302"/>
        <v>#NUM!</v>
      </c>
      <c r="BK301" s="63" t="e">
        <f t="shared" si="256"/>
        <v>#NUM!</v>
      </c>
      <c r="BL301" s="51">
        <f t="shared" si="303"/>
        <v>-12.820509508531517</v>
      </c>
      <c r="BM301" s="63">
        <f t="shared" si="304"/>
        <v>59.857358748195274</v>
      </c>
    </row>
    <row r="302" spans="14:65" x14ac:dyDescent="0.3">
      <c r="N302" s="11">
        <v>84</v>
      </c>
      <c r="O302" s="52">
        <f t="shared" si="305"/>
        <v>6918.3097091893687</v>
      </c>
      <c r="P302" s="50" t="str">
        <f t="shared" si="257"/>
        <v>21.1560044893378</v>
      </c>
      <c r="Q302" s="18" t="str">
        <f t="shared" si="258"/>
        <v>1+30.2965910318734i</v>
      </c>
      <c r="R302" s="18">
        <f t="shared" si="269"/>
        <v>30.313090046258758</v>
      </c>
      <c r="S302" s="18">
        <f t="shared" si="270"/>
        <v>1.5378012917485964</v>
      </c>
      <c r="T302" s="18" t="str">
        <f t="shared" si="259"/>
        <v>1+0.0434690219152965i</v>
      </c>
      <c r="U302" s="18">
        <f t="shared" si="271"/>
        <v>1.0009443320516245</v>
      </c>
      <c r="V302" s="18">
        <f t="shared" si="272"/>
        <v>4.3441673865554337E-2</v>
      </c>
      <c r="W302" s="32" t="str">
        <f t="shared" si="260"/>
        <v>1-0.0195224778897693i</v>
      </c>
      <c r="X302" s="18">
        <f t="shared" si="273"/>
        <v>1.0001905454177002</v>
      </c>
      <c r="Y302" s="18">
        <f t="shared" si="274"/>
        <v>-1.9519998274699916E-2</v>
      </c>
      <c r="Z302" s="32" t="str">
        <f t="shared" si="261"/>
        <v>0.999952136990768+0.0106549502558465i</v>
      </c>
      <c r="AA302" s="18">
        <f t="shared" si="275"/>
        <v>1.0000089020790557</v>
      </c>
      <c r="AB302" s="18">
        <f t="shared" si="276"/>
        <v>1.0655057016200316E-2</v>
      </c>
      <c r="AC302" s="68" t="str">
        <f t="shared" si="277"/>
        <v>0.0323116010049555-0.697954887729534i</v>
      </c>
      <c r="AD302" s="66">
        <f t="shared" si="278"/>
        <v>-3.1141551116608914</v>
      </c>
      <c r="AE302" s="63">
        <f t="shared" si="279"/>
        <v>-87.349402494223213</v>
      </c>
      <c r="AF302" s="51" t="e">
        <f t="shared" si="280"/>
        <v>#NUM!</v>
      </c>
      <c r="AG302" s="51" t="str">
        <f t="shared" si="262"/>
        <v>1-18.6295808208414i</v>
      </c>
      <c r="AH302" s="51">
        <f t="shared" si="281"/>
        <v>18.656400552096372</v>
      </c>
      <c r="AI302" s="51">
        <f t="shared" si="282"/>
        <v>-1.5171697196564</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-0.000133283554228113</v>
      </c>
      <c r="AT302" s="32" t="str">
        <f t="shared" si="266"/>
        <v>0.00265595723902462i</v>
      </c>
      <c r="AU302" s="32">
        <f t="shared" si="290"/>
        <v>2.65595723902462E-3</v>
      </c>
      <c r="AV302" s="32">
        <f t="shared" si="291"/>
        <v>1.5707963267948966</v>
      </c>
      <c r="AW302" s="32" t="str">
        <f t="shared" si="267"/>
        <v>1+0.464374438748645i</v>
      </c>
      <c r="AX302" s="32">
        <f t="shared" si="292"/>
        <v>1.1025622972708249</v>
      </c>
      <c r="AY302" s="32">
        <f t="shared" si="293"/>
        <v>0.43474320320969945</v>
      </c>
      <c r="AZ302" s="32" t="str">
        <f t="shared" si="268"/>
        <v>1+6.92031175793711i</v>
      </c>
      <c r="BA302" s="32">
        <f t="shared" si="294"/>
        <v>6.9921895588608445</v>
      </c>
      <c r="BB302" s="32">
        <f t="shared" si="295"/>
        <v>1.4272875275357781</v>
      </c>
      <c r="BC302" s="60" t="str">
        <f t="shared" si="296"/>
        <v>-0.266506936473595+0.173941878059798i</v>
      </c>
      <c r="BD302" s="51">
        <f t="shared" si="297"/>
        <v>-9.9446891421428205</v>
      </c>
      <c r="BE302" s="63">
        <f t="shared" si="298"/>
        <v>146.86860076354819</v>
      </c>
      <c r="BF302" s="60" t="str">
        <f t="shared" si="299"/>
        <v>0.112792318176303+0.191630159487491i</v>
      </c>
      <c r="BG302" s="66">
        <f t="shared" si="300"/>
        <v>-13.058844253803702</v>
      </c>
      <c r="BH302" s="63">
        <f t="shared" si="301"/>
        <v>59.519198269324953</v>
      </c>
      <c r="BI302" s="60" t="e">
        <f t="shared" si="255"/>
        <v>#NUM!</v>
      </c>
      <c r="BJ302" s="66" t="e">
        <f t="shared" si="302"/>
        <v>#NUM!</v>
      </c>
      <c r="BK302" s="63" t="e">
        <f t="shared" si="256"/>
        <v>#NUM!</v>
      </c>
      <c r="BL302" s="51">
        <f t="shared" si="303"/>
        <v>-13.058844253803702</v>
      </c>
      <c r="BM302" s="63">
        <f t="shared" si="304"/>
        <v>59.519198269324953</v>
      </c>
    </row>
    <row r="303" spans="14:65" x14ac:dyDescent="0.3">
      <c r="N303" s="11">
        <v>85</v>
      </c>
      <c r="O303" s="52">
        <f t="shared" si="305"/>
        <v>7079.4578438413828</v>
      </c>
      <c r="P303" s="50" t="str">
        <f t="shared" si="257"/>
        <v>21.1560044893378</v>
      </c>
      <c r="Q303" s="18" t="str">
        <f t="shared" si="258"/>
        <v>1+31.0022892929119i</v>
      </c>
      <c r="R303" s="18">
        <f t="shared" si="269"/>
        <v>31.018412941370805</v>
      </c>
      <c r="S303" s="18">
        <f t="shared" si="270"/>
        <v>1.5385518239064619</v>
      </c>
      <c r="T303" s="18" t="str">
        <f t="shared" si="259"/>
        <v>1+0.0444815455072214i</v>
      </c>
      <c r="U303" s="18">
        <f t="shared" si="271"/>
        <v>1.0009888150677364</v>
      </c>
      <c r="V303" s="18">
        <f t="shared" si="272"/>
        <v>4.4452243107161914E-2</v>
      </c>
      <c r="W303" s="32" t="str">
        <f t="shared" si="260"/>
        <v>1-0.0199772148165568i</v>
      </c>
      <c r="X303" s="18">
        <f t="shared" si="273"/>
        <v>1.0001995246508704</v>
      </c>
      <c r="Y303" s="18">
        <f t="shared" si="274"/>
        <v>-1.9974557889765484E-2</v>
      </c>
      <c r="Z303" s="32" t="str">
        <f t="shared" si="261"/>
        <v>0.999949881276637+0.0109031359299078i</v>
      </c>
      <c r="AA303" s="18">
        <f t="shared" si="275"/>
        <v>1.0000093216756865</v>
      </c>
      <c r="AB303" s="18">
        <f t="shared" si="276"/>
        <v>1.0903250325383834E-2</v>
      </c>
      <c r="AC303" s="68" t="str">
        <f t="shared" si="277"/>
        <v>0.0312765574916919-0.682134262968989i</v>
      </c>
      <c r="AD303" s="66">
        <f t="shared" si="278"/>
        <v>-3.313482052280214</v>
      </c>
      <c r="AE303" s="63">
        <f t="shared" si="279"/>
        <v>-87.374768243407843</v>
      </c>
      <c r="AF303" s="51" t="e">
        <f t="shared" si="280"/>
        <v>#NUM!</v>
      </c>
      <c r="AG303" s="51" t="str">
        <f t="shared" si="262"/>
        <v>1-19.0635195030949i</v>
      </c>
      <c r="AH303" s="51">
        <f t="shared" si="281"/>
        <v>19.089729590669414</v>
      </c>
      <c r="AI303" s="51">
        <f t="shared" si="282"/>
        <v>-1.5183881503736254</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-0.000133283554228113</v>
      </c>
      <c r="AT303" s="32" t="str">
        <f t="shared" si="266"/>
        <v>0.00271782243049123i</v>
      </c>
      <c r="AU303" s="32">
        <f t="shared" si="290"/>
        <v>2.7178224304912298E-3</v>
      </c>
      <c r="AV303" s="32">
        <f t="shared" si="291"/>
        <v>1.5707963267948966</v>
      </c>
      <c r="AW303" s="32" t="str">
        <f t="shared" si="267"/>
        <v>1+0.475191108965796i</v>
      </c>
      <c r="AX303" s="32">
        <f t="shared" si="292"/>
        <v>1.1071615013358</v>
      </c>
      <c r="AY303" s="32">
        <f t="shared" si="293"/>
        <v>0.44360425263446845</v>
      </c>
      <c r="AZ303" s="32" t="str">
        <f t="shared" si="268"/>
        <v>1+7.08150652629515i</v>
      </c>
      <c r="BA303" s="32">
        <f t="shared" si="294"/>
        <v>7.1517644453631721</v>
      </c>
      <c r="BB303" s="32">
        <f t="shared" si="295"/>
        <v>1.4305110099051699</v>
      </c>
      <c r="BC303" s="60" t="str">
        <f t="shared" si="296"/>
        <v>-0.26429736915473+0.1746323273985i</v>
      </c>
      <c r="BD303" s="51">
        <f t="shared" si="297"/>
        <v>-9.9848457452104249</v>
      </c>
      <c r="BE303" s="63">
        <f t="shared" si="298"/>
        <v>146.54559196455324</v>
      </c>
      <c r="BF303" s="60" t="str">
        <f t="shared" si="299"/>
        <v>0.110856382079264+0.185748189140792i</v>
      </c>
      <c r="BG303" s="66">
        <f t="shared" si="300"/>
        <v>-13.298327797490632</v>
      </c>
      <c r="BH303" s="63">
        <f t="shared" si="301"/>
        <v>59.170823721145474</v>
      </c>
      <c r="BI303" s="60" t="e">
        <f t="shared" si="255"/>
        <v>#NUM!</v>
      </c>
      <c r="BJ303" s="66" t="e">
        <f t="shared" si="302"/>
        <v>#NUM!</v>
      </c>
      <c r="BK303" s="63" t="e">
        <f t="shared" si="256"/>
        <v>#NUM!</v>
      </c>
      <c r="BL303" s="51">
        <f t="shared" si="303"/>
        <v>-13.298327797490632</v>
      </c>
      <c r="BM303" s="63">
        <f t="shared" si="304"/>
        <v>59.170823721145474</v>
      </c>
    </row>
    <row r="304" spans="14:65" x14ac:dyDescent="0.3">
      <c r="N304" s="11">
        <v>86</v>
      </c>
      <c r="O304" s="52">
        <f t="shared" si="305"/>
        <v>7244.3596007499036</v>
      </c>
      <c r="P304" s="50" t="str">
        <f t="shared" si="257"/>
        <v>21.1560044893378</v>
      </c>
      <c r="Q304" s="18" t="str">
        <f t="shared" si="258"/>
        <v>1+31.7244253780975i</v>
      </c>
      <c r="R304" s="18">
        <f t="shared" si="269"/>
        <v>31.740182191828648</v>
      </c>
      <c r="S304" s="18">
        <f t="shared" si="270"/>
        <v>1.5392853069823262</v>
      </c>
      <c r="T304" s="18" t="str">
        <f t="shared" si="259"/>
        <v>1+0.0455176538033572i</v>
      </c>
      <c r="U304" s="18">
        <f t="shared" si="271"/>
        <v>1.0010353923851856</v>
      </c>
      <c r="V304" s="18">
        <f t="shared" si="272"/>
        <v>4.5486257469714762E-2</v>
      </c>
      <c r="W304" s="32" t="str">
        <f t="shared" si="260"/>
        <v>1-0.0204425439270699i</v>
      </c>
      <c r="X304" s="18">
        <f t="shared" si="273"/>
        <v>1.0002089269758645</v>
      </c>
      <c r="Y304" s="18">
        <f t="shared" si="274"/>
        <v>-2.0439697010837428E-2</v>
      </c>
      <c r="Z304" s="32" t="str">
        <f t="shared" si="261"/>
        <v>0.999947519253975+0.0111571025909591i</v>
      </c>
      <c r="AA304" s="18">
        <f t="shared" si="275"/>
        <v>1.0000097610525627</v>
      </c>
      <c r="AB304" s="18">
        <f t="shared" si="276"/>
        <v>1.1157225167578872E-2</v>
      </c>
      <c r="AC304" s="68" t="str">
        <f t="shared" si="277"/>
        <v>0.0302879723667436-0.666672312573333i</v>
      </c>
      <c r="AD304" s="66">
        <f t="shared" si="278"/>
        <v>-3.5127969007986799</v>
      </c>
      <c r="AE304" s="63">
        <f t="shared" si="279"/>
        <v>-87.398751264153091</v>
      </c>
      <c r="AF304" s="51" t="e">
        <f t="shared" si="280"/>
        <v>#NUM!</v>
      </c>
      <c r="AG304" s="51" t="str">
        <f t="shared" si="262"/>
        <v>1-19.5075659157245i</v>
      </c>
      <c r="AH304" s="51">
        <f t="shared" si="281"/>
        <v>19.53318018030695</v>
      </c>
      <c r="AI304" s="51">
        <f t="shared" si="282"/>
        <v>-1.5195789967397093</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-0.000133283554228113</v>
      </c>
      <c r="AT304" s="32" t="str">
        <f t="shared" si="266"/>
        <v>0.00278112864738512i</v>
      </c>
      <c r="AU304" s="32">
        <f t="shared" si="290"/>
        <v>2.7811286473851198E-3</v>
      </c>
      <c r="AV304" s="32">
        <f t="shared" si="291"/>
        <v>1.5707963267948966</v>
      </c>
      <c r="AW304" s="32" t="str">
        <f t="shared" si="267"/>
        <v>1+0.48625973179882i</v>
      </c>
      <c r="AX304" s="32">
        <f t="shared" si="292"/>
        <v>1.1119570705603075</v>
      </c>
      <c r="AY304" s="32">
        <f t="shared" si="293"/>
        <v>0.45259509624346311</v>
      </c>
      <c r="AZ304" s="32" t="str">
        <f t="shared" si="268"/>
        <v>1+7.24645600314826i</v>
      </c>
      <c r="BA304" s="32">
        <f t="shared" si="294"/>
        <v>7.3151298420167121</v>
      </c>
      <c r="BB304" s="32">
        <f t="shared" si="295"/>
        <v>1.4336639550943557</v>
      </c>
      <c r="BC304" s="60" t="str">
        <f t="shared" si="296"/>
        <v>-0.262022599263975+0.175335306695315i</v>
      </c>
      <c r="BD304" s="51">
        <f t="shared" si="297"/>
        <v>-10.026209895006577</v>
      </c>
      <c r="BE304" s="63">
        <f t="shared" si="298"/>
        <v>146.21110502387205</v>
      </c>
      <c r="BF304" s="60" t="str">
        <f t="shared" si="299"/>
        <v>0.108955061144351+0.179993763121892i</v>
      </c>
      <c r="BG304" s="66">
        <f t="shared" si="300"/>
        <v>-13.539006795805253</v>
      </c>
      <c r="BH304" s="63">
        <f t="shared" si="301"/>
        <v>58.812353759718881</v>
      </c>
      <c r="BI304" s="60" t="e">
        <f t="shared" si="255"/>
        <v>#NUM!</v>
      </c>
      <c r="BJ304" s="66" t="e">
        <f t="shared" si="302"/>
        <v>#NUM!</v>
      </c>
      <c r="BK304" s="63" t="e">
        <f t="shared" si="256"/>
        <v>#NUM!</v>
      </c>
      <c r="BL304" s="51">
        <f t="shared" si="303"/>
        <v>-13.539006795805253</v>
      </c>
      <c r="BM304" s="63">
        <f t="shared" si="304"/>
        <v>58.812353759718881</v>
      </c>
    </row>
    <row r="305" spans="14:65" x14ac:dyDescent="0.3">
      <c r="N305" s="11">
        <v>87</v>
      </c>
      <c r="O305" s="52">
        <f t="shared" si="305"/>
        <v>7413.1024130091773</v>
      </c>
      <c r="P305" s="50" t="str">
        <f t="shared" si="257"/>
        <v>21.1560044893378</v>
      </c>
      <c r="Q305" s="18" t="str">
        <f t="shared" si="258"/>
        <v>1+32.4633821735409i</v>
      </c>
      <c r="R305" s="18">
        <f t="shared" si="269"/>
        <v>32.478780490427482</v>
      </c>
      <c r="S305" s="18">
        <f t="shared" si="270"/>
        <v>1.5400021267199238</v>
      </c>
      <c r="T305" s="18" t="str">
        <f t="shared" si="259"/>
        <v>1+0.0465778961620368i</v>
      </c>
      <c r="U305" s="18">
        <f t="shared" si="271"/>
        <v>1.0010841625012761</v>
      </c>
      <c r="V305" s="18">
        <f t="shared" si="272"/>
        <v>4.6544256351853698E-2</v>
      </c>
      <c r="W305" s="32" t="str">
        <f t="shared" si="260"/>
        <v>1-0.0209187119449621i</v>
      </c>
      <c r="X305" s="18">
        <f t="shared" si="273"/>
        <v>1.0002187723240532</v>
      </c>
      <c r="Y305" s="18">
        <f t="shared" si="274"/>
        <v>-2.0915661455293524E-2</v>
      </c>
      <c r="Z305" s="32" t="str">
        <f t="shared" si="261"/>
        <v>0.999945045912614+0.0114169848954859i</v>
      </c>
      <c r="AA305" s="18">
        <f t="shared" si="275"/>
        <v>1.0000102211424058</v>
      </c>
      <c r="AB305" s="18">
        <f t="shared" si="276"/>
        <v>1.1417116238317496E-2</v>
      </c>
      <c r="AC305" s="68" t="str">
        <f t="shared" si="277"/>
        <v>0.0293437614825454-0.651561038378676i</v>
      </c>
      <c r="AD305" s="66">
        <f t="shared" si="278"/>
        <v>-3.7120982106446041</v>
      </c>
      <c r="AE305" s="63">
        <f t="shared" si="279"/>
        <v>-87.421364554465072</v>
      </c>
      <c r="AF305" s="51" t="e">
        <f t="shared" si="280"/>
        <v>#NUM!</v>
      </c>
      <c r="AG305" s="51" t="str">
        <f t="shared" si="262"/>
        <v>1-19.9619554980158i</v>
      </c>
      <c r="AH305" s="51">
        <f t="shared" si="281"/>
        <v>19.986987449457288</v>
      </c>
      <c r="AI305" s="51">
        <f t="shared" si="282"/>
        <v>-1.5207428766394344</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-0.000133283554228113</v>
      </c>
      <c r="AT305" s="32" t="str">
        <f t="shared" si="266"/>
        <v>0.00284590945550045i</v>
      </c>
      <c r="AU305" s="32">
        <f t="shared" si="290"/>
        <v>2.8459094555004501E-3</v>
      </c>
      <c r="AV305" s="32">
        <f t="shared" si="291"/>
        <v>1.5707963267948966</v>
      </c>
      <c r="AW305" s="32" t="str">
        <f t="shared" si="267"/>
        <v>1+0.497586175978051i</v>
      </c>
      <c r="AX305" s="32">
        <f t="shared" si="292"/>
        <v>1.116956580411459</v>
      </c>
      <c r="AY305" s="32">
        <f t="shared" si="293"/>
        <v>0.46171468589369191</v>
      </c>
      <c r="AZ305" s="32" t="str">
        <f t="shared" si="268"/>
        <v>1+7.41524764689242i</v>
      </c>
      <c r="BA305" s="32">
        <f t="shared" si="294"/>
        <v>7.4823724623105718</v>
      </c>
      <c r="BB305" s="32">
        <f t="shared" si="295"/>
        <v>1.4367477839560039</v>
      </c>
      <c r="BC305" s="60" t="str">
        <f t="shared" si="296"/>
        <v>-0.259682216770052+0.176047659544129i</v>
      </c>
      <c r="BD305" s="51">
        <f t="shared" si="297"/>
        <v>-10.068829625419069</v>
      </c>
      <c r="BE305" s="63">
        <f t="shared" si="298"/>
        <v>145.86528140453581</v>
      </c>
      <c r="BF305" s="60" t="str">
        <f t="shared" si="299"/>
        <v>0.107085742826549+0.174364715338395i</v>
      </c>
      <c r="BG305" s="66">
        <f t="shared" si="300"/>
        <v>-13.78092783606367</v>
      </c>
      <c r="BH305" s="63">
        <f t="shared" si="301"/>
        <v>58.443916850070849</v>
      </c>
      <c r="BI305" s="60" t="e">
        <f t="shared" si="255"/>
        <v>#NUM!</v>
      </c>
      <c r="BJ305" s="66" t="e">
        <f t="shared" si="302"/>
        <v>#NUM!</v>
      </c>
      <c r="BK305" s="63" t="e">
        <f t="shared" si="256"/>
        <v>#NUM!</v>
      </c>
      <c r="BL305" s="51">
        <f t="shared" si="303"/>
        <v>-13.78092783606367</v>
      </c>
      <c r="BM305" s="63">
        <f t="shared" si="304"/>
        <v>58.443916850070849</v>
      </c>
    </row>
    <row r="306" spans="14:65" x14ac:dyDescent="0.3">
      <c r="N306" s="11">
        <v>88</v>
      </c>
      <c r="O306" s="52">
        <f t="shared" si="305"/>
        <v>7585.7757502918394</v>
      </c>
      <c r="P306" s="50" t="str">
        <f t="shared" si="257"/>
        <v>21.1560044893378</v>
      </c>
      <c r="Q306" s="18" t="str">
        <f t="shared" si="258"/>
        <v>1+33.2195514839163i</v>
      </c>
      <c r="R306" s="18">
        <f t="shared" si="269"/>
        <v>33.234599452867869</v>
      </c>
      <c r="S306" s="18">
        <f t="shared" si="270"/>
        <v>1.5407026602382912</v>
      </c>
      <c r="T306" s="18" t="str">
        <f t="shared" si="259"/>
        <v>1+0.0476628347377929i</v>
      </c>
      <c r="U306" s="18">
        <f t="shared" si="271"/>
        <v>1.0011352285357069</v>
      </c>
      <c r="V306" s="18">
        <f t="shared" si="272"/>
        <v>4.7626791238933652E-2</v>
      </c>
      <c r="W306" s="32" t="str">
        <f t="shared" si="260"/>
        <v>1-0.0214059713408194i</v>
      </c>
      <c r="X306" s="18">
        <f t="shared" si="273"/>
        <v>1.0002290815653403</v>
      </c>
      <c r="Y306" s="18">
        <f t="shared" si="274"/>
        <v>-2.1402702722679759E-2</v>
      </c>
      <c r="Z306" s="32" t="str">
        <f t="shared" si="261"/>
        <v>0.999942456006266+0.011682920636526i</v>
      </c>
      <c r="AA306" s="18">
        <f t="shared" si="275"/>
        <v>1.0000107029219449</v>
      </c>
      <c r="AB306" s="18">
        <f t="shared" si="276"/>
        <v>1.1683061372476079E-2</v>
      </c>
      <c r="AC306" s="68" t="str">
        <f t="shared" si="277"/>
        <v>0.0284419336934169-0.636792614848152i</v>
      </c>
      <c r="AD306" s="66">
        <f t="shared" si="278"/>
        <v>-3.9113845069344584</v>
      </c>
      <c r="AE306" s="63">
        <f t="shared" si="279"/>
        <v>-87.442620431108878</v>
      </c>
      <c r="AF306" s="51" t="e">
        <f t="shared" si="280"/>
        <v>#NUM!</v>
      </c>
      <c r="AG306" s="51" t="str">
        <f t="shared" si="262"/>
        <v>1-20.4269291733398i</v>
      </c>
      <c r="AH306" s="51">
        <f t="shared" si="281"/>
        <v>20.451392017479904</v>
      </c>
      <c r="AI306" s="51">
        <f t="shared" si="282"/>
        <v>-1.5218803945572819</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-0.000133283554228113</v>
      </c>
      <c r="AT306" s="32" t="str">
        <f t="shared" si="266"/>
        <v>0.00291219920247915i</v>
      </c>
      <c r="AU306" s="32">
        <f t="shared" si="290"/>
        <v>2.9121992024791501E-3</v>
      </c>
      <c r="AV306" s="32">
        <f t="shared" si="291"/>
        <v>1.5707963267948966</v>
      </c>
      <c r="AW306" s="32" t="str">
        <f t="shared" si="267"/>
        <v>1+0.509176446934118i</v>
      </c>
      <c r="AX306" s="32">
        <f t="shared" si="292"/>
        <v>1.1221678368731001</v>
      </c>
      <c r="AY306" s="32">
        <f t="shared" si="293"/>
        <v>0.47096178836560432</v>
      </c>
      <c r="AZ306" s="32" t="str">
        <f t="shared" si="268"/>
        <v>1+7.58797095309136i</v>
      </c>
      <c r="BA306" s="32">
        <f t="shared" si="294"/>
        <v>7.6535810693399071</v>
      </c>
      <c r="BB306" s="32">
        <f t="shared" si="295"/>
        <v>1.4397638968356632</v>
      </c>
      <c r="BC306" s="60" t="str">
        <f t="shared" si="296"/>
        <v>-0.257275930747223+0.17676616478869i</v>
      </c>
      <c r="BD306" s="51">
        <f t="shared" si="297"/>
        <v>-10.112752868253256</v>
      </c>
      <c r="BE306" s="63">
        <f t="shared" si="298"/>
        <v>145.50827199870974</v>
      </c>
      <c r="BF306" s="60" t="str">
        <f t="shared" si="299"/>
        <v>0.105245963329245+0.168858984216176i</v>
      </c>
      <c r="BG306" s="66">
        <f t="shared" si="300"/>
        <v>-14.024137375187696</v>
      </c>
      <c r="BH306" s="63">
        <f t="shared" si="301"/>
        <v>58.065651567600817</v>
      </c>
      <c r="BI306" s="60" t="e">
        <f t="shared" ref="BI306:BI369" si="306">IMPRODUCT(AP306,BC306)</f>
        <v>#NUM!</v>
      </c>
      <c r="BJ306" s="66" t="e">
        <f t="shared" si="302"/>
        <v>#NUM!</v>
      </c>
      <c r="BK306" s="63" t="e">
        <f t="shared" ref="BK306:BK369" si="307">(180/PI())*IMARGUMENT(BI306)</f>
        <v>#NUM!</v>
      </c>
      <c r="BL306" s="51">
        <f t="shared" si="303"/>
        <v>-14.024137375187696</v>
      </c>
      <c r="BM306" s="63">
        <f t="shared" si="304"/>
        <v>58.065651567600817</v>
      </c>
    </row>
    <row r="307" spans="14:65" x14ac:dyDescent="0.3">
      <c r="N307" s="11">
        <v>89</v>
      </c>
      <c r="O307" s="52">
        <f t="shared" si="305"/>
        <v>7762.4711662869322</v>
      </c>
      <c r="P307" s="50" t="str">
        <f t="shared" si="257"/>
        <v>21.1560044893378</v>
      </c>
      <c r="Q307" s="18" t="str">
        <f t="shared" si="258"/>
        <v>1+33.9933342402013i</v>
      </c>
      <c r="R307" s="18">
        <f t="shared" si="269"/>
        <v>34.008039825400729</v>
      </c>
      <c r="S307" s="18">
        <f t="shared" si="270"/>
        <v>1.5413872762177205</v>
      </c>
      <c r="T307" s="18" t="str">
        <f t="shared" si="259"/>
        <v>1+0.0487730447794192i</v>
      </c>
      <c r="U307" s="18">
        <f t="shared" si="271"/>
        <v>1.0011886984465292</v>
      </c>
      <c r="V307" s="18">
        <f t="shared" si="272"/>
        <v>4.8734425950686486E-2</v>
      </c>
      <c r="W307" s="32" t="str">
        <f t="shared" si="260"/>
        <v>1-0.0219045804660232i</v>
      </c>
      <c r="X307" s="18">
        <f t="shared" si="273"/>
        <v>1.0002398765523162</v>
      </c>
      <c r="Y307" s="18">
        <f t="shared" si="274"/>
        <v>-2.1901078123947711E-2</v>
      </c>
      <c r="Z307" s="32" t="str">
        <f t="shared" si="261"/>
        <v>0.999939744041393+0.0119550508167292i</v>
      </c>
      <c r="AA307" s="18">
        <f t="shared" si="275"/>
        <v>1.0000112074139953</v>
      </c>
      <c r="AB307" s="18">
        <f t="shared" si="276"/>
        <v>1.1955201617534644E-2</v>
      </c>
      <c r="AC307" s="68" t="str">
        <f t="shared" si="277"/>
        <v>0.0275805867305104-0.622359385806072i</v>
      </c>
      <c r="AD307" s="66">
        <f t="shared" si="278"/>
        <v>-4.1106542834045694</v>
      </c>
      <c r="AE307" s="63">
        <f t="shared" si="279"/>
        <v>-87.462530537675065</v>
      </c>
      <c r="AF307" s="51" t="e">
        <f t="shared" si="280"/>
        <v>#NUM!</v>
      </c>
      <c r="AG307" s="51" t="str">
        <f t="shared" si="262"/>
        <v>1-20.902733476894i</v>
      </c>
      <c r="AH307" s="51">
        <f t="shared" si="281"/>
        <v>20.926640122247647</v>
      </c>
      <c r="AI307" s="51">
        <f t="shared" si="282"/>
        <v>-1.5229921418385171</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-0.000133283554228113</v>
      </c>
      <c r="AT307" s="32" t="str">
        <f t="shared" si="266"/>
        <v>0.00298003303602252i</v>
      </c>
      <c r="AU307" s="32">
        <f t="shared" si="290"/>
        <v>2.98003303602252E-3</v>
      </c>
      <c r="AV307" s="32">
        <f t="shared" si="291"/>
        <v>1.5707963267948966</v>
      </c>
      <c r="AW307" s="32" t="str">
        <f t="shared" si="267"/>
        <v>1+0.521036689982097i</v>
      </c>
      <c r="AX307" s="32">
        <f t="shared" si="292"/>
        <v>1.1275988791709133</v>
      </c>
      <c r="AY307" s="32">
        <f t="shared" si="293"/>
        <v>0.4803349799901388</v>
      </c>
      <c r="AZ307" s="32" t="str">
        <f t="shared" si="268"/>
        <v>1+7.76471750192831i</v>
      </c>
      <c r="BA307" s="32">
        <f t="shared" si="294"/>
        <v>7.8288465232594646</v>
      </c>
      <c r="BB307" s="32">
        <f t="shared" si="295"/>
        <v>1.4427136733010868</v>
      </c>
      <c r="BC307" s="60" t="str">
        <f t="shared" si="296"/>
        <v>-0.25480357728862+0.177487541591471i</v>
      </c>
      <c r="BD307" s="51">
        <f t="shared" si="297"/>
        <v>-10.158027389454825</v>
      </c>
      <c r="BE307" s="63">
        <f t="shared" si="298"/>
        <v>145.14023742003246</v>
      </c>
      <c r="BF307" s="60" t="str">
        <f t="shared" si="299"/>
        <v>0.103433405210444+0.163474608396984i</v>
      </c>
      <c r="BG307" s="66">
        <f t="shared" si="300"/>
        <v>-14.268681672859412</v>
      </c>
      <c r="BH307" s="63">
        <f t="shared" si="301"/>
        <v>57.677706882357484</v>
      </c>
      <c r="BI307" s="60" t="e">
        <f t="shared" si="306"/>
        <v>#NUM!</v>
      </c>
      <c r="BJ307" s="66" t="e">
        <f t="shared" si="302"/>
        <v>#NUM!</v>
      </c>
      <c r="BK307" s="63" t="e">
        <f t="shared" si="307"/>
        <v>#NUM!</v>
      </c>
      <c r="BL307" s="51">
        <f t="shared" si="303"/>
        <v>-14.268681672859412</v>
      </c>
      <c r="BM307" s="63">
        <f t="shared" si="304"/>
        <v>57.677706882357484</v>
      </c>
    </row>
    <row r="308" spans="14:65" x14ac:dyDescent="0.3">
      <c r="N308" s="11">
        <v>90</v>
      </c>
      <c r="O308" s="52">
        <f t="shared" si="305"/>
        <v>7943.2823472428154</v>
      </c>
      <c r="P308" s="50" t="str">
        <f t="shared" si="257"/>
        <v>21.1560044893378</v>
      </c>
      <c r="Q308" s="18" t="str">
        <f t="shared" si="258"/>
        <v>1+34.7851407122554i</v>
      </c>
      <c r="R308" s="18">
        <f t="shared" si="269"/>
        <v>34.799511697312759</v>
      </c>
      <c r="S308" s="18">
        <f t="shared" si="270"/>
        <v>1.5420563350821663</v>
      </c>
      <c r="T308" s="18" t="str">
        <f t="shared" si="259"/>
        <v>1+0.049909114934975i</v>
      </c>
      <c r="U308" s="18">
        <f t="shared" si="271"/>
        <v>1.0012446852561028</v>
      </c>
      <c r="V308" s="18">
        <f t="shared" si="272"/>
        <v>4.9867736892264272E-2</v>
      </c>
      <c r="W308" s="32" t="str">
        <f t="shared" si="260"/>
        <v>1-0.0224148036897314i</v>
      </c>
      <c r="X308" s="18">
        <f t="shared" si="273"/>
        <v>1.0002511801664866</v>
      </c>
      <c r="Y308" s="18">
        <f t="shared" si="274"/>
        <v>-2.2411050913480026E-2</v>
      </c>
      <c r="Z308" s="32" t="str">
        <f t="shared" si="261"/>
        <v>0.999936904265552+0.0122335197231193i</v>
      </c>
      <c r="AA308" s="18">
        <f t="shared" si="275"/>
        <v>1.0000117356896325</v>
      </c>
      <c r="AB308" s="18">
        <f t="shared" si="276"/>
        <v>1.2233681308552773E-2</v>
      </c>
      <c r="AC308" s="68" t="str">
        <f t="shared" si="277"/>
        <v>0.026757903256654-0.608253861203423i</v>
      </c>
      <c r="AD308" s="66">
        <f t="shared" si="278"/>
        <v>-4.3099059992799251</v>
      </c>
      <c r="AE308" s="63">
        <f t="shared" si="279"/>
        <v>-87.481105852507397</v>
      </c>
      <c r="AF308" s="51" t="e">
        <f t="shared" si="280"/>
        <v>#NUM!</v>
      </c>
      <c r="AG308" s="51" t="str">
        <f t="shared" si="262"/>
        <v>1-21.3896206864179i</v>
      </c>
      <c r="AH308" s="51">
        <f t="shared" si="281"/>
        <v>21.412983750725552</v>
      </c>
      <c r="AI308" s="51">
        <f t="shared" si="282"/>
        <v>-1.5240786969472191</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-0.000133283554228113</v>
      </c>
      <c r="AT308" s="32" t="str">
        <f t="shared" si="266"/>
        <v>0.00304944692252697i</v>
      </c>
      <c r="AU308" s="32">
        <f t="shared" si="290"/>
        <v>3.0494469225269701E-3</v>
      </c>
      <c r="AV308" s="32">
        <f t="shared" si="291"/>
        <v>1.5707963267948966</v>
      </c>
      <c r="AW308" s="32" t="str">
        <f t="shared" si="267"/>
        <v>1+0.533173193579838i</v>
      </c>
      <c r="AX308" s="32">
        <f t="shared" si="292"/>
        <v>1.1332579822582867</v>
      </c>
      <c r="AY308" s="32">
        <f t="shared" si="293"/>
        <v>0.48983264168492391</v>
      </c>
      <c r="AZ308" s="32" t="str">
        <f t="shared" si="268"/>
        <v>1+7.94558100676295i</v>
      </c>
      <c r="BA308" s="32">
        <f t="shared" si="294"/>
        <v>8.0082618298250043</v>
      </c>
      <c r="BB308" s="32">
        <f t="shared" si="295"/>
        <v>1.4455984719214625</v>
      </c>
      <c r="BC308" s="60" t="str">
        <f t="shared" si="296"/>
        <v>-0.252265127250918+0.178208455274402i</v>
      </c>
      <c r="BD308" s="51">
        <f t="shared" si="297"/>
        <v>-10.204700720125022</v>
      </c>
      <c r="BE308" s="63">
        <f t="shared" si="298"/>
        <v>144.76134827537084</v>
      </c>
      <c r="BF308" s="60" t="str">
        <f t="shared" si="299"/>
        <v>0.101645895149745+0.158209722303094i</v>
      </c>
      <c r="BG308" s="66">
        <f t="shared" si="300"/>
        <v>-14.514606719404942</v>
      </c>
      <c r="BH308" s="63">
        <f t="shared" si="301"/>
        <v>57.280242422863452</v>
      </c>
      <c r="BI308" s="60" t="e">
        <f t="shared" si="306"/>
        <v>#NUM!</v>
      </c>
      <c r="BJ308" s="66" t="e">
        <f t="shared" si="302"/>
        <v>#NUM!</v>
      </c>
      <c r="BK308" s="63" t="e">
        <f t="shared" si="307"/>
        <v>#NUM!</v>
      </c>
      <c r="BL308" s="51">
        <f t="shared" si="303"/>
        <v>-14.514606719404942</v>
      </c>
      <c r="BM308" s="63">
        <f t="shared" si="304"/>
        <v>57.280242422863452</v>
      </c>
    </row>
    <row r="309" spans="14:65" x14ac:dyDescent="0.3">
      <c r="N309" s="11">
        <v>91</v>
      </c>
      <c r="O309" s="52">
        <f t="shared" si="305"/>
        <v>8128.3051616410066</v>
      </c>
      <c r="P309" s="50" t="str">
        <f t="shared" si="257"/>
        <v>21.1560044893378</v>
      </c>
      <c r="Q309" s="18" t="str">
        <f t="shared" si="258"/>
        <v>1+35.595390726351i</v>
      </c>
      <c r="R309" s="18">
        <f t="shared" si="269"/>
        <v>35.609434718366344</v>
      </c>
      <c r="S309" s="18">
        <f t="shared" si="270"/>
        <v>1.542710189178145</v>
      </c>
      <c r="T309" s="18" t="str">
        <f t="shared" si="259"/>
        <v>1+0.0510716475638948i</v>
      </c>
      <c r="U309" s="18">
        <f t="shared" si="271"/>
        <v>1.0013033072875024</v>
      </c>
      <c r="V309" s="18">
        <f t="shared" si="272"/>
        <v>5.1027313308575149E-2</v>
      </c>
      <c r="W309" s="32" t="str">
        <f t="shared" si="260"/>
        <v>1-0.022936911539051i</v>
      </c>
      <c r="X309" s="18">
        <f t="shared" si="273"/>
        <v>1.0002630163666706</v>
      </c>
      <c r="Y309" s="18">
        <f t="shared" si="274"/>
        <v>-2.2932890423953838E-2</v>
      </c>
      <c r="Z309" s="32" t="str">
        <f t="shared" si="261"/>
        <v>0.999933930655199+0.0125184750035964i</v>
      </c>
      <c r="AA309" s="18">
        <f t="shared" si="275"/>
        <v>1.0000122888704779</v>
      </c>
      <c r="AB309" s="18">
        <f t="shared" si="276"/>
        <v>1.2518648144901017E-2</v>
      </c>
      <c r="AC309" s="68" t="str">
        <f t="shared" si="277"/>
        <v>0.0259721470934737-0.594468713916785i</v>
      </c>
      <c r="AD309" s="66">
        <f t="shared" si="278"/>
        <v>-4.5091380760748532</v>
      </c>
      <c r="AE309" s="63">
        <f t="shared" si="279"/>
        <v>-87.498356696504061</v>
      </c>
      <c r="AF309" s="51" t="e">
        <f t="shared" si="280"/>
        <v>#NUM!</v>
      </c>
      <c r="AG309" s="51" t="str">
        <f t="shared" si="262"/>
        <v>1-21.8878489559549i</v>
      </c>
      <c r="AH309" s="51">
        <f t="shared" si="281"/>
        <v>21.910680772598006</v>
      </c>
      <c r="AI309" s="51">
        <f t="shared" si="282"/>
        <v>-1.5251406257211411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-0.000133283554228113</v>
      </c>
      <c r="AT309" s="32" t="str">
        <f t="shared" si="266"/>
        <v>0.00312047766615397i</v>
      </c>
      <c r="AU309" s="32">
        <f t="shared" si="290"/>
        <v>3.1204776661539701E-3</v>
      </c>
      <c r="AV309" s="32">
        <f t="shared" si="291"/>
        <v>1.5707963267948966</v>
      </c>
      <c r="AW309" s="32" t="str">
        <f t="shared" si="267"/>
        <v>1+0.5455923926622i</v>
      </c>
      <c r="AX309" s="32">
        <f t="shared" si="292"/>
        <v>1.1391536590516944</v>
      </c>
      <c r="AY309" s="32">
        <f t="shared" si="293"/>
        <v>0.49945295445443988</v>
      </c>
      <c r="AZ309" s="32" t="str">
        <f t="shared" si="268"/>
        <v>1+8.13065736381961i</v>
      </c>
      <c r="BA309" s="32">
        <f t="shared" si="294"/>
        <v>8.191922190050029</v>
      </c>
      <c r="BB309" s="32">
        <f t="shared" si="295"/>
        <v>1.4484196300930556</v>
      </c>
      <c r="BC309" s="60" t="str">
        <f t="shared" si="296"/>
        <v>-0.249660693756291+0.178925523942654i</v>
      </c>
      <c r="BD309" s="51">
        <f t="shared" si="297"/>
        <v>-10.252820082457157</v>
      </c>
      <c r="BE309" s="63">
        <f t="shared" si="298"/>
        <v>144.37178541265283</v>
      </c>
      <c r="BF309" s="60" t="str">
        <f t="shared" si="299"/>
        <v>0.0998814018433794+0.15306255155949i</v>
      </c>
      <c r="BG309" s="66">
        <f t="shared" si="300"/>
        <v>-14.761958158532014</v>
      </c>
      <c r="BH309" s="63">
        <f t="shared" si="301"/>
        <v>56.873428716148744</v>
      </c>
      <c r="BI309" s="60" t="e">
        <f t="shared" si="306"/>
        <v>#NUM!</v>
      </c>
      <c r="BJ309" s="66" t="e">
        <f t="shared" si="302"/>
        <v>#NUM!</v>
      </c>
      <c r="BK309" s="63" t="e">
        <f t="shared" si="307"/>
        <v>#NUM!</v>
      </c>
      <c r="BL309" s="51">
        <f t="shared" si="303"/>
        <v>-14.761958158532014</v>
      </c>
      <c r="BM309" s="63">
        <f t="shared" si="304"/>
        <v>56.873428716148744</v>
      </c>
    </row>
    <row r="310" spans="14:65" x14ac:dyDescent="0.3">
      <c r="N310" s="11">
        <v>92</v>
      </c>
      <c r="O310" s="52">
        <f t="shared" si="305"/>
        <v>8317.6377110267094</v>
      </c>
      <c r="P310" s="50" t="str">
        <f t="shared" si="257"/>
        <v>21.1560044893378</v>
      </c>
      <c r="Q310" s="18" t="str">
        <f t="shared" si="258"/>
        <v>1+36.4245138877702i</v>
      </c>
      <c r="R310" s="18">
        <f t="shared" si="269"/>
        <v>36.438238321306976</v>
      </c>
      <c r="S310" s="18">
        <f t="shared" si="270"/>
        <v>1.5433491829501598</v>
      </c>
      <c r="T310" s="18" t="str">
        <f t="shared" si="259"/>
        <v>1+0.0522612590563659i</v>
      </c>
      <c r="U310" s="18">
        <f t="shared" si="271"/>
        <v>1.0013646884118477</v>
      </c>
      <c r="V310" s="18">
        <f t="shared" si="272"/>
        <v>5.2213757541807654E-2</v>
      </c>
      <c r="W310" s="32" t="str">
        <f t="shared" si="260"/>
        <v>1-0.0234711808424744i</v>
      </c>
      <c r="X310" s="18">
        <f t="shared" si="273"/>
        <v>1.00027541023967</v>
      </c>
      <c r="Y310" s="18">
        <f t="shared" si="274"/>
        <v>-2.3466872204089214E-2</v>
      </c>
      <c r="Z310" s="32" t="str">
        <f t="shared" si="261"/>
        <v>0.999930816902908+0.012810067745222i</v>
      </c>
      <c r="AA310" s="18">
        <f t="shared" si="275"/>
        <v>1.0000128681310825</v>
      </c>
      <c r="AB310" s="18">
        <f t="shared" si="276"/>
        <v>1.2810253268791589E-2</v>
      </c>
      <c r="AC310" s="68" t="str">
        <f t="shared" si="277"/>
        <v>0.0252216596134824-0.580996776582663i</v>
      </c>
      <c r="AD310" s="66">
        <f t="shared" si="278"/>
        <v>-4.7083488943179761</v>
      </c>
      <c r="AE310" s="63">
        <f t="shared" si="279"/>
        <v>-87.514292740805757</v>
      </c>
      <c r="AF310" s="51" t="e">
        <f t="shared" si="280"/>
        <v>#NUM!</v>
      </c>
      <c r="AG310" s="51" t="str">
        <f t="shared" si="262"/>
        <v>1-22.3976824527283i</v>
      </c>
      <c r="AH310" s="51">
        <f t="shared" si="281"/>
        <v>22.419995077012246</v>
      </c>
      <c r="AI310" s="51">
        <f t="shared" si="282"/>
        <v>-1.5261784816232906</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-0.000133283554228113</v>
      </c>
      <c r="AT310" s="32" t="str">
        <f t="shared" si="266"/>
        <v>0.00319316292834395i</v>
      </c>
      <c r="AU310" s="32">
        <f t="shared" si="290"/>
        <v>3.1931629283439501E-3</v>
      </c>
      <c r="AV310" s="32">
        <f t="shared" si="291"/>
        <v>1.5707963267948966</v>
      </c>
      <c r="AW310" s="32" t="str">
        <f t="shared" si="267"/>
        <v>1+0.558300872052918i</v>
      </c>
      <c r="AX310" s="32">
        <f t="shared" si="292"/>
        <v>1.1452946624057272</v>
      </c>
      <c r="AY310" s="32">
        <f t="shared" si="293"/>
        <v>0.50919389540946869</v>
      </c>
      <c r="AZ310" s="32" t="str">
        <f t="shared" si="268"/>
        <v>1+8.3200447030325i</v>
      </c>
      <c r="BA310" s="32">
        <f t="shared" si="294"/>
        <v>8.3799250510048822</v>
      </c>
      <c r="BB310" s="32">
        <f t="shared" si="295"/>
        <v>1.4511784639079475</v>
      </c>
      <c r="BC310" s="60" t="str">
        <f t="shared" si="296"/>
        <v>-0.246990539373557+0.179635325895459i</v>
      </c>
      <c r="BD310" s="51">
        <f t="shared" si="297"/>
        <v>-10.302432310771945</v>
      </c>
      <c r="BE310" s="63">
        <f t="shared" si="298"/>
        <v>143.97174014141484</v>
      </c>
      <c r="BF310" s="60" t="str">
        <f t="shared" si="299"/>
        <v>0.0981380339938076+0.148031408266742i</v>
      </c>
      <c r="BG310" s="66">
        <f t="shared" si="300"/>
        <v>-15.010781205089929</v>
      </c>
      <c r="BH310" s="63">
        <f t="shared" si="301"/>
        <v>56.457447400609055</v>
      </c>
      <c r="BI310" s="60" t="e">
        <f t="shared" si="306"/>
        <v>#NUM!</v>
      </c>
      <c r="BJ310" s="66" t="e">
        <f t="shared" si="302"/>
        <v>#NUM!</v>
      </c>
      <c r="BK310" s="63" t="e">
        <f t="shared" si="307"/>
        <v>#NUM!</v>
      </c>
      <c r="BL310" s="51">
        <f t="shared" si="303"/>
        <v>-15.010781205089929</v>
      </c>
      <c r="BM310" s="63">
        <f t="shared" si="304"/>
        <v>56.457447400609055</v>
      </c>
    </row>
    <row r="311" spans="14:65" x14ac:dyDescent="0.3">
      <c r="N311" s="11">
        <v>93</v>
      </c>
      <c r="O311" s="52">
        <f t="shared" si="305"/>
        <v>8511.3803820237772</v>
      </c>
      <c r="P311" s="50" t="str">
        <f t="shared" si="257"/>
        <v>21.1560044893378</v>
      </c>
      <c r="Q311" s="18" t="str">
        <f t="shared" si="258"/>
        <v>1+37.2729498085883i</v>
      </c>
      <c r="R311" s="18">
        <f t="shared" si="269"/>
        <v>37.286361949559286</v>
      </c>
      <c r="S311" s="18">
        <f t="shared" si="270"/>
        <v>1.5439736531126962</v>
      </c>
      <c r="T311" s="18" t="str">
        <f t="shared" si="259"/>
        <v>1+0.0534785801601484i</v>
      </c>
      <c r="U311" s="18">
        <f t="shared" si="271"/>
        <v>1.001428958307051</v>
      </c>
      <c r="V311" s="18">
        <f t="shared" si="272"/>
        <v>5.3427685292032366E-2</v>
      </c>
      <c r="W311" s="32" t="str">
        <f t="shared" si="260"/>
        <v>1-0.0240178948766584i</v>
      </c>
      <c r="X311" s="18">
        <f t="shared" si="273"/>
        <v>1.0002883880533184</v>
      </c>
      <c r="Y311" s="18">
        <f t="shared" si="274"/>
        <v>-2.4013278159334503E-2</v>
      </c>
      <c r="Z311" s="32" t="str">
        <f t="shared" si="261"/>
        <v>0.999927556403992+0.0131084525543274i</v>
      </c>
      <c r="AA311" s="18">
        <f t="shared" si="275"/>
        <v>1.00001347470143</v>
      </c>
      <c r="AB311" s="18">
        <f t="shared" si="276"/>
        <v>1.3108651345649877E-2</v>
      </c>
      <c r="AC311" s="68" t="str">
        <f t="shared" si="277"/>
        <v>0.0245048562901087-0.567831038468802i</v>
      </c>
      <c r="AD311" s="66">
        <f t="shared" si="278"/>
        <v>-4.9075367901967173</v>
      </c>
      <c r="AE311" s="63">
        <f t="shared" si="279"/>
        <v>-87.528923014384418</v>
      </c>
      <c r="AF311" s="51" t="e">
        <f t="shared" si="280"/>
        <v>#NUM!</v>
      </c>
      <c r="AG311" s="51" t="str">
        <f t="shared" si="262"/>
        <v>1-22.9193914972065i</v>
      </c>
      <c r="AH311" s="51">
        <f t="shared" si="281"/>
        <v>22.941196712513097</v>
      </c>
      <c r="AI311" s="51">
        <f t="shared" si="282"/>
        <v>-1.5271928059901456</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-0.000133283554228113</v>
      </c>
      <c r="AT311" s="32" t="str">
        <f t="shared" si="266"/>
        <v>0.00326754124778507i</v>
      </c>
      <c r="AU311" s="32">
        <f t="shared" si="290"/>
        <v>3.2675412477850699E-3</v>
      </c>
      <c r="AV311" s="32">
        <f t="shared" si="291"/>
        <v>1.5707963267948966</v>
      </c>
      <c r="AW311" s="32" t="str">
        <f t="shared" si="267"/>
        <v>1+0.571305369955986i</v>
      </c>
      <c r="AX311" s="32">
        <f t="shared" si="292"/>
        <v>1.1516899868196067</v>
      </c>
      <c r="AY311" s="32">
        <f t="shared" si="293"/>
        <v>0.51905323436126749</v>
      </c>
      <c r="AZ311" s="32" t="str">
        <f t="shared" si="268"/>
        <v>1+8.51384344007578i</v>
      </c>
      <c r="BA311" s="32">
        <f t="shared" si="294"/>
        <v>8.5723701577872493</v>
      </c>
      <c r="BB311" s="32">
        <f t="shared" si="295"/>
        <v>1.4538762680627437</v>
      </c>
      <c r="BC311" s="60" t="str">
        <f t="shared" si="296"/>
        <v>-0.244255082897109+0.180334407819986i</v>
      </c>
      <c r="BD311" s="51">
        <f t="shared" si="297"/>
        <v>-10.353583767878931</v>
      </c>
      <c r="BE311" s="63">
        <f t="shared" si="298"/>
        <v>143.56141442271056</v>
      </c>
      <c r="BF311" s="60" t="str">
        <f t="shared" si="299"/>
        <v>0.0964140383595569+0.143114686120539i</v>
      </c>
      <c r="BG311" s="66">
        <f t="shared" si="300"/>
        <v>-15.261120558075659</v>
      </c>
      <c r="BH311" s="63">
        <f t="shared" si="301"/>
        <v>56.032491408326059</v>
      </c>
      <c r="BI311" s="60" t="e">
        <f t="shared" si="306"/>
        <v>#NUM!</v>
      </c>
      <c r="BJ311" s="66" t="e">
        <f t="shared" si="302"/>
        <v>#NUM!</v>
      </c>
      <c r="BK311" s="63" t="e">
        <f t="shared" si="307"/>
        <v>#NUM!</v>
      </c>
      <c r="BL311" s="51">
        <f t="shared" si="303"/>
        <v>-15.261120558075659</v>
      </c>
      <c r="BM311" s="63">
        <f t="shared" si="304"/>
        <v>56.032491408326059</v>
      </c>
    </row>
    <row r="312" spans="14:65" x14ac:dyDescent="0.3">
      <c r="N312" s="11">
        <v>94</v>
      </c>
      <c r="O312" s="52">
        <f t="shared" si="305"/>
        <v>8709.6358995608189</v>
      </c>
      <c r="P312" s="50" t="str">
        <f t="shared" si="257"/>
        <v>21.1560044893378</v>
      </c>
      <c r="Q312" s="18" t="str">
        <f t="shared" si="258"/>
        <v>1+38.1411483407607i</v>
      </c>
      <c r="R312" s="18">
        <f t="shared" si="269"/>
        <v>38.154255290228278</v>
      </c>
      <c r="S312" s="18">
        <f t="shared" si="270"/>
        <v>1.5445839288188228</v>
      </c>
      <c r="T312" s="18" t="str">
        <f t="shared" si="259"/>
        <v>1+0.0547242563150044i</v>
      </c>
      <c r="U312" s="18">
        <f t="shared" si="271"/>
        <v>1.0014962527285014</v>
      </c>
      <c r="V312" s="18">
        <f t="shared" si="272"/>
        <v>5.4669725880742946E-2</v>
      </c>
      <c r="W312" s="32" t="str">
        <f t="shared" si="260"/>
        <v>1-0.0245773435166203i</v>
      </c>
      <c r="X312" s="18">
        <f t="shared" si="273"/>
        <v>1.0003019773120185</v>
      </c>
      <c r="Y312" s="18">
        <f t="shared" si="274"/>
        <v>-2.4572396695534293E-2</v>
      </c>
      <c r="Z312" s="32" t="str">
        <f t="shared" si="261"/>
        <v>0.999924142242497+0.013413787638488i</v>
      </c>
      <c r="AA312" s="18">
        <f t="shared" si="275"/>
        <v>1.0000141098695576</v>
      </c>
      <c r="AB312" s="18">
        <f t="shared" si="276"/>
        <v>1.3414000646370616E-2</v>
      </c>
      <c r="AC312" s="68" t="str">
        <f t="shared" si="277"/>
        <v>0.0238202233989261-0.554964642384091i</v>
      </c>
      <c r="AD312" s="66">
        <f t="shared" si="278"/>
        <v>-5.1067000521131956</v>
      </c>
      <c r="AE312" s="63">
        <f t="shared" si="279"/>
        <v>-87.542255911548139</v>
      </c>
      <c r="AF312" s="51" t="e">
        <f t="shared" si="280"/>
        <v>#NUM!</v>
      </c>
      <c r="AG312" s="51" t="str">
        <f t="shared" si="262"/>
        <v>1-23.4532527064305i</v>
      </c>
      <c r="AH312" s="51">
        <f t="shared" si="281"/>
        <v>23.474562030242218</v>
      </c>
      <c r="AI312" s="51">
        <f t="shared" si="282"/>
        <v>-1.528184128276425</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-0.000133283554228113</v>
      </c>
      <c r="AT312" s="32" t="str">
        <f t="shared" si="266"/>
        <v>0.00334365206084677i</v>
      </c>
      <c r="AU312" s="32">
        <f t="shared" si="290"/>
        <v>3.3436520608467698E-3</v>
      </c>
      <c r="AV312" s="32">
        <f t="shared" si="291"/>
        <v>1.5707963267948966</v>
      </c>
      <c r="AW312" s="32" t="str">
        <f t="shared" si="267"/>
        <v>1+0.584612781528324i</v>
      </c>
      <c r="AX312" s="32">
        <f t="shared" si="292"/>
        <v>1.1583488698687816</v>
      </c>
      <c r="AY312" s="32">
        <f t="shared" si="293"/>
        <v>0.5290285310451972</v>
      </c>
      <c r="AZ312" s="32" t="str">
        <f t="shared" si="268"/>
        <v>1+8.71215632960501i</v>
      </c>
      <c r="BA312" s="32">
        <f t="shared" si="294"/>
        <v>8.7693596066917365</v>
      </c>
      <c r="BB312" s="32">
        <f t="shared" si="295"/>
        <v>1.456514315804267</v>
      </c>
      <c r="BC312" s="60" t="str">
        <f t="shared" si="296"/>
        <v>-0.241454905639742+0.181019293755609i</v>
      </c>
      <c r="BD312" s="51">
        <f t="shared" si="297"/>
        <v>-10.406320257042429</v>
      </c>
      <c r="BE312" s="63">
        <f t="shared" si="298"/>
        <v>143.14102102507397</v>
      </c>
      <c r="BF312" s="60" t="str">
        <f t="shared" si="299"/>
        <v>0.094707797830597+0.138310855377018i</v>
      </c>
      <c r="BG312" s="66">
        <f t="shared" si="300"/>
        <v>-15.513020309155635</v>
      </c>
      <c r="BH312" s="63">
        <f t="shared" si="301"/>
        <v>55.598765113525772</v>
      </c>
      <c r="BI312" s="60" t="e">
        <f t="shared" si="306"/>
        <v>#NUM!</v>
      </c>
      <c r="BJ312" s="66" t="e">
        <f t="shared" si="302"/>
        <v>#NUM!</v>
      </c>
      <c r="BK312" s="63" t="e">
        <f t="shared" si="307"/>
        <v>#NUM!</v>
      </c>
      <c r="BL312" s="51">
        <f t="shared" si="303"/>
        <v>-15.513020309155635</v>
      </c>
      <c r="BM312" s="63">
        <f t="shared" si="304"/>
        <v>55.598765113525772</v>
      </c>
    </row>
    <row r="313" spans="14:65" x14ac:dyDescent="0.3">
      <c r="N313" s="11">
        <v>95</v>
      </c>
      <c r="O313" s="52">
        <f t="shared" si="305"/>
        <v>8912.5093813374679</v>
      </c>
      <c r="P313" s="50" t="str">
        <f t="shared" si="257"/>
        <v>21.1560044893378</v>
      </c>
      <c r="Q313" s="18" t="str">
        <f t="shared" si="258"/>
        <v>1+39.0295698146411i</v>
      </c>
      <c r="R313" s="18">
        <f t="shared" si="269"/>
        <v>39.042378512533581</v>
      </c>
      <c r="S313" s="18">
        <f t="shared" si="270"/>
        <v>1.5451803318254445</v>
      </c>
      <c r="T313" s="18" t="str">
        <f t="shared" si="259"/>
        <v>1+0.0559989479949198i</v>
      </c>
      <c r="U313" s="18">
        <f t="shared" si="271"/>
        <v>1.0015667137922155</v>
      </c>
      <c r="V313" s="18">
        <f t="shared" si="272"/>
        <v>5.5940522517193503E-2</v>
      </c>
      <c r="W313" s="32" t="str">
        <f t="shared" si="260"/>
        <v>1-0.0251498233894344i</v>
      </c>
      <c r="X313" s="18">
        <f t="shared" si="273"/>
        <v>1.000316206814885</v>
      </c>
      <c r="Y313" s="18">
        <f t="shared" si="274"/>
        <v>-2.5144522865632162E-2</v>
      </c>
      <c r="Z313" s="32" t="str">
        <f t="shared" si="261"/>
        <v>0.999920567176528+0.0137262348904069i</v>
      </c>
      <c r="AA313" s="18">
        <f t="shared" si="275"/>
        <v>1.000014774984298</v>
      </c>
      <c r="AB313" s="18">
        <f t="shared" si="276"/>
        <v>1.3726463131503568E-2</v>
      </c>
      <c r="AC313" s="68" t="str">
        <f t="shared" si="277"/>
        <v>0.0231663148636045-0.542390881628256i</v>
      </c>
      <c r="AD313" s="66">
        <f t="shared" si="278"/>
        <v>-5.3058369171462711</v>
      </c>
      <c r="AE313" s="63">
        <f t="shared" si="279"/>
        <v>-87.554299199378306</v>
      </c>
      <c r="AF313" s="51" t="e">
        <f t="shared" si="280"/>
        <v>#NUM!</v>
      </c>
      <c r="AG313" s="51" t="str">
        <f t="shared" si="262"/>
        <v>1-23.9995491406799i</v>
      </c>
      <c r="AH313" s="51">
        <f t="shared" si="281"/>
        <v>24.020373830477936</v>
      </c>
      <c r="AI313" s="51">
        <f t="shared" si="282"/>
        <v>-1.529152966296351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-0.000133283554228113</v>
      </c>
      <c r="AT313" s="32" t="str">
        <f t="shared" si="266"/>
        <v>0.0034215357224896i</v>
      </c>
      <c r="AU313" s="32">
        <f t="shared" si="290"/>
        <v>3.4215357224896001E-3</v>
      </c>
      <c r="AV313" s="32">
        <f t="shared" si="291"/>
        <v>1.5707963267948966</v>
      </c>
      <c r="AW313" s="32" t="str">
        <f t="shared" si="267"/>
        <v>1+0.598230162535693i</v>
      </c>
      <c r="AX313" s="32">
        <f t="shared" si="292"/>
        <v>1.165280793357327</v>
      </c>
      <c r="AY313" s="32">
        <f t="shared" si="293"/>
        <v>0.53911713302744624</v>
      </c>
      <c r="AZ313" s="32" t="str">
        <f t="shared" si="268"/>
        <v>1+8.91508851973922i</v>
      </c>
      <c r="BA313" s="32">
        <f t="shared" si="294"/>
        <v>8.9709978996088307</v>
      </c>
      <c r="BB313" s="32">
        <f t="shared" si="295"/>
        <v>1.459093858909448</v>
      </c>
      <c r="BC313" s="60" t="str">
        <f t="shared" si="296"/>
        <v>-0.23859075715383+0.181686494806564i</v>
      </c>
      <c r="BD313" s="51">
        <f t="shared" si="297"/>
        <v>-10.460686929885448</v>
      </c>
      <c r="BE313" s="63">
        <f t="shared" si="298"/>
        <v>142.71078364330276</v>
      </c>
      <c r="BF313" s="60" t="str">
        <f t="shared" si="299"/>
        <v>0.0930178294943084+0.133618457666172i</v>
      </c>
      <c r="BG313" s="66">
        <f t="shared" si="300"/>
        <v>-15.766523847031737</v>
      </c>
      <c r="BH313" s="63">
        <f t="shared" si="301"/>
        <v>55.156484443924349</v>
      </c>
      <c r="BI313" s="60" t="e">
        <f t="shared" si="306"/>
        <v>#NUM!</v>
      </c>
      <c r="BJ313" s="66" t="e">
        <f t="shared" si="302"/>
        <v>#NUM!</v>
      </c>
      <c r="BK313" s="63" t="e">
        <f t="shared" si="307"/>
        <v>#NUM!</v>
      </c>
      <c r="BL313" s="51">
        <f t="shared" si="303"/>
        <v>-15.766523847031737</v>
      </c>
      <c r="BM313" s="63">
        <f t="shared" si="304"/>
        <v>55.156484443924349</v>
      </c>
    </row>
    <row r="314" spans="14:65" x14ac:dyDescent="0.3">
      <c r="N314" s="11">
        <v>96</v>
      </c>
      <c r="O314" s="52">
        <f t="shared" si="305"/>
        <v>9120.1083935591087</v>
      </c>
      <c r="P314" s="50" t="str">
        <f t="shared" si="257"/>
        <v>21.1560044893378</v>
      </c>
      <c r="Q314" s="18" t="str">
        <f t="shared" si="258"/>
        <v>1+39.9386852830547i</v>
      </c>
      <c r="R314" s="18">
        <f t="shared" si="269"/>
        <v>39.951202511800446</v>
      </c>
      <c r="S314" s="18">
        <f t="shared" si="270"/>
        <v>1.5457631766552495</v>
      </c>
      <c r="T314" s="18" t="str">
        <f t="shared" si="259"/>
        <v>1+0.0573033310582958i</v>
      </c>
      <c r="U314" s="18">
        <f t="shared" si="271"/>
        <v>1.0016404902710236</v>
      </c>
      <c r="V314" s="18">
        <f t="shared" si="272"/>
        <v>5.7240732567361355E-2</v>
      </c>
      <c r="W314" s="32" t="str">
        <f t="shared" si="260"/>
        <v>1-0.0257356380315068i</v>
      </c>
      <c r="X314" s="18">
        <f t="shared" si="273"/>
        <v>1.0003311067166154</v>
      </c>
      <c r="Y314" s="18">
        <f t="shared" si="274"/>
        <v>-2.5729958519453148E-2</v>
      </c>
      <c r="Z314" s="32" t="str">
        <f t="shared" si="261"/>
        <v>0.99991682362289+0.014045959973753i</v>
      </c>
      <c r="AA314" s="18">
        <f t="shared" si="275"/>
        <v>1.0000154714581539</v>
      </c>
      <c r="AB314" s="18">
        <f t="shared" si="276"/>
        <v>1.4046204537415268E-2</v>
      </c>
      <c r="AC314" s="68" t="str">
        <f t="shared" si="277"/>
        <v>0.0225417492403729-0.530103196982512i</v>
      </c>
      <c r="AD314" s="66">
        <f t="shared" si="278"/>
        <v>-5.504945567412376</v>
      </c>
      <c r="AE314" s="63">
        <f t="shared" si="279"/>
        <v>-87.565060025116793</v>
      </c>
      <c r="AF314" s="51" t="e">
        <f t="shared" si="280"/>
        <v>#NUM!</v>
      </c>
      <c r="AG314" s="51" t="str">
        <f t="shared" si="262"/>
        <v>1-24.5585704535554i</v>
      </c>
      <c r="AH314" s="51">
        <f t="shared" si="281"/>
        <v>24.578921512593759</v>
      </c>
      <c r="AI314" s="51">
        <f t="shared" si="282"/>
        <v>-1.5300998264613443</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-0.000133283554228113</v>
      </c>
      <c r="AT314" s="32" t="str">
        <f t="shared" si="266"/>
        <v>0.00350123352766187i</v>
      </c>
      <c r="AU314" s="32">
        <f t="shared" si="290"/>
        <v>3.5012335276618698E-3</v>
      </c>
      <c r="AV314" s="32">
        <f t="shared" si="291"/>
        <v>1.5707963267948966</v>
      </c>
      <c r="AW314" s="32" t="str">
        <f t="shared" si="267"/>
        <v>1+0.612164733093751i</v>
      </c>
      <c r="AX314" s="32">
        <f t="shared" si="292"/>
        <v>1.1724954841890622</v>
      </c>
      <c r="AY314" s="32">
        <f t="shared" si="293"/>
        <v>0.54931617434649083</v>
      </c>
      <c r="AZ314" s="32" t="str">
        <f t="shared" si="268"/>
        <v>1+9.12274760781174i</v>
      </c>
      <c r="BA314" s="32">
        <f t="shared" si="294"/>
        <v>9.1773919996824169</v>
      </c>
      <c r="BB314" s="32">
        <f t="shared" si="295"/>
        <v>1.4616161276967516</v>
      </c>
      <c r="BC314" s="60" t="str">
        <f t="shared" si="296"/>
        <v>-0.235663560294903+0.182332519571172i</v>
      </c>
      <c r="BD314" s="51">
        <f t="shared" si="297"/>
        <v>-10.516728190615236</v>
      </c>
      <c r="BE314" s="63">
        <f t="shared" si="298"/>
        <v>142.27093697695202</v>
      </c>
      <c r="BF314" s="60" t="str">
        <f t="shared" si="299"/>
        <v>0.0913427826572935+0.129036100659148i</v>
      </c>
      <c r="BG314" s="66">
        <f t="shared" si="300"/>
        <v>-16.021673758027603</v>
      </c>
      <c r="BH314" s="63">
        <f t="shared" si="301"/>
        <v>54.705876951835265</v>
      </c>
      <c r="BI314" s="60" t="e">
        <f t="shared" si="306"/>
        <v>#NUM!</v>
      </c>
      <c r="BJ314" s="66" t="e">
        <f t="shared" si="302"/>
        <v>#NUM!</v>
      </c>
      <c r="BK314" s="63" t="e">
        <f t="shared" si="307"/>
        <v>#NUM!</v>
      </c>
      <c r="BL314" s="51">
        <f t="shared" si="303"/>
        <v>-16.021673758027603</v>
      </c>
      <c r="BM314" s="63">
        <f t="shared" si="304"/>
        <v>54.705876951835265</v>
      </c>
    </row>
    <row r="315" spans="14:65" x14ac:dyDescent="0.3">
      <c r="N315" s="11">
        <v>97</v>
      </c>
      <c r="O315" s="52">
        <f t="shared" si="305"/>
        <v>9332.5430079699217</v>
      </c>
      <c r="P315" s="50" t="str">
        <f t="shared" si="257"/>
        <v>21.1560044893378</v>
      </c>
      <c r="Q315" s="18" t="str">
        <f t="shared" si="258"/>
        <v>1+40.8689767710563i</v>
      </c>
      <c r="R315" s="18">
        <f t="shared" si="269"/>
        <v>40.881209159137399</v>
      </c>
      <c r="S315" s="18">
        <f t="shared" si="270"/>
        <v>1.5463327707553978</v>
      </c>
      <c r="T315" s="18" t="str">
        <f t="shared" si="259"/>
        <v>1+0.0586380971062981i</v>
      </c>
      <c r="U315" s="18">
        <f t="shared" si="271"/>
        <v>1.0017177379043698</v>
      </c>
      <c r="V315" s="18">
        <f t="shared" si="272"/>
        <v>5.8571027825350779E-2</v>
      </c>
      <c r="W315" s="32" t="str">
        <f t="shared" si="260"/>
        <v>1-0.026335098049515i</v>
      </c>
      <c r="X315" s="18">
        <f t="shared" si="273"/>
        <v>1.0003467085912152</v>
      </c>
      <c r="Y315" s="18">
        <f t="shared" si="274"/>
        <v>-2.6329012456616872E-2</v>
      </c>
      <c r="Z315" s="32" t="str">
        <f t="shared" si="261"/>
        <v>0.999912903641004+0.0143731324109974i</v>
      </c>
      <c r="AA315" s="18">
        <f t="shared" si="275"/>
        <v>1.0000162007703115</v>
      </c>
      <c r="AB315" s="18">
        <f t="shared" si="276"/>
        <v>1.437339446447216E-2</v>
      </c>
      <c r="AC315" s="68" t="str">
        <f t="shared" si="277"/>
        <v>0.0219452068350356-0.518095173742137i</v>
      </c>
      <c r="AD315" s="66">
        <f t="shared" si="278"/>
        <v>-5.7040241263183846</v>
      </c>
      <c r="AE315" s="63">
        <f t="shared" si="279"/>
        <v>-87.574544923521501</v>
      </c>
      <c r="AF315" s="51" t="e">
        <f t="shared" si="280"/>
        <v>#NUM!</v>
      </c>
      <c r="AG315" s="51" t="str">
        <f t="shared" si="262"/>
        <v>1-25.1306130455564i</v>
      </c>
      <c r="AH315" s="51">
        <f t="shared" si="281"/>
        <v>25.150501228514106</v>
      </c>
      <c r="AI315" s="51">
        <f t="shared" si="282"/>
        <v>-1.5310252040141108</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-0.000133283554228113</v>
      </c>
      <c r="AT315" s="32" t="str">
        <f t="shared" si="266"/>
        <v>0.00358278773319482i</v>
      </c>
      <c r="AU315" s="32">
        <f t="shared" si="290"/>
        <v>3.58278773319482E-3</v>
      </c>
      <c r="AV315" s="32">
        <f t="shared" si="291"/>
        <v>1.5707963267948966</v>
      </c>
      <c r="AW315" s="32" t="str">
        <f t="shared" si="267"/>
        <v>1+0.626423881496253i</v>
      </c>
      <c r="AX315" s="32">
        <f t="shared" si="292"/>
        <v>1.1800029149577689</v>
      </c>
      <c r="AY315" s="32">
        <f t="shared" si="293"/>
        <v>0.5596225749383763</v>
      </c>
      <c r="AZ315" s="32" t="str">
        <f t="shared" si="268"/>
        <v>1+9.33524369741976i</v>
      </c>
      <c r="BA315" s="32">
        <f t="shared" si="294"/>
        <v>9.3886513882567471</v>
      </c>
      <c r="BB315" s="32">
        <f t="shared" si="295"/>
        <v>1.4640823310666524</v>
      </c>
      <c r="BC315" s="60" t="str">
        <f t="shared" si="296"/>
        <v>-0.232674415542213+0.182953885245469i</v>
      </c>
      <c r="BD315" s="51">
        <f t="shared" si="297"/>
        <v>-10.574487597011293</v>
      </c>
      <c r="BE315" s="63">
        <f t="shared" si="298"/>
        <v>141.82172676558199</v>
      </c>
      <c r="BF315" s="60" t="str">
        <f t="shared" si="299"/>
        <v>0.0896814367887554+0.124562452598678i</v>
      </c>
      <c r="BG315" s="66">
        <f t="shared" si="300"/>
        <v>-16.278511723329682</v>
      </c>
      <c r="BH315" s="63">
        <f t="shared" si="301"/>
        <v>54.247181842060435</v>
      </c>
      <c r="BI315" s="60" t="e">
        <f t="shared" si="306"/>
        <v>#NUM!</v>
      </c>
      <c r="BJ315" s="66" t="e">
        <f t="shared" si="302"/>
        <v>#NUM!</v>
      </c>
      <c r="BK315" s="63" t="e">
        <f t="shared" si="307"/>
        <v>#NUM!</v>
      </c>
      <c r="BL315" s="51">
        <f t="shared" si="303"/>
        <v>-16.278511723329682</v>
      </c>
      <c r="BM315" s="63">
        <f t="shared" si="304"/>
        <v>54.247181842060435</v>
      </c>
    </row>
    <row r="316" spans="14:65" x14ac:dyDescent="0.3">
      <c r="N316" s="11">
        <v>98</v>
      </c>
      <c r="O316" s="52">
        <f t="shared" si="305"/>
        <v>9549.9258602143691</v>
      </c>
      <c r="P316" s="50" t="str">
        <f t="shared" si="257"/>
        <v>21.1560044893378</v>
      </c>
      <c r="Q316" s="18" t="str">
        <f t="shared" si="258"/>
        <v>1+41.8209375315069i</v>
      </c>
      <c r="R316" s="18">
        <f t="shared" si="269"/>
        <v>41.83289155693403</v>
      </c>
      <c r="S316" s="18">
        <f t="shared" si="270"/>
        <v>1.5468894146529921</v>
      </c>
      <c r="T316" s="18" t="str">
        <f t="shared" si="259"/>
        <v>1+0.0600039538495533i</v>
      </c>
      <c r="U316" s="18">
        <f t="shared" si="271"/>
        <v>1.0017986197223367</v>
      </c>
      <c r="V316" s="18">
        <f t="shared" si="272"/>
        <v>5.9932094787029599E-2</v>
      </c>
      <c r="W316" s="32" t="str">
        <f t="shared" si="260"/>
        <v>1-0.0269485212850952i</v>
      </c>
      <c r="X316" s="18">
        <f t="shared" si="273"/>
        <v>1.0003630454987096</v>
      </c>
      <c r="Y316" s="18">
        <f t="shared" si="274"/>
        <v>-2.6942000582626222E-2</v>
      </c>
      <c r="Z316" s="32" t="str">
        <f t="shared" si="261"/>
        <v>0.999908798916064+0.014707925673297i</v>
      </c>
      <c r="AA316" s="18">
        <f t="shared" si="275"/>
        <v>1.0000169644697918</v>
      </c>
      <c r="AB316" s="18">
        <f t="shared" si="276"/>
        <v>1.470820646729575E-2</v>
      </c>
      <c r="AC316" s="68" t="str">
        <f t="shared" si="277"/>
        <v>0.021375426946821-0.506360538791795i</v>
      </c>
      <c r="AD316" s="66">
        <f t="shared" si="278"/>
        <v>-5.9030706546993237</v>
      </c>
      <c r="AE316" s="63">
        <f t="shared" si="279"/>
        <v>-87.582759824210569</v>
      </c>
      <c r="AF316" s="51" t="e">
        <f t="shared" si="280"/>
        <v>#NUM!</v>
      </c>
      <c r="AG316" s="51" t="str">
        <f t="shared" si="262"/>
        <v>1-25.7159802212372i</v>
      </c>
      <c r="AH316" s="51">
        <f t="shared" si="281"/>
        <v>25.735416039750802</v>
      </c>
      <c r="AI316" s="51">
        <f t="shared" si="282"/>
        <v>-1.5319295832590816</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-0.000133283554228113</v>
      </c>
      <c r="AT316" s="32" t="str">
        <f t="shared" si="266"/>
        <v>0.00366624158020771i</v>
      </c>
      <c r="AU316" s="32">
        <f t="shared" si="290"/>
        <v>3.6662415802077102E-3</v>
      </c>
      <c r="AV316" s="32">
        <f t="shared" si="291"/>
        <v>1.5707963267948966</v>
      </c>
      <c r="AW316" s="32" t="str">
        <f t="shared" si="267"/>
        <v>1+0.641015168132426i</v>
      </c>
      <c r="AX316" s="32">
        <f t="shared" si="292"/>
        <v>1.1878133042594876</v>
      </c>
      <c r="AY316" s="32">
        <f t="shared" si="293"/>
        <v>0.57003304089152074</v>
      </c>
      <c r="AZ316" s="32" t="str">
        <f t="shared" si="268"/>
        <v>1+9.55268945680273i</v>
      </c>
      <c r="BA316" s="32">
        <f t="shared" si="294"/>
        <v>9.6048881231438639</v>
      </c>
      <c r="BB316" s="32">
        <f t="shared" si="295"/>
        <v>1.4664936565688056</v>
      </c>
      <c r="BC316" s="60" t="str">
        <f t="shared" si="296"/>
        <v>-0.229624604492903+0.183547129348568i</v>
      </c>
      <c r="BD316" s="51">
        <f t="shared" si="297"/>
        <v>-10.634007758666433</v>
      </c>
      <c r="BE316" s="63">
        <f t="shared" si="298"/>
        <v>141.36340977800768</v>
      </c>
      <c r="BF316" s="60" t="str">
        <f t="shared" si="299"/>
        <v>0.0880326993520975+0.120196236705568i</v>
      </c>
      <c r="BG316" s="66">
        <f t="shared" si="300"/>
        <v>-16.537078413365766</v>
      </c>
      <c r="BH316" s="63">
        <f t="shared" si="301"/>
        <v>53.780649953797052</v>
      </c>
      <c r="BI316" s="60" t="e">
        <f t="shared" si="306"/>
        <v>#NUM!</v>
      </c>
      <c r="BJ316" s="66" t="e">
        <f t="shared" si="302"/>
        <v>#NUM!</v>
      </c>
      <c r="BK316" s="63" t="e">
        <f t="shared" si="307"/>
        <v>#NUM!</v>
      </c>
      <c r="BL316" s="51">
        <f t="shared" si="303"/>
        <v>-16.537078413365766</v>
      </c>
      <c r="BM316" s="63">
        <f t="shared" si="304"/>
        <v>53.780649953797052</v>
      </c>
    </row>
    <row r="317" spans="14:65" x14ac:dyDescent="0.3">
      <c r="N317" s="11">
        <v>99</v>
      </c>
      <c r="O317" s="52">
        <f t="shared" si="305"/>
        <v>9772.3722095581161</v>
      </c>
      <c r="P317" s="50" t="str">
        <f t="shared" si="257"/>
        <v>21.1560044893378</v>
      </c>
      <c r="Q317" s="18" t="str">
        <f t="shared" si="258"/>
        <v>1+42.7950723066022i</v>
      </c>
      <c r="R317" s="18">
        <f t="shared" si="269"/>
        <v>42.806754300312363</v>
      </c>
      <c r="S317" s="18">
        <f t="shared" si="270"/>
        <v>1.5474334021073852</v>
      </c>
      <c r="T317" s="18" t="str">
        <f t="shared" si="259"/>
        <v>1+0.0614016254833857i</v>
      </c>
      <c r="U317" s="18">
        <f t="shared" si="271"/>
        <v>1.0018833063845318</v>
      </c>
      <c r="V317" s="18">
        <f t="shared" si="272"/>
        <v>6.1324634925667178E-2</v>
      </c>
      <c r="W317" s="32" t="str">
        <f t="shared" si="260"/>
        <v>1-0.0275762329833667i</v>
      </c>
      <c r="X317" s="18">
        <f t="shared" si="273"/>
        <v>1.000380152054984</v>
      </c>
      <c r="Y317" s="18">
        <f t="shared" si="274"/>
        <v>-2.7569246068180404E-2</v>
      </c>
      <c r="Z317" s="32" t="str">
        <f t="shared" si="261"/>
        <v>0.999904500741398+0.0150505172724711i</v>
      </c>
      <c r="AA317" s="18">
        <f t="shared" si="275"/>
        <v>1.0000177641787535</v>
      </c>
      <c r="AB317" s="18">
        <f t="shared" si="276"/>
        <v>1.5050818147137329E-2</v>
      </c>
      <c r="AC317" s="68" t="str">
        <f t="shared" si="277"/>
        <v>0.0208312052335819-0.494893157724279i</v>
      </c>
      <c r="AD317" s="66">
        <f t="shared" si="278"/>
        <v>-6.102083146834028</v>
      </c>
      <c r="AE317" s="63">
        <f t="shared" si="279"/>
        <v>-87.589710059016568</v>
      </c>
      <c r="AF317" s="51" t="e">
        <f t="shared" si="280"/>
        <v>#NUM!</v>
      </c>
      <c r="AG317" s="51" t="str">
        <f t="shared" si="262"/>
        <v>1-26.3149823500225i</v>
      </c>
      <c r="AH317" s="51">
        <f t="shared" si="281"/>
        <v>26.333976078100996</v>
      </c>
      <c r="AI317" s="51">
        <f t="shared" si="282"/>
        <v>-1.5328134377891804</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-0.000133283554228113</v>
      </c>
      <c r="AT317" s="32" t="str">
        <f t="shared" si="266"/>
        <v>0.00375163931703486i</v>
      </c>
      <c r="AU317" s="32">
        <f t="shared" si="290"/>
        <v>3.7516393170348599E-3</v>
      </c>
      <c r="AV317" s="32">
        <f t="shared" si="291"/>
        <v>1.5707963267948966</v>
      </c>
      <c r="AW317" s="32" t="str">
        <f t="shared" si="267"/>
        <v>1+0.655946329495581i</v>
      </c>
      <c r="AX317" s="32">
        <f t="shared" si="292"/>
        <v>1.1959371167326172</v>
      </c>
      <c r="AY317" s="32">
        <f t="shared" si="293"/>
        <v>0.58054406557262683</v>
      </c>
      <c r="AZ317" s="32" t="str">
        <f t="shared" si="268"/>
        <v>1+9.77520017858048i</v>
      </c>
      <c r="BA317" s="32">
        <f t="shared" si="294"/>
        <v>9.8262168982431817</v>
      </c>
      <c r="BB317" s="32">
        <f t="shared" si="295"/>
        <v>1.4688512704936965</v>
      </c>
      <c r="BC317" s="60" t="str">
        <f t="shared" si="296"/>
        <v>-0.226515592449653+0.184108822006392i</v>
      </c>
      <c r="BD317" s="51">
        <f t="shared" si="297"/>
        <v>-10.695330233023794</v>
      </c>
      <c r="BE317" s="63">
        <f t="shared" si="298"/>
        <v>140.89625375303996</v>
      </c>
      <c r="BF317" s="60" t="str">
        <f t="shared" si="299"/>
        <v>0.0863956034927155+0.115936225477723i</v>
      </c>
      <c r="BG317" s="66">
        <f t="shared" si="300"/>
        <v>-16.797413379857808</v>
      </c>
      <c r="BH317" s="63">
        <f t="shared" si="301"/>
        <v>53.306543694023439</v>
      </c>
      <c r="BI317" s="60" t="e">
        <f t="shared" si="306"/>
        <v>#NUM!</v>
      </c>
      <c r="BJ317" s="66" t="e">
        <f t="shared" si="302"/>
        <v>#NUM!</v>
      </c>
      <c r="BK317" s="63" t="e">
        <f t="shared" si="307"/>
        <v>#NUM!</v>
      </c>
      <c r="BL317" s="51">
        <f t="shared" si="303"/>
        <v>-16.797413379857808</v>
      </c>
      <c r="BM317" s="63">
        <f t="shared" si="304"/>
        <v>53.306543694023439</v>
      </c>
    </row>
    <row r="318" spans="14:65" x14ac:dyDescent="0.3">
      <c r="N318" s="11">
        <v>100</v>
      </c>
      <c r="O318" s="52">
        <f t="shared" si="305"/>
        <v>10000</v>
      </c>
      <c r="P318" s="50" t="str">
        <f t="shared" si="257"/>
        <v>21.1560044893378</v>
      </c>
      <c r="Q318" s="18" t="str">
        <f t="shared" si="258"/>
        <v>1+43.7918975954942i</v>
      </c>
      <c r="R318" s="18">
        <f t="shared" si="269"/>
        <v>43.803313744672913</v>
      </c>
      <c r="S318" s="18">
        <f t="shared" si="270"/>
        <v>1.5479650202593631</v>
      </c>
      <c r="T318" s="18" t="str">
        <f t="shared" si="259"/>
        <v>1+0.0628318530717959i</v>
      </c>
      <c r="U318" s="18">
        <f t="shared" si="271"/>
        <v>1.0019719765344917</v>
      </c>
      <c r="V318" s="18">
        <f t="shared" si="272"/>
        <v>6.2749364969321514E-2</v>
      </c>
      <c r="W318" s="32" t="str">
        <f t="shared" si="260"/>
        <v>1-0.0282185659653805i</v>
      </c>
      <c r="X318" s="18">
        <f t="shared" si="273"/>
        <v>1.0003980645048962</v>
      </c>
      <c r="Y318" s="18">
        <f t="shared" si="274"/>
        <v>-2.8211079511755791E-2</v>
      </c>
      <c r="Z318" s="32" t="str">
        <f t="shared" si="261"/>
        <v>0.9999+0.0154010888551201i</v>
      </c>
      <c r="AA318" s="18">
        <f t="shared" si="275"/>
        <v>1.000018601595952</v>
      </c>
      <c r="AB318" s="18">
        <f t="shared" si="276"/>
        <v>1.5401411246423217E-2</v>
      </c>
      <c r="AC318" s="68" t="str">
        <f t="shared" si="277"/>
        <v>0.0203113911930914-0.48368703200325i</v>
      </c>
      <c r="AD318" s="66">
        <f t="shared" si="278"/>
        <v>-6.30105952633114</v>
      </c>
      <c r="AE318" s="63">
        <f t="shared" si="279"/>
        <v>-87.59540036937328</v>
      </c>
      <c r="AF318" s="51" t="e">
        <f t="shared" si="280"/>
        <v>#NUM!</v>
      </c>
      <c r="AG318" s="51" t="str">
        <f t="shared" si="262"/>
        <v>1-26.9279370307697i</v>
      </c>
      <c r="AH318" s="51">
        <f t="shared" si="281"/>
        <v>26.946498710094012</v>
      </c>
      <c r="AI318" s="51">
        <f t="shared" si="282"/>
        <v>-1.5336772307088977</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-0.000133283554228113</v>
      </c>
      <c r="AT318" s="32" t="str">
        <f t="shared" si="266"/>
        <v>0.00383902622268673i</v>
      </c>
      <c r="AU318" s="32">
        <f t="shared" si="290"/>
        <v>3.8390262226867299E-3</v>
      </c>
      <c r="AV318" s="32">
        <f t="shared" si="291"/>
        <v>1.5707963267948966</v>
      </c>
      <c r="AW318" s="32" t="str">
        <f t="shared" si="267"/>
        <v>1+0.67122528228511i</v>
      </c>
      <c r="AX318" s="32">
        <f t="shared" si="292"/>
        <v>1.2043850628344432</v>
      </c>
      <c r="AY318" s="32">
        <f t="shared" si="293"/>
        <v>0.59115193166043334</v>
      </c>
      <c r="AZ318" s="32" t="str">
        <f t="shared" si="268"/>
        <v>1+10.002893840883i</v>
      </c>
      <c r="BA318" s="32">
        <f t="shared" si="294"/>
        <v>10.052755104545971</v>
      </c>
      <c r="BB318" s="32">
        <f t="shared" si="295"/>
        <v>1.4711563179867009</v>
      </c>
      <c r="BC318" s="60" t="str">
        <f t="shared" si="296"/>
        <v>-0.223349030026411+0.184635578719827i</v>
      </c>
      <c r="BD318" s="51">
        <f t="shared" si="297"/>
        <v>-10.758495419800633</v>
      </c>
      <c r="BE318" s="63">
        <f t="shared" si="298"/>
        <v>140.42053728949512</v>
      </c>
      <c r="BF318" s="60" t="str">
        <f t="shared" si="299"/>
        <v>0.0847693055517316+0.111781234901821i</v>
      </c>
      <c r="BG318" s="66">
        <f t="shared" si="300"/>
        <v>-17.059554946131755</v>
      </c>
      <c r="BH318" s="63">
        <f t="shared" si="301"/>
        <v>52.825136920121921</v>
      </c>
      <c r="BI318" s="60" t="e">
        <f t="shared" si="306"/>
        <v>#NUM!</v>
      </c>
      <c r="BJ318" s="66" t="e">
        <f t="shared" si="302"/>
        <v>#NUM!</v>
      </c>
      <c r="BK318" s="63" t="e">
        <f t="shared" si="307"/>
        <v>#NUM!</v>
      </c>
      <c r="BL318" s="51">
        <f t="shared" si="303"/>
        <v>-17.059554946131755</v>
      </c>
      <c r="BM318" s="63">
        <f t="shared" si="304"/>
        <v>52.825136920121921</v>
      </c>
    </row>
    <row r="319" spans="14:65" x14ac:dyDescent="0.3">
      <c r="N319" s="11">
        <v>1</v>
      </c>
      <c r="O319" s="52">
        <f>10^(4+(N319/100))</f>
        <v>10232.929922807549</v>
      </c>
      <c r="P319" s="50" t="str">
        <f t="shared" si="257"/>
        <v>21.1560044893378</v>
      </c>
      <c r="Q319" s="18" t="str">
        <f t="shared" si="258"/>
        <v>1+44.8119419281456i</v>
      </c>
      <c r="R319" s="18">
        <f t="shared" si="269"/>
        <v>44.823098279475211</v>
      </c>
      <c r="S319" s="18">
        <f t="shared" si="270"/>
        <v>1.5484845497772601</v>
      </c>
      <c r="T319" s="18" t="str">
        <f t="shared" si="259"/>
        <v>1+0.0642953949403827i</v>
      </c>
      <c r="U319" s="18">
        <f t="shared" si="271"/>
        <v>1.0020648171702966</v>
      </c>
      <c r="V319" s="18">
        <f t="shared" si="272"/>
        <v>6.4207017179692599E-2</v>
      </c>
      <c r="W319" s="32" t="str">
        <f t="shared" si="260"/>
        <v>1-0.0288758608045861i</v>
      </c>
      <c r="X319" s="18">
        <f t="shared" si="273"/>
        <v>1.0004168207988138</v>
      </c>
      <c r="Y319" s="18">
        <f t="shared" si="274"/>
        <v>-2.8867839105501975E-2</v>
      </c>
      <c r="Z319" s="32" t="str">
        <f t="shared" si="261"/>
        <v>0.999895287145195+0.0157598262989376i</v>
      </c>
      <c r="AA319" s="18">
        <f t="shared" si="275"/>
        <v>1.0000194785003664</v>
      </c>
      <c r="AB319" s="18">
        <f t="shared" si="276"/>
        <v>1.5760171745523847E-2</v>
      </c>
      <c r="AC319" s="68" t="str">
        <f t="shared" si="277"/>
        <v>0.0198148857553905-0.472736296170426i</v>
      </c>
      <c r="AD319" s="66">
        <f t="shared" si="278"/>
        <v>-6.4999976418778216</v>
      </c>
      <c r="AE319" s="63">
        <f t="shared" si="279"/>
        <v>-87.599834913759906</v>
      </c>
      <c r="AF319" s="51" t="e">
        <f t="shared" si="280"/>
        <v>#NUM!</v>
      </c>
      <c r="AG319" s="51" t="str">
        <f t="shared" si="262"/>
        <v>1-27.5551692601641i</v>
      </c>
      <c r="AH319" s="51">
        <f t="shared" si="281"/>
        <v>27.573308705273163</v>
      </c>
      <c r="AI319" s="51">
        <f t="shared" si="282"/>
        <v>-1.5345214148536588</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-0.000133283554228113</v>
      </c>
      <c r="AT319" s="32" t="str">
        <f t="shared" si="266"/>
        <v>0.00392844863085738i</v>
      </c>
      <c r="AU319" s="32">
        <f t="shared" si="290"/>
        <v>3.9284486308573804E-3</v>
      </c>
      <c r="AV319" s="32">
        <f t="shared" si="291"/>
        <v>1.5707963267948966</v>
      </c>
      <c r="AW319" s="32" t="str">
        <f t="shared" si="267"/>
        <v>1+0.686860127604024i</v>
      </c>
      <c r="AX319" s="32">
        <f t="shared" si="292"/>
        <v>1.2131680983656865</v>
      </c>
      <c r="AY319" s="32">
        <f t="shared" si="293"/>
        <v>0.60185271411840069</v>
      </c>
      <c r="AZ319" s="32" t="str">
        <f t="shared" si="268"/>
        <v>1+10.2358911699039i</v>
      </c>
      <c r="BA319" s="32">
        <f t="shared" si="294"/>
        <v>10.284622892557442</v>
      </c>
      <c r="BB319" s="32">
        <f t="shared" si="295"/>
        <v>1.4734099231825895</v>
      </c>
      <c r="BC319" s="60" t="str">
        <f t="shared" si="296"/>
        <v>-0.220126753703029+0.185124073533031i</v>
      </c>
      <c r="BD319" s="51">
        <f t="shared" si="297"/>
        <v>-10.823542454434143</v>
      </c>
      <c r="BE319" s="63">
        <f t="shared" si="298"/>
        <v>139.93654968357919</v>
      </c>
      <c r="BF319" s="60" t="str">
        <f t="shared" si="299"/>
        <v>0.0831530823776562+0.107730118601219i</v>
      </c>
      <c r="BG319" s="66">
        <f t="shared" si="300"/>
        <v>-17.323540096311962</v>
      </c>
      <c r="BH319" s="63">
        <f t="shared" si="301"/>
        <v>52.336714769819245</v>
      </c>
      <c r="BI319" s="60" t="e">
        <f t="shared" si="306"/>
        <v>#NUM!</v>
      </c>
      <c r="BJ319" s="66" t="e">
        <f t="shared" si="302"/>
        <v>#NUM!</v>
      </c>
      <c r="BK319" s="63" t="e">
        <f t="shared" si="307"/>
        <v>#NUM!</v>
      </c>
      <c r="BL319" s="51">
        <f t="shared" si="303"/>
        <v>-17.323540096311962</v>
      </c>
      <c r="BM319" s="63">
        <f t="shared" si="304"/>
        <v>52.336714769819245</v>
      </c>
    </row>
    <row r="320" spans="14:65" x14ac:dyDescent="0.3">
      <c r="N320" s="11">
        <v>2</v>
      </c>
      <c r="O320" s="52">
        <f t="shared" ref="O320:O383" si="308">10^(4+(N320/100))</f>
        <v>10471.285480509003</v>
      </c>
      <c r="P320" s="50" t="str">
        <f t="shared" si="257"/>
        <v>21.1560044893378</v>
      </c>
      <c r="Q320" s="18" t="str">
        <f t="shared" si="258"/>
        <v>1+45.8557461455635i</v>
      </c>
      <c r="R320" s="18">
        <f t="shared" si="269"/>
        <v>45.866648608399132</v>
      </c>
      <c r="S320" s="18">
        <f t="shared" si="270"/>
        <v>1.5489922650000465</v>
      </c>
      <c r="T320" s="18" t="str">
        <f t="shared" si="259"/>
        <v>1+0.0657930270784171i</v>
      </c>
      <c r="U320" s="18">
        <f t="shared" si="271"/>
        <v>1.002162024032113</v>
      </c>
      <c r="V320" s="18">
        <f t="shared" si="272"/>
        <v>6.5698339632133701E-2</v>
      </c>
      <c r="W320" s="32" t="str">
        <f t="shared" si="260"/>
        <v>1-0.0295484660074075i</v>
      </c>
      <c r="X320" s="18">
        <f t="shared" si="273"/>
        <v>1.0004364606727361</v>
      </c>
      <c r="Y320" s="18">
        <f t="shared" si="274"/>
        <v>-2.9539870804494106E-2</v>
      </c>
      <c r="Z320" s="32" t="str">
        <f t="shared" si="261"/>
        <v>0.999890352180386+0.0161269198112648i</v>
      </c>
      <c r="AA320" s="18">
        <f t="shared" si="275"/>
        <v>1.0000203967549939</v>
      </c>
      <c r="AB320" s="18">
        <f t="shared" si="276"/>
        <v>1.6127289961797863E-2</v>
      </c>
      <c r="AC320" s="68" t="str">
        <f t="shared" si="277"/>
        <v>0.0193406389813606-0.462035215097559i</v>
      </c>
      <c r="AD320" s="66">
        <f t="shared" si="278"/>
        <v>-6.6988952628435081</v>
      </c>
      <c r="AE320" s="63">
        <f t="shared" si="279"/>
        <v>-87.603017275228268</v>
      </c>
      <c r="AF320" s="51" t="e">
        <f t="shared" si="280"/>
        <v>#NUM!</v>
      </c>
      <c r="AG320" s="51" t="str">
        <f t="shared" si="262"/>
        <v>1-28.1970116050359i</v>
      </c>
      <c r="AH320" s="51">
        <f t="shared" si="281"/>
        <v>28.214738408401544</v>
      </c>
      <c r="AI320" s="51">
        <f t="shared" si="282"/>
        <v>-1.535346433005482</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-0.000133283554228113</v>
      </c>
      <c r="AT320" s="32" t="str">
        <f t="shared" si="266"/>
        <v>0.00401995395449128i</v>
      </c>
      <c r="AU320" s="32">
        <f t="shared" si="290"/>
        <v>4.01995395449128E-3</v>
      </c>
      <c r="AV320" s="32">
        <f t="shared" si="291"/>
        <v>1.5707963267948966</v>
      </c>
      <c r="AW320" s="32" t="str">
        <f t="shared" si="267"/>
        <v>1+0.702859155254263i</v>
      </c>
      <c r="AX320" s="32">
        <f t="shared" si="292"/>
        <v>1.2222974237577104</v>
      </c>
      <c r="AY320" s="32">
        <f t="shared" si="293"/>
        <v>0.61264228413110577</v>
      </c>
      <c r="AZ320" s="32" t="str">
        <f t="shared" si="268"/>
        <v>1+10.4743157039111i</v>
      </c>
      <c r="BA320" s="32">
        <f t="shared" si="294"/>
        <v>10.521943236170717</v>
      </c>
      <c r="BB320" s="32">
        <f t="shared" si="295"/>
        <v>1.475613189358657</v>
      </c>
      <c r="BC320" s="60" t="str">
        <f t="shared" si="296"/>
        <v>-0.216850785267242+0.185571052507775i</v>
      </c>
      <c r="BD320" s="51">
        <f t="shared" si="297"/>
        <v>-10.890509101226639</v>
      </c>
      <c r="BE320" s="63">
        <f t="shared" si="298"/>
        <v>139.44459071212285</v>
      </c>
      <c r="BF320" s="60" t="str">
        <f t="shared" si="299"/>
        <v>0.081546328410632+0.103781761946969i</v>
      </c>
      <c r="BG320" s="66">
        <f t="shared" si="300"/>
        <v>-17.589404364070131</v>
      </c>
      <c r="BH320" s="63">
        <f t="shared" si="301"/>
        <v>51.841573436894649</v>
      </c>
      <c r="BI320" s="60" t="e">
        <f t="shared" si="306"/>
        <v>#NUM!</v>
      </c>
      <c r="BJ320" s="66" t="e">
        <f t="shared" si="302"/>
        <v>#NUM!</v>
      </c>
      <c r="BK320" s="63" t="e">
        <f t="shared" si="307"/>
        <v>#NUM!</v>
      </c>
      <c r="BL320" s="51">
        <f t="shared" si="303"/>
        <v>-17.589404364070131</v>
      </c>
      <c r="BM320" s="63">
        <f t="shared" si="304"/>
        <v>51.841573436894649</v>
      </c>
    </row>
    <row r="321" spans="14:65" x14ac:dyDescent="0.3">
      <c r="N321" s="11">
        <v>3</v>
      </c>
      <c r="O321" s="52">
        <f t="shared" si="308"/>
        <v>10715.193052376071</v>
      </c>
      <c r="P321" s="50" t="str">
        <f t="shared" si="257"/>
        <v>21.1560044893378</v>
      </c>
      <c r="Q321" s="18" t="str">
        <f t="shared" si="258"/>
        <v>1+46.9238636865603i</v>
      </c>
      <c r="R321" s="18">
        <f t="shared" si="269"/>
        <v>46.93451803603498</v>
      </c>
      <c r="S321" s="18">
        <f t="shared" si="270"/>
        <v>1.5494884340774446</v>
      </c>
      <c r="T321" s="18" t="str">
        <f t="shared" si="259"/>
        <v>1+0.0673255435502821i</v>
      </c>
      <c r="U321" s="18">
        <f t="shared" si="271"/>
        <v>1.0022638020074062</v>
      </c>
      <c r="V321" s="18">
        <f t="shared" si="272"/>
        <v>6.7224096496482422E-2</v>
      </c>
      <c r="W321" s="32" t="str">
        <f t="shared" si="260"/>
        <v>1-0.0302367381980261i</v>
      </c>
      <c r="X321" s="18">
        <f t="shared" si="273"/>
        <v>1.0004570257321681</v>
      </c>
      <c r="Y321" s="18">
        <f t="shared" si="274"/>
        <v>-3.0227528499385668E-2</v>
      </c>
      <c r="Z321" s="32" t="str">
        <f t="shared" si="261"/>
        <v>0.99988518463785+0.0165025640299409i</v>
      </c>
      <c r="AA321" s="18">
        <f t="shared" si="275"/>
        <v>1.0000213583108262</v>
      </c>
      <c r="AB321" s="18">
        <f t="shared" si="276"/>
        <v>1.6502960650967201E-2</v>
      </c>
      <c r="AC321" s="68" t="str">
        <f t="shared" si="277"/>
        <v>0.0188876478628884-0.451578181283426i</v>
      </c>
      <c r="AD321" s="66">
        <f t="shared" si="278"/>
        <v>-6.8977500747311673</v>
      </c>
      <c r="AE321" s="63">
        <f t="shared" si="279"/>
        <v>-87.604950469040944</v>
      </c>
      <c r="AF321" s="51" t="e">
        <f t="shared" si="280"/>
        <v>#NUM!</v>
      </c>
      <c r="AG321" s="51" t="str">
        <f t="shared" si="262"/>
        <v>1-28.8538043786924i</v>
      </c>
      <c r="AH321" s="51">
        <f t="shared" si="281"/>
        <v>28.871127915685051</v>
      </c>
      <c r="AI321" s="51">
        <f t="shared" si="282"/>
        <v>-1.536152718104925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-0.000133283554228113</v>
      </c>
      <c r="AT321" s="32" t="str">
        <f t="shared" si="266"/>
        <v>0.00411359071092224i</v>
      </c>
      <c r="AU321" s="32">
        <f t="shared" si="290"/>
        <v>4.1135907109222398E-3</v>
      </c>
      <c r="AV321" s="32">
        <f t="shared" si="291"/>
        <v>1.5707963267948966</v>
      </c>
      <c r="AW321" s="32" t="str">
        <f t="shared" si="267"/>
        <v>1+0.719230848132057i</v>
      </c>
      <c r="AX321" s="32">
        <f t="shared" si="292"/>
        <v>1.2317844831401141</v>
      </c>
      <c r="AY321" s="32">
        <f t="shared" si="293"/>
        <v>0.62351631402210628</v>
      </c>
      <c r="AZ321" s="32" t="str">
        <f t="shared" si="268"/>
        <v>1+10.7182938587485i</v>
      </c>
      <c r="BA321" s="32">
        <f t="shared" si="294"/>
        <v>10.764841998026997</v>
      </c>
      <c r="BB321" s="32">
        <f t="shared" si="295"/>
        <v>1.4777671991047538</v>
      </c>
      <c r="BC321" s="60" t="str">
        <f t="shared" si="296"/>
        <v>-0.2135233300916+0.185973347400615i</v>
      </c>
      <c r="BD321" s="51">
        <f t="shared" si="297"/>
        <v>-10.959431646900288</v>
      </c>
      <c r="BE321" s="63">
        <f t="shared" si="298"/>
        <v>138.94497036055074</v>
      </c>
      <c r="BF321" s="60" t="str">
        <f t="shared" si="299"/>
        <v>0.0799485525170791+0.0999350761619308i</v>
      </c>
      <c r="BG321" s="66">
        <f t="shared" si="300"/>
        <v>-17.857181721631456</v>
      </c>
      <c r="BH321" s="63">
        <f t="shared" si="301"/>
        <v>51.340019891509826</v>
      </c>
      <c r="BI321" s="60" t="e">
        <f t="shared" si="306"/>
        <v>#NUM!</v>
      </c>
      <c r="BJ321" s="66" t="e">
        <f t="shared" si="302"/>
        <v>#NUM!</v>
      </c>
      <c r="BK321" s="63" t="e">
        <f t="shared" si="307"/>
        <v>#NUM!</v>
      </c>
      <c r="BL321" s="51">
        <f t="shared" si="303"/>
        <v>-17.857181721631456</v>
      </c>
      <c r="BM321" s="63">
        <f t="shared" si="304"/>
        <v>51.340019891509826</v>
      </c>
    </row>
    <row r="322" spans="14:65" x14ac:dyDescent="0.3">
      <c r="N322" s="11">
        <v>4</v>
      </c>
      <c r="O322" s="52">
        <f t="shared" si="308"/>
        <v>10964.781961431856</v>
      </c>
      <c r="P322" s="50" t="str">
        <f t="shared" si="257"/>
        <v>21.1560044893378</v>
      </c>
      <c r="Q322" s="18" t="str">
        <f t="shared" si="258"/>
        <v>1+48.0168608811945i</v>
      </c>
      <c r="R322" s="18">
        <f t="shared" si="269"/>
        <v>48.027272761255006</v>
      </c>
      <c r="S322" s="18">
        <f t="shared" si="270"/>
        <v>1.5499733191071166</v>
      </c>
      <c r="T322" s="18" t="str">
        <f t="shared" si="259"/>
        <v>1+0.0688937569164964i</v>
      </c>
      <c r="U322" s="18">
        <f t="shared" si="271"/>
        <v>1.0023703655546035</v>
      </c>
      <c r="V322" s="18">
        <f t="shared" si="272"/>
        <v>6.8785068318340331E-2</v>
      </c>
      <c r="W322" s="32" t="str">
        <f t="shared" si="260"/>
        <v>1-0.0309410423074679i</v>
      </c>
      <c r="X322" s="18">
        <f t="shared" si="273"/>
        <v>1.0004785595399197</v>
      </c>
      <c r="Y322" s="18">
        <f t="shared" si="274"/>
        <v>-3.0931174192501895E-2</v>
      </c>
      <c r="Z322" s="32" t="str">
        <f t="shared" si="261"/>
        <v>0.999879773556538+0.016886958126503i</v>
      </c>
      <c r="AA322" s="18">
        <f t="shared" si="275"/>
        <v>1.0000223652110187</v>
      </c>
      <c r="AB322" s="18">
        <f t="shared" si="276"/>
        <v>1.6887383110879041E-2</v>
      </c>
      <c r="AC322" s="68" t="str">
        <f t="shared" si="277"/>
        <v>0.0184549542201872-0.441359712196046i</v>
      </c>
      <c r="AD322" s="66">
        <f t="shared" si="278"/>
        <v>-7.0965596744669659</v>
      </c>
      <c r="AE322" s="63">
        <f t="shared" si="279"/>
        <v>-87.60563695045002</v>
      </c>
      <c r="AF322" s="51" t="e">
        <f t="shared" si="280"/>
        <v>#NUM!</v>
      </c>
      <c r="AG322" s="51" t="str">
        <f t="shared" si="262"/>
        <v>1-29.5258958213556i</v>
      </c>
      <c r="AH322" s="51">
        <f t="shared" si="281"/>
        <v>29.542825255102873</v>
      </c>
      <c r="AI322" s="51">
        <f t="shared" si="282"/>
        <v>-1.5369406934593248</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-0.000133283554228113</v>
      </c>
      <c r="AT322" s="32" t="str">
        <f t="shared" si="266"/>
        <v>0.00420940854759793i</v>
      </c>
      <c r="AU322" s="32">
        <f t="shared" si="290"/>
        <v>4.2094085475979301E-3</v>
      </c>
      <c r="AV322" s="32">
        <f t="shared" si="291"/>
        <v>1.5707963267948966</v>
      </c>
      <c r="AW322" s="32" t="str">
        <f t="shared" si="267"/>
        <v>1+0.735983886725677i</v>
      </c>
      <c r="AX322" s="32">
        <f t="shared" si="292"/>
        <v>1.2416409632095078</v>
      </c>
      <c r="AY322" s="32">
        <f t="shared" si="293"/>
        <v>0.6344702831634208</v>
      </c>
      <c r="AZ322" s="32" t="str">
        <f t="shared" si="268"/>
        <v>1+10.9679549948631i</v>
      </c>
      <c r="BA322" s="32">
        <f t="shared" si="294"/>
        <v>11.013447996397058</v>
      </c>
      <c r="BB322" s="32">
        <f t="shared" si="295"/>
        <v>1.4798730145086099</v>
      </c>
      <c r="BC322" s="60" t="str">
        <f t="shared" si="296"/>
        <v>-0.210146774203367+0.186327889431425i</v>
      </c>
      <c r="BD322" s="51">
        <f t="shared" si="297"/>
        <v>-11.030344795304423</v>
      </c>
      <c r="BE322" s="63">
        <f t="shared" si="298"/>
        <v>138.43800849491146</v>
      </c>
      <c r="BF322" s="60" t="str">
        <f t="shared" si="299"/>
        <v>0.0783593745561073+0.0961889924507266i</v>
      </c>
      <c r="BG322" s="66">
        <f t="shared" si="300"/>
        <v>-18.126904469771386</v>
      </c>
      <c r="BH322" s="63">
        <f t="shared" si="301"/>
        <v>50.832371544461452</v>
      </c>
      <c r="BI322" s="60" t="e">
        <f t="shared" si="306"/>
        <v>#NUM!</v>
      </c>
      <c r="BJ322" s="66" t="e">
        <f t="shared" si="302"/>
        <v>#NUM!</v>
      </c>
      <c r="BK322" s="63" t="e">
        <f t="shared" si="307"/>
        <v>#NUM!</v>
      </c>
      <c r="BL322" s="51">
        <f t="shared" si="303"/>
        <v>-18.126904469771386</v>
      </c>
      <c r="BM322" s="63">
        <f t="shared" si="304"/>
        <v>50.832371544461452</v>
      </c>
    </row>
    <row r="323" spans="14:65" x14ac:dyDescent="0.3">
      <c r="N323" s="11">
        <v>5</v>
      </c>
      <c r="O323" s="52">
        <f t="shared" si="308"/>
        <v>11220.184543019639</v>
      </c>
      <c r="P323" s="50" t="str">
        <f t="shared" si="257"/>
        <v>21.1560044893378</v>
      </c>
      <c r="Q323" s="18" t="str">
        <f t="shared" si="258"/>
        <v>1+49.1353172510462i</v>
      </c>
      <c r="R323" s="18">
        <f t="shared" si="269"/>
        <v>49.145492177421097</v>
      </c>
      <c r="S323" s="18">
        <f t="shared" si="270"/>
        <v>1.5504471762689762</v>
      </c>
      <c r="T323" s="18" t="str">
        <f t="shared" si="259"/>
        <v>1+0.0704984986645445i</v>
      </c>
      <c r="U323" s="18">
        <f t="shared" si="271"/>
        <v>1.0024819391460151</v>
      </c>
      <c r="V323" s="18">
        <f t="shared" si="272"/>
        <v>7.0382052300395292E-2</v>
      </c>
      <c r="W323" s="32" t="str">
        <f t="shared" si="260"/>
        <v>1-0.0316617517670943i</v>
      </c>
      <c r="X323" s="18">
        <f t="shared" si="273"/>
        <v>1.000501107708013</v>
      </c>
      <c r="Y323" s="18">
        <f t="shared" si="274"/>
        <v>-3.1651178177411823E-2</v>
      </c>
      <c r="Z323" s="32" t="str">
        <f t="shared" si="261"/>
        <v>0.999874107458821+0.017280305911789i</v>
      </c>
      <c r="AA323" s="18">
        <f t="shared" si="275"/>
        <v>1.0000234195952507</v>
      </c>
      <c r="AB323" s="18">
        <f t="shared" si="276"/>
        <v>1.7280761287711107E-2</v>
      </c>
      <c r="AC323" s="68" t="str">
        <f t="shared" si="277"/>
        <v>0.0180416426920268-0.431374447660152i</v>
      </c>
      <c r="AD323" s="66">
        <f t="shared" si="278"/>
        <v>-7.2953215655208776</v>
      </c>
      <c r="AE323" s="63">
        <f t="shared" si="279"/>
        <v>-87.605078622647838</v>
      </c>
      <c r="AF323" s="51" t="e">
        <f t="shared" si="280"/>
        <v>#NUM!</v>
      </c>
      <c r="AG323" s="51" t="str">
        <f t="shared" si="262"/>
        <v>1-30.2136422848048i</v>
      </c>
      <c r="AH323" s="51">
        <f t="shared" si="281"/>
        <v>30.230186570945015</v>
      </c>
      <c r="AI323" s="51">
        <f t="shared" si="282"/>
        <v>-1.537710772947344</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-0.000133283554228113</v>
      </c>
      <c r="AT323" s="32" t="str">
        <f t="shared" si="266"/>
        <v>0.00430745826840367i</v>
      </c>
      <c r="AU323" s="32">
        <f t="shared" si="290"/>
        <v>4.3074582684036701E-3</v>
      </c>
      <c r="AV323" s="32">
        <f t="shared" si="291"/>
        <v>1.5707963267948966</v>
      </c>
      <c r="AW323" s="32" t="str">
        <f t="shared" si="267"/>
        <v>1+0.753127153717938i</v>
      </c>
      <c r="AX323" s="32">
        <f t="shared" si="292"/>
        <v>1.2518787919232768</v>
      </c>
      <c r="AY323" s="32">
        <f t="shared" si="293"/>
        <v>0.64549948487857278</v>
      </c>
      <c r="AZ323" s="32" t="str">
        <f t="shared" si="268"/>
        <v>1+11.2234314858941i</v>
      </c>
      <c r="BA323" s="32">
        <f t="shared" si="294"/>
        <v>11.26789307362113</v>
      </c>
      <c r="BB323" s="32">
        <f t="shared" si="295"/>
        <v>1.4819316773549587</v>
      </c>
      <c r="BC323" s="60" t="str">
        <f t="shared" si="296"/>
        <v>-0.206723680117306+0.186631723024868i</v>
      </c>
      <c r="BD323" s="51">
        <f t="shared" si="297"/>
        <v>-11.103281564036148</v>
      </c>
      <c r="BE323" s="63">
        <f t="shared" si="298"/>
        <v>137.92403447777099</v>
      </c>
      <c r="BF323" s="60" t="str">
        <f t="shared" si="299"/>
        <v>0.0767785216630576+0.0925424561906888i</v>
      </c>
      <c r="BG323" s="66">
        <f t="shared" si="300"/>
        <v>-18.398603129557031</v>
      </c>
      <c r="BH323" s="63">
        <f t="shared" si="301"/>
        <v>50.318955855123171</v>
      </c>
      <c r="BI323" s="60" t="e">
        <f t="shared" si="306"/>
        <v>#NUM!</v>
      </c>
      <c r="BJ323" s="66" t="e">
        <f t="shared" si="302"/>
        <v>#NUM!</v>
      </c>
      <c r="BK323" s="63" t="e">
        <f t="shared" si="307"/>
        <v>#NUM!</v>
      </c>
      <c r="BL323" s="51">
        <f t="shared" si="303"/>
        <v>-18.398603129557031</v>
      </c>
      <c r="BM323" s="63">
        <f t="shared" si="304"/>
        <v>50.318955855123171</v>
      </c>
    </row>
    <row r="324" spans="14:65" x14ac:dyDescent="0.3">
      <c r="N324" s="11">
        <v>6</v>
      </c>
      <c r="O324" s="52">
        <f t="shared" si="308"/>
        <v>11481.536214968832</v>
      </c>
      <c r="P324" s="50" t="str">
        <f t="shared" si="257"/>
        <v>21.1560044893378</v>
      </c>
      <c r="Q324" s="18" t="str">
        <f t="shared" si="258"/>
        <v>1+50.2798258164873i</v>
      </c>
      <c r="R324" s="18">
        <f t="shared" si="269"/>
        <v>50.289769179588639</v>
      </c>
      <c r="S324" s="18">
        <f t="shared" si="270"/>
        <v>1.5509102559566736</v>
      </c>
      <c r="T324" s="18" t="str">
        <f t="shared" si="259"/>
        <v>1+0.0721406196497425i</v>
      </c>
      <c r="U324" s="18">
        <f t="shared" si="271"/>
        <v>1.0025987577308526</v>
      </c>
      <c r="V324" s="18">
        <f t="shared" si="272"/>
        <v>7.2015862583345081E-2</v>
      </c>
      <c r="W324" s="32" t="str">
        <f t="shared" si="260"/>
        <v>1-0.0323992487066003i</v>
      </c>
      <c r="X324" s="18">
        <f t="shared" si="273"/>
        <v>1.0005247179938896</v>
      </c>
      <c r="Y324" s="18">
        <f t="shared" si="274"/>
        <v>-3.23879192220171E-2</v>
      </c>
      <c r="Z324" s="32" t="str">
        <f t="shared" si="261"/>
        <v>0.999868174326144+0.0176828159440014i</v>
      </c>
      <c r="AA324" s="18">
        <f t="shared" si="275"/>
        <v>1.0000245237042968</v>
      </c>
      <c r="AB324" s="18">
        <f t="shared" si="276"/>
        <v>1.7683303884680764E-2</v>
      </c>
      <c r="AC324" s="68" t="str">
        <f t="shared" si="277"/>
        <v>0.0176468388147951-0.421617147289936i</v>
      </c>
      <c r="AD324" s="66">
        <f t="shared" si="278"/>
        <v>-7.4940331528494308</v>
      </c>
      <c r="AE324" s="63">
        <f t="shared" si="279"/>
        <v>-87.60327684492357</v>
      </c>
      <c r="AF324" s="51" t="e">
        <f t="shared" si="280"/>
        <v>#NUM!</v>
      </c>
      <c r="AG324" s="51" t="str">
        <f t="shared" si="262"/>
        <v>1-30.9174084213183i</v>
      </c>
      <c r="AH324" s="51">
        <f t="shared" si="281"/>
        <v>30.933576312651009</v>
      </c>
      <c r="AI324" s="51">
        <f t="shared" si="282"/>
        <v>-1.5384633612198375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-0.000133283554228113</v>
      </c>
      <c r="AT324" s="32" t="str">
        <f t="shared" si="266"/>
        <v>0.00440779186059927i</v>
      </c>
      <c r="AU324" s="32">
        <f t="shared" si="290"/>
        <v>4.4077918605992701E-3</v>
      </c>
      <c r="AV324" s="32">
        <f t="shared" si="291"/>
        <v>1.5707963267948966</v>
      </c>
      <c r="AW324" s="32" t="str">
        <f t="shared" si="267"/>
        <v>1+0.770669738695916i</v>
      </c>
      <c r="AX324" s="32">
        <f t="shared" si="292"/>
        <v>1.2625101370450977</v>
      </c>
      <c r="AY324" s="32">
        <f t="shared" si="293"/>
        <v>0.65659903433256195</v>
      </c>
      <c r="AZ324" s="32" t="str">
        <f t="shared" si="268"/>
        <v>1+11.4848587888586i</v>
      </c>
      <c r="BA324" s="32">
        <f t="shared" si="294"/>
        <v>11.528312166142216</v>
      </c>
      <c r="BB324" s="32">
        <f t="shared" si="295"/>
        <v>1.4839442093370392</v>
      </c>
      <c r="BC324" s="60" t="str">
        <f t="shared" si="296"/>
        <v>-0.203256781414072+0.186882019400602i</v>
      </c>
      <c r="BD324" s="51">
        <f t="shared" si="297"/>
        <v>-11.178273183754845</v>
      </c>
      <c r="BE324" s="63">
        <f t="shared" si="298"/>
        <v>137.40338672826897</v>
      </c>
      <c r="BF324" s="60" t="str">
        <f t="shared" si="299"/>
        <v>0.0752058242398361+0.0889944212208809i</v>
      </c>
      <c r="BG324" s="66">
        <f t="shared" si="300"/>
        <v>-18.672306336604279</v>
      </c>
      <c r="BH324" s="63">
        <f t="shared" si="301"/>
        <v>49.800109883345385</v>
      </c>
      <c r="BI324" s="60" t="e">
        <f t="shared" si="306"/>
        <v>#NUM!</v>
      </c>
      <c r="BJ324" s="66" t="e">
        <f t="shared" si="302"/>
        <v>#NUM!</v>
      </c>
      <c r="BK324" s="63" t="e">
        <f t="shared" si="307"/>
        <v>#NUM!</v>
      </c>
      <c r="BL324" s="51">
        <f t="shared" si="303"/>
        <v>-18.672306336604279</v>
      </c>
      <c r="BM324" s="63">
        <f t="shared" si="304"/>
        <v>49.800109883345385</v>
      </c>
    </row>
    <row r="325" spans="14:65" x14ac:dyDescent="0.3">
      <c r="N325" s="11">
        <v>7</v>
      </c>
      <c r="O325" s="52">
        <f t="shared" si="308"/>
        <v>11748.975549395318</v>
      </c>
      <c r="P325" s="50" t="str">
        <f t="shared" si="257"/>
        <v>21.1560044893378</v>
      </c>
      <c r="Q325" s="18" t="str">
        <f t="shared" si="258"/>
        <v>1+51.4509934111085i</v>
      </c>
      <c r="R325" s="18">
        <f t="shared" si="269"/>
        <v>51.460710478868542</v>
      </c>
      <c r="S325" s="18">
        <f t="shared" si="270"/>
        <v>1.5513628029063002</v>
      </c>
      <c r="T325" s="18" t="str">
        <f t="shared" si="259"/>
        <v>1+0.0738209905463729i</v>
      </c>
      <c r="U325" s="18">
        <f t="shared" si="271"/>
        <v>1.0027210672192182</v>
      </c>
      <c r="V325" s="18">
        <f t="shared" si="272"/>
        <v>7.3687330525940425E-2</v>
      </c>
      <c r="W325" s="32" t="str">
        <f t="shared" si="260"/>
        <v>1-0.0331539241566255i</v>
      </c>
      <c r="X325" s="18">
        <f t="shared" si="273"/>
        <v>1.0005494404011144</v>
      </c>
      <c r="Y325" s="18">
        <f t="shared" si="274"/>
        <v>-3.3141784755192763E-2</v>
      </c>
      <c r="Z325" s="32" t="str">
        <f t="shared" si="261"/>
        <v>0.99986196157354+0.018094701639287i</v>
      </c>
      <c r="AA325" s="18">
        <f t="shared" si="275"/>
        <v>1.0000256798848228</v>
      </c>
      <c r="AB325" s="18">
        <f t="shared" si="276"/>
        <v>1.8095224473316036E-2</v>
      </c>
      <c r="AC325" s="68" t="str">
        <f t="shared" si="277"/>
        <v>0.0172697071864973-0.412082687967016i</v>
      </c>
      <c r="AD325" s="66">
        <f t="shared" si="278"/>
        <v>-7.6926917376515656</v>
      </c>
      <c r="AE325" s="63">
        <f t="shared" si="279"/>
        <v>-87.60023244106128</v>
      </c>
      <c r="AF325" s="51" t="e">
        <f t="shared" si="280"/>
        <v>#NUM!</v>
      </c>
      <c r="AG325" s="51" t="str">
        <f t="shared" si="262"/>
        <v>1-31.637567377017i</v>
      </c>
      <c r="AH325" s="51">
        <f t="shared" si="281"/>
        <v>31.653367428052423</v>
      </c>
      <c r="AI325" s="51">
        <f t="shared" si="282"/>
        <v>-1.5391988538970569</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-0.000133283554228113</v>
      </c>
      <c r="AT325" s="32" t="str">
        <f t="shared" si="266"/>
        <v>0.00451046252238338i</v>
      </c>
      <c r="AU325" s="32">
        <f t="shared" si="290"/>
        <v>4.5104625223833803E-3</v>
      </c>
      <c r="AV325" s="32">
        <f t="shared" si="291"/>
        <v>1.5707963267948966</v>
      </c>
      <c r="AW325" s="32" t="str">
        <f t="shared" si="267"/>
        <v>1+0.788620942970373i</v>
      </c>
      <c r="AX325" s="32">
        <f t="shared" si="292"/>
        <v>1.2735474045717654</v>
      </c>
      <c r="AY325" s="32">
        <f t="shared" si="293"/>
        <v>0.66776387739312926</v>
      </c>
      <c r="AZ325" s="32" t="str">
        <f t="shared" si="268"/>
        <v>1+11.7523755159731i</v>
      </c>
      <c r="BA325" s="32">
        <f t="shared" si="294"/>
        <v>11.794843376172656</v>
      </c>
      <c r="BB325" s="32">
        <f t="shared" si="295"/>
        <v>1.4859116122791816</v>
      </c>
      <c r="BC325" s="60" t="str">
        <f t="shared" si="296"/>
        <v>-0.199748976060983+0.187076089883984i</v>
      </c>
      <c r="BD325" s="51">
        <f t="shared" si="297"/>
        <v>-11.255349000972672</v>
      </c>
      <c r="BE325" s="63">
        <f t="shared" si="298"/>
        <v>136.87641222715891</v>
      </c>
      <c r="BF325" s="60" t="str">
        <f t="shared" si="299"/>
        <v>0.0736412116463754+0.0855438442677603i</v>
      </c>
      <c r="BG325" s="66">
        <f t="shared" si="300"/>
        <v>-18.948040738624236</v>
      </c>
      <c r="BH325" s="63">
        <f t="shared" si="301"/>
        <v>49.27617978609765</v>
      </c>
      <c r="BI325" s="60" t="e">
        <f t="shared" si="306"/>
        <v>#NUM!</v>
      </c>
      <c r="BJ325" s="66" t="e">
        <f t="shared" si="302"/>
        <v>#NUM!</v>
      </c>
      <c r="BK325" s="63" t="e">
        <f t="shared" si="307"/>
        <v>#NUM!</v>
      </c>
      <c r="BL325" s="51">
        <f t="shared" si="303"/>
        <v>-18.948040738624236</v>
      </c>
      <c r="BM325" s="63">
        <f t="shared" si="304"/>
        <v>49.27617978609765</v>
      </c>
    </row>
    <row r="326" spans="14:65" x14ac:dyDescent="0.3">
      <c r="N326" s="11">
        <v>8</v>
      </c>
      <c r="O326" s="52">
        <f t="shared" si="308"/>
        <v>12022.644346174151</v>
      </c>
      <c r="P326" s="50" t="str">
        <f t="shared" si="257"/>
        <v>21.1560044893378</v>
      </c>
      <c r="Q326" s="18" t="str">
        <f t="shared" si="258"/>
        <v>1+52.6494410034705i</v>
      </c>
      <c r="R326" s="18">
        <f t="shared" si="269"/>
        <v>52.658936924114983</v>
      </c>
      <c r="S326" s="18">
        <f t="shared" si="270"/>
        <v>1.5518050563223655</v>
      </c>
      <c r="T326" s="18" t="str">
        <f t="shared" si="259"/>
        <v>1+0.0755405023093271i</v>
      </c>
      <c r="U326" s="18">
        <f t="shared" si="271"/>
        <v>1.0028491249879743</v>
      </c>
      <c r="V326" s="18">
        <f t="shared" si="272"/>
        <v>7.5397304983623639E-2</v>
      </c>
      <c r="W326" s="32" t="str">
        <f t="shared" si="260"/>
        <v>1-0.0339261782560824i</v>
      </c>
      <c r="X326" s="18">
        <f t="shared" si="273"/>
        <v>1.0005753272847895</v>
      </c>
      <c r="Y326" s="18">
        <f t="shared" si="274"/>
        <v>-3.3913171057009216E-2</v>
      </c>
      <c r="Z326" s="32" t="str">
        <f t="shared" si="261"/>
        <v>0.999855456022925+0.0185161813848935i</v>
      </c>
      <c r="AA326" s="18">
        <f t="shared" si="275"/>
        <v>1.000026890594393</v>
      </c>
      <c r="AB326" s="18">
        <f t="shared" si="276"/>
        <v>1.8516741607353185E-2</v>
      </c>
      <c r="AC326" s="68" t="str">
        <f t="shared" si="277"/>
        <v>0.0169094497119537-0.402766061363492i</v>
      </c>
      <c r="AD326" s="66">
        <f t="shared" si="278"/>
        <v>-7.8912945119287397</v>
      </c>
      <c r="AE326" s="63">
        <f t="shared" si="279"/>
        <v>-87.595945708017695</v>
      </c>
      <c r="AF326" s="51" t="e">
        <f t="shared" si="280"/>
        <v>#NUM!</v>
      </c>
      <c r="AG326" s="51" t="str">
        <f t="shared" si="262"/>
        <v>1-32.3745009897117i</v>
      </c>
      <c r="AH326" s="51">
        <f t="shared" si="281"/>
        <v>32.389941561121162</v>
      </c>
      <c r="AI326" s="51">
        <f t="shared" si="282"/>
        <v>-1.5399176377622203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-0.000133283554228113</v>
      </c>
      <c r="AT326" s="32" t="str">
        <f t="shared" si="266"/>
        <v>0.00461552469109989i</v>
      </c>
      <c r="AU326" s="32">
        <f t="shared" si="290"/>
        <v>4.6155246910998902E-3</v>
      </c>
      <c r="AV326" s="32">
        <f t="shared" si="291"/>
        <v>1.5707963267948966</v>
      </c>
      <c r="AW326" s="32" t="str">
        <f t="shared" si="267"/>
        <v>1+0.806990284507422i</v>
      </c>
      <c r="AX326" s="32">
        <f t="shared" si="292"/>
        <v>1.2850032370734985</v>
      </c>
      <c r="AY326" s="32">
        <f t="shared" si="293"/>
        <v>0.67898880043847154</v>
      </c>
      <c r="AZ326" s="32" t="str">
        <f t="shared" si="268"/>
        <v>1+12.0261235081472i</v>
      </c>
      <c r="BA326" s="32">
        <f t="shared" si="294"/>
        <v>12.06762804503067</v>
      </c>
      <c r="BB326" s="32">
        <f t="shared" si="295"/>
        <v>1.4878348683692384</v>
      </c>
      <c r="BC326" s="60" t="str">
        <f t="shared" si="296"/>
        <v>-0.196203318486553+0.187211398806572i</v>
      </c>
      <c r="BD326" s="51">
        <f t="shared" si="297"/>
        <v>-11.334536385104377</v>
      </c>
      <c r="BE326" s="63">
        <f t="shared" si="298"/>
        <v>136.34346596818486</v>
      </c>
      <c r="BF326" s="60" t="str">
        <f t="shared" si="299"/>
        <v>0.0720847075924061+0.0821896795469i</v>
      </c>
      <c r="BG326" s="66">
        <f t="shared" si="300"/>
        <v>-19.22583089703312</v>
      </c>
      <c r="BH326" s="63">
        <f t="shared" si="301"/>
        <v>48.747520260167192</v>
      </c>
      <c r="BI326" s="60" t="e">
        <f t="shared" si="306"/>
        <v>#NUM!</v>
      </c>
      <c r="BJ326" s="66" t="e">
        <f t="shared" si="302"/>
        <v>#NUM!</v>
      </c>
      <c r="BK326" s="63" t="e">
        <f t="shared" si="307"/>
        <v>#NUM!</v>
      </c>
      <c r="BL326" s="51">
        <f t="shared" si="303"/>
        <v>-19.22583089703312</v>
      </c>
      <c r="BM326" s="63">
        <f t="shared" si="304"/>
        <v>48.747520260167192</v>
      </c>
    </row>
    <row r="327" spans="14:65" x14ac:dyDescent="0.3">
      <c r="N327" s="11">
        <v>9</v>
      </c>
      <c r="O327" s="52">
        <f t="shared" si="308"/>
        <v>12302.687708123816</v>
      </c>
      <c r="P327" s="50" t="str">
        <f t="shared" si="257"/>
        <v>21.1560044893378</v>
      </c>
      <c r="Q327" s="18" t="str">
        <f t="shared" si="258"/>
        <v>1+53.8758040263503i</v>
      </c>
      <c r="R327" s="18">
        <f t="shared" si="269"/>
        <v>53.885083831109547</v>
      </c>
      <c r="S327" s="18">
        <f t="shared" si="270"/>
        <v>1.5522372500010917</v>
      </c>
      <c r="T327" s="18" t="str">
        <f t="shared" si="259"/>
        <v>1+0.0773000666465025i</v>
      </c>
      <c r="U327" s="18">
        <f t="shared" si="271"/>
        <v>1.0029832004094354</v>
      </c>
      <c r="V327" s="18">
        <f t="shared" si="272"/>
        <v>7.7146652585196374E-2</v>
      </c>
      <c r="W327" s="32" t="str">
        <f t="shared" si="260"/>
        <v>1-0.0347164204643168i</v>
      </c>
      <c r="X327" s="18">
        <f t="shared" si="273"/>
        <v>1.0006024334618897</v>
      </c>
      <c r="Y327" s="18">
        <f t="shared" si="274"/>
        <v>-3.4702483452569759E-2</v>
      </c>
      <c r="Z327" s="32" t="str">
        <f t="shared" si="261"/>
        <v>0.999848643875156+0.0189474786549608i</v>
      </c>
      <c r="AA327" s="18">
        <f t="shared" si="275"/>
        <v>1.0000281584067363</v>
      </c>
      <c r="AB327" s="18">
        <f t="shared" si="276"/>
        <v>1.8948078939321523E-2</v>
      </c>
      <c r="AC327" s="68" t="str">
        <f t="shared" si="277"/>
        <v>0.0165653039256198-0.39366237150989i</v>
      </c>
      <c r="AD327" s="66">
        <f t="shared" si="278"/>
        <v>-8.0898385528404866</v>
      </c>
      <c r="AE327" s="63">
        <f t="shared" si="279"/>
        <v>-87.59041642492069</v>
      </c>
      <c r="AF327" s="51" t="e">
        <f t="shared" si="280"/>
        <v>#NUM!</v>
      </c>
      <c r="AG327" s="51" t="str">
        <f t="shared" si="262"/>
        <v>1-33.1285999913583i</v>
      </c>
      <c r="AH327" s="51">
        <f t="shared" si="281"/>
        <v>33.143689254327519</v>
      </c>
      <c r="AI327" s="51">
        <f t="shared" si="282"/>
        <v>-1.5406200909514691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-0.000133283554228113</v>
      </c>
      <c r="AT327" s="32" t="str">
        <f t="shared" si="266"/>
        <v>0.0047230340721013i</v>
      </c>
      <c r="AU327" s="32">
        <f t="shared" si="290"/>
        <v>4.7230340721012998E-3</v>
      </c>
      <c r="AV327" s="32">
        <f t="shared" si="291"/>
        <v>1.5707963267948966</v>
      </c>
      <c r="AW327" s="32" t="str">
        <f t="shared" si="267"/>
        <v>1+0.825787502975096i</v>
      </c>
      <c r="AX327" s="32">
        <f t="shared" si="292"/>
        <v>1.2968905119823508</v>
      </c>
      <c r="AY327" s="32">
        <f t="shared" si="293"/>
        <v>0.69026844107729279</v>
      </c>
      <c r="AZ327" s="32" t="str">
        <f t="shared" si="268"/>
        <v>1+12.3062479101898i</v>
      </c>
      <c r="BA327" s="32">
        <f t="shared" si="294"/>
        <v>12.346810828187609</v>
      </c>
      <c r="BB327" s="32">
        <f t="shared" si="295"/>
        <v>1.4897149403997327</v>
      </c>
      <c r="BC327" s="60" t="str">
        <f t="shared" si="296"/>
        <v>-0.192623010435475+0.18728557586526i</v>
      </c>
      <c r="BD327" s="51">
        <f t="shared" si="297"/>
        <v>-11.415860640545333</v>
      </c>
      <c r="BE327" s="63">
        <f t="shared" si="298"/>
        <v>135.80491035768404</v>
      </c>
      <c r="BF327" s="60" t="str">
        <f t="shared" si="299"/>
        <v>0.0705364252337822+0.0789308735804961i</v>
      </c>
      <c r="BG327" s="66">
        <f t="shared" si="300"/>
        <v>-19.505699193385819</v>
      </c>
      <c r="BH327" s="63">
        <f t="shared" si="301"/>
        <v>48.214493932763325</v>
      </c>
      <c r="BI327" s="60" t="e">
        <f t="shared" si="306"/>
        <v>#NUM!</v>
      </c>
      <c r="BJ327" s="66" t="e">
        <f t="shared" si="302"/>
        <v>#NUM!</v>
      </c>
      <c r="BK327" s="63" t="e">
        <f t="shared" si="307"/>
        <v>#NUM!</v>
      </c>
      <c r="BL327" s="51">
        <f t="shared" si="303"/>
        <v>-19.505699193385819</v>
      </c>
      <c r="BM327" s="63">
        <f t="shared" si="304"/>
        <v>48.214493932763325</v>
      </c>
    </row>
    <row r="328" spans="14:65" x14ac:dyDescent="0.3">
      <c r="N328" s="11">
        <v>10</v>
      </c>
      <c r="O328" s="52">
        <f t="shared" si="308"/>
        <v>12589.254117941671</v>
      </c>
      <c r="P328" s="50" t="str">
        <f t="shared" si="257"/>
        <v>21.1560044893378</v>
      </c>
      <c r="Q328" s="18" t="str">
        <f t="shared" si="258"/>
        <v>1+55.1307327136555i</v>
      </c>
      <c r="R328" s="18">
        <f t="shared" si="269"/>
        <v>55.139801319414673</v>
      </c>
      <c r="S328" s="18">
        <f t="shared" si="270"/>
        <v>1.552659612451077</v>
      </c>
      <c r="T328" s="18" t="str">
        <f t="shared" si="259"/>
        <v>1+0.0791006165022012i</v>
      </c>
      <c r="U328" s="18">
        <f t="shared" si="271"/>
        <v>1.0031235754038623</v>
      </c>
      <c r="V328" s="18">
        <f t="shared" si="272"/>
        <v>7.8936258006897339E-2</v>
      </c>
      <c r="W328" s="32" t="str">
        <f t="shared" si="260"/>
        <v>1-0.0355250697782075i</v>
      </c>
      <c r="X328" s="18">
        <f t="shared" si="273"/>
        <v>1.0006308163267541</v>
      </c>
      <c r="Y328" s="18">
        <f t="shared" si="274"/>
        <v>-3.5510136509484605E-2</v>
      </c>
      <c r="Z328" s="32" t="str">
        <f t="shared" si="261"/>
        <v>0.999841510680754+0.0193888221290106i</v>
      </c>
      <c r="AA328" s="18">
        <f t="shared" si="275"/>
        <v>1.0000294860172487</v>
      </c>
      <c r="AB328" s="18">
        <f t="shared" si="276"/>
        <v>1.9389465339883536E-2</v>
      </c>
      <c r="AC328" s="68" t="str">
        <f t="shared" si="277"/>
        <v>0.0162365413886054-0.384766832407797i</v>
      </c>
      <c r="AD328" s="66">
        <f t="shared" si="278"/>
        <v>-8.2883208168452356</v>
      </c>
      <c r="AE328" s="63">
        <f t="shared" si="279"/>
        <v>-87.583643862431202</v>
      </c>
      <c r="AF328" s="51" t="e">
        <f t="shared" si="280"/>
        <v>#NUM!</v>
      </c>
      <c r="AG328" s="51" t="str">
        <f t="shared" si="262"/>
        <v>1-33.9002642152291i</v>
      </c>
      <c r="AH328" s="51">
        <f t="shared" si="281"/>
        <v>33.915010155716345</v>
      </c>
      <c r="AI328" s="51">
        <f t="shared" si="282"/>
        <v>-1.5413065831402453</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-0.000133283554228113</v>
      </c>
      <c r="AT328" s="32" t="str">
        <f t="shared" si="266"/>
        <v>0.00483304766828449i</v>
      </c>
      <c r="AU328" s="32">
        <f t="shared" si="290"/>
        <v>4.8330476682844903E-3</v>
      </c>
      <c r="AV328" s="32">
        <f t="shared" si="291"/>
        <v>1.5707963267948966</v>
      </c>
      <c r="AW328" s="32" t="str">
        <f t="shared" si="267"/>
        <v>1+0.845022564907438i</v>
      </c>
      <c r="AX328" s="32">
        <f t="shared" si="292"/>
        <v>1.309222339865443</v>
      </c>
      <c r="AY328" s="32">
        <f t="shared" si="293"/>
        <v>0.70159729973773755</v>
      </c>
      <c r="AZ328" s="32" t="str">
        <f t="shared" si="268"/>
        <v>1+12.5928972477669i</v>
      </c>
      <c r="BA328" s="32">
        <f t="shared" si="294"/>
        <v>12.632539772065439</v>
      </c>
      <c r="BB328" s="32">
        <f t="shared" si="295"/>
        <v>1.4915527720166535</v>
      </c>
      <c r="BC328" s="60" t="str">
        <f t="shared" si="296"/>
        <v>-0.189011390646249+0.18729642781029i</v>
      </c>
      <c r="BD328" s="51">
        <f t="shared" si="297"/>
        <v>-11.499344924527152</v>
      </c>
      <c r="BE328" s="63">
        <f t="shared" si="298"/>
        <v>135.26111456484566</v>
      </c>
      <c r="BF328" s="60" t="str">
        <f t="shared" si="299"/>
        <v>0.0689965619827152+0.0757663602700297i</v>
      </c>
      <c r="BG328" s="66">
        <f t="shared" si="300"/>
        <v>-19.787665741372386</v>
      </c>
      <c r="BH328" s="63">
        <f t="shared" si="301"/>
        <v>47.677470702414475</v>
      </c>
      <c r="BI328" s="60" t="e">
        <f t="shared" si="306"/>
        <v>#NUM!</v>
      </c>
      <c r="BJ328" s="66" t="e">
        <f t="shared" si="302"/>
        <v>#NUM!</v>
      </c>
      <c r="BK328" s="63" t="e">
        <f t="shared" si="307"/>
        <v>#NUM!</v>
      </c>
      <c r="BL328" s="51">
        <f t="shared" si="303"/>
        <v>-19.787665741372386</v>
      </c>
      <c r="BM328" s="63">
        <f t="shared" si="304"/>
        <v>47.677470702414475</v>
      </c>
    </row>
    <row r="329" spans="14:65" x14ac:dyDescent="0.3">
      <c r="N329" s="11">
        <v>11</v>
      </c>
      <c r="O329" s="52">
        <f t="shared" si="308"/>
        <v>12882.49551693136</v>
      </c>
      <c r="P329" s="50" t="str">
        <f t="shared" si="257"/>
        <v>21.1560044893378</v>
      </c>
      <c r="Q329" s="18" t="str">
        <f t="shared" si="258"/>
        <v>1+56.4148924451871i</v>
      </c>
      <c r="R329" s="18">
        <f t="shared" si="269"/>
        <v>56.423754657077083</v>
      </c>
      <c r="S329" s="18">
        <f t="shared" si="270"/>
        <v>1.5530723670113753</v>
      </c>
      <c r="T329" s="18" t="str">
        <f t="shared" si="259"/>
        <v>1+0.08094310655179i</v>
      </c>
      <c r="U329" s="18">
        <f t="shared" si="271"/>
        <v>1.0032705450167738</v>
      </c>
      <c r="V329" s="18">
        <f t="shared" si="272"/>
        <v>8.0767024243225946E-2</v>
      </c>
      <c r="W329" s="32" t="str">
        <f t="shared" si="260"/>
        <v>1-0.0363525549543246i</v>
      </c>
      <c r="X329" s="18">
        <f t="shared" si="273"/>
        <v>1.0006605359719685</v>
      </c>
      <c r="Y329" s="18">
        <f t="shared" si="274"/>
        <v>-3.6336554239008577E-2</v>
      </c>
      <c r="Z329" s="32" t="str">
        <f t="shared" si="261"/>
        <v>0.999834041309256+0.0198404458131946i</v>
      </c>
      <c r="AA329" s="18">
        <f t="shared" si="275"/>
        <v>1.0000308762487613</v>
      </c>
      <c r="AB329" s="18">
        <f t="shared" si="276"/>
        <v>1.9841135019994186E-2</v>
      </c>
      <c r="AC329" s="68" t="str">
        <f t="shared" si="277"/>
        <v>0.0159224661566121-0.376074765686879i</v>
      </c>
      <c r="AD329" s="66">
        <f t="shared" si="278"/>
        <v>-8.486738133617326</v>
      </c>
      <c r="AE329" s="63">
        <f t="shared" si="279"/>
        <v>-87.575626792515251</v>
      </c>
      <c r="AF329" s="51" t="e">
        <f t="shared" si="280"/>
        <v>#NUM!</v>
      </c>
      <c r="AG329" s="51" t="str">
        <f t="shared" si="262"/>
        <v>1-34.6899028079101i</v>
      </c>
      <c r="AH329" s="51">
        <f t="shared" si="281"/>
        <v>34.704313230811081</v>
      </c>
      <c r="AI329" s="51">
        <f t="shared" si="282"/>
        <v>-1.5419774757261198</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-0.000133283554228113</v>
      </c>
      <c r="AT329" s="32" t="str">
        <f t="shared" si="266"/>
        <v>0.00494562381031437i</v>
      </c>
      <c r="AU329" s="32">
        <f t="shared" si="290"/>
        <v>4.94562381031437E-3</v>
      </c>
      <c r="AV329" s="32">
        <f t="shared" si="291"/>
        <v>1.5707963267948966</v>
      </c>
      <c r="AW329" s="32" t="str">
        <f t="shared" si="267"/>
        <v>1+0.864705668988891i</v>
      </c>
      <c r="AX329" s="32">
        <f t="shared" si="292"/>
        <v>1.3220120627216401</v>
      </c>
      <c r="AY329" s="32">
        <f t="shared" si="293"/>
        <v>0.71296975207271329</v>
      </c>
      <c r="AZ329" s="32" t="str">
        <f t="shared" si="268"/>
        <v>1+12.8862235061515i</v>
      </c>
      <c r="BA329" s="32">
        <f t="shared" si="294"/>
        <v>12.924966392625223</v>
      </c>
      <c r="BB329" s="32">
        <f t="shared" si="295"/>
        <v>1.4933492879749106</v>
      </c>
      <c r="BC329" s="60" t="str">
        <f t="shared" si="296"/>
        <v>-0.185371923409174+0.187241949335949i</v>
      </c>
      <c r="BD329" s="51">
        <f t="shared" si="297"/>
        <v>-11.58501017146815</v>
      </c>
      <c r="BE329" s="63">
        <f t="shared" si="298"/>
        <v>134.7124538255739</v>
      </c>
      <c r="BF329" s="60" t="str">
        <f t="shared" si="299"/>
        <v>0.0674653940464028+0.0726950562624309i</v>
      </c>
      <c r="BG329" s="66">
        <f t="shared" si="300"/>
        <v>-20.071748305085478</v>
      </c>
      <c r="BH329" s="63">
        <f t="shared" si="301"/>
        <v>47.136827033058665</v>
      </c>
      <c r="BI329" s="60" t="e">
        <f t="shared" si="306"/>
        <v>#NUM!</v>
      </c>
      <c r="BJ329" s="66" t="e">
        <f t="shared" si="302"/>
        <v>#NUM!</v>
      </c>
      <c r="BK329" s="63" t="e">
        <f t="shared" si="307"/>
        <v>#NUM!</v>
      </c>
      <c r="BL329" s="51">
        <f t="shared" si="303"/>
        <v>-20.071748305085478</v>
      </c>
      <c r="BM329" s="63">
        <f t="shared" si="304"/>
        <v>47.136827033058665</v>
      </c>
    </row>
    <row r="330" spans="14:65" x14ac:dyDescent="0.3">
      <c r="N330" s="11">
        <v>12</v>
      </c>
      <c r="O330" s="52">
        <f t="shared" si="308"/>
        <v>13182.567385564091</v>
      </c>
      <c r="P330" s="50" t="str">
        <f t="shared" si="257"/>
        <v>21.1560044893378</v>
      </c>
      <c r="Q330" s="18" t="str">
        <f t="shared" si="258"/>
        <v>1+57.7289640994324i</v>
      </c>
      <c r="R330" s="18">
        <f t="shared" si="269"/>
        <v>57.737624613362435</v>
      </c>
      <c r="S330" s="18">
        <f t="shared" si="270"/>
        <v>1.5534757319670396</v>
      </c>
      <c r="T330" s="18" t="str">
        <f t="shared" si="259"/>
        <v>1+0.0828285137078811i</v>
      </c>
      <c r="U330" s="18">
        <f t="shared" si="271"/>
        <v>1.0034244180221332</v>
      </c>
      <c r="V330" s="18">
        <f t="shared" si="272"/>
        <v>8.2639872873787767E-2</v>
      </c>
      <c r="W330" s="32" t="str">
        <f t="shared" si="260"/>
        <v>1-0.0371993147362614i</v>
      </c>
      <c r="X330" s="18">
        <f t="shared" si="273"/>
        <v>1.0006916553148864</v>
      </c>
      <c r="Y330" s="18">
        <f t="shared" si="274"/>
        <v>-3.7182170300858582E-2</v>
      </c>
      <c r="Z330" s="32" t="str">
        <f t="shared" si="261"/>
        <v>0.999826219917125+0.020302589164368i</v>
      </c>
      <c r="AA330" s="18">
        <f t="shared" si="275"/>
        <v>1.0000323320575912</v>
      </c>
      <c r="AB330" s="18">
        <f t="shared" si="276"/>
        <v>2.0303327655950516E-2</v>
      </c>
      <c r="AC330" s="68" t="str">
        <f t="shared" si="277"/>
        <v>0.0156224133156497-0.367581598305975i</v>
      </c>
      <c r="AD330" s="66">
        <f t="shared" si="278"/>
        <v>-8.6850871997300612</v>
      </c>
      <c r="AE330" s="63">
        <f t="shared" si="279"/>
        <v>-87.566363498675059</v>
      </c>
      <c r="AF330" s="51" t="e">
        <f t="shared" si="280"/>
        <v>#NUM!</v>
      </c>
      <c r="AG330" s="51" t="str">
        <f t="shared" si="262"/>
        <v>1-35.4979344462348i</v>
      </c>
      <c r="AH330" s="51">
        <f t="shared" si="281"/>
        <v>35.51201697945617</v>
      </c>
      <c r="AI330" s="51">
        <f t="shared" si="282"/>
        <v>-1.542633122008106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-0.000133283554228113</v>
      </c>
      <c r="AT330" s="32" t="str">
        <f t="shared" si="266"/>
        <v>0.00506082218755154i</v>
      </c>
      <c r="AU330" s="32">
        <f t="shared" si="290"/>
        <v>5.0608221875515398E-3</v>
      </c>
      <c r="AV330" s="32">
        <f t="shared" si="291"/>
        <v>1.5707963267948966</v>
      </c>
      <c r="AW330" s="32" t="str">
        <f t="shared" si="267"/>
        <v>1+0.884847251461773i</v>
      </c>
      <c r="AX330" s="32">
        <f t="shared" si="292"/>
        <v>1.3352732523418023</v>
      </c>
      <c r="AY330" s="32">
        <f t="shared" si="293"/>
        <v>0.72438006212029349</v>
      </c>
      <c r="AZ330" s="32" t="str">
        <f t="shared" si="268"/>
        <v>1+13.1863822108084i</v>
      </c>
      <c r="BA330" s="32">
        <f t="shared" si="294"/>
        <v>13.224245755789788</v>
      </c>
      <c r="BB330" s="32">
        <f t="shared" si="295"/>
        <v>1.4951053943995407</v>
      </c>
      <c r="BC330" s="60" t="str">
        <f t="shared" si="296"/>
        <v>-0.181708186077676+0.187120333053302i</v>
      </c>
      <c r="BD330" s="51">
        <f t="shared" si="297"/>
        <v>-11.672875024495632</v>
      </c>
      <c r="BE330" s="63">
        <f t="shared" si="298"/>
        <v>134.15930870341893</v>
      </c>
      <c r="BF330" s="60" t="str">
        <f t="shared" si="299"/>
        <v>0.0659432707135367+0.0697158566464324i</v>
      </c>
      <c r="BG330" s="66">
        <f t="shared" si="300"/>
        <v>-20.357962224225687</v>
      </c>
      <c r="BH330" s="63">
        <f t="shared" si="301"/>
        <v>46.592945204743906</v>
      </c>
      <c r="BI330" s="60" t="e">
        <f t="shared" si="306"/>
        <v>#NUM!</v>
      </c>
      <c r="BJ330" s="66" t="e">
        <f t="shared" si="302"/>
        <v>#NUM!</v>
      </c>
      <c r="BK330" s="63" t="e">
        <f t="shared" si="307"/>
        <v>#NUM!</v>
      </c>
      <c r="BL330" s="51">
        <f t="shared" si="303"/>
        <v>-20.357962224225687</v>
      </c>
      <c r="BM330" s="63">
        <f t="shared" si="304"/>
        <v>46.592945204743906</v>
      </c>
    </row>
    <row r="331" spans="14:65" x14ac:dyDescent="0.3">
      <c r="N331" s="11">
        <v>13</v>
      </c>
      <c r="O331" s="52">
        <f t="shared" si="308"/>
        <v>13489.628825916556</v>
      </c>
      <c r="P331" s="50" t="str">
        <f t="shared" si="257"/>
        <v>21.1560044893378</v>
      </c>
      <c r="Q331" s="18" t="str">
        <f t="shared" si="258"/>
        <v>1+59.0736444145764i</v>
      </c>
      <c r="R331" s="18">
        <f t="shared" si="269"/>
        <v>59.082107819709798</v>
      </c>
      <c r="S331" s="18">
        <f t="shared" si="270"/>
        <v>1.5538699206621767</v>
      </c>
      <c r="T331" s="18" t="str">
        <f t="shared" si="259"/>
        <v>1+0.0847578376383051i</v>
      </c>
      <c r="U331" s="18">
        <f t="shared" si="271"/>
        <v>1.003585517552501</v>
      </c>
      <c r="V331" s="18">
        <f t="shared" si="272"/>
        <v>8.4555744325386234E-2</v>
      </c>
      <c r="W331" s="32" t="str">
        <f t="shared" si="260"/>
        <v>1-0.0380657980872625i</v>
      </c>
      <c r="X331" s="18">
        <f t="shared" si="273"/>
        <v>1.0007242402300547</v>
      </c>
      <c r="Y331" s="18">
        <f t="shared" si="274"/>
        <v>-3.8047428211728018E-2</v>
      </c>
      <c r="Z331" s="32" t="str">
        <f t="shared" si="261"/>
        <v>0.999818029914139+0.020775497217053i</v>
      </c>
      <c r="AA331" s="18">
        <f t="shared" si="275"/>
        <v>1.0000338565398703</v>
      </c>
      <c r="AB331" s="18">
        <f t="shared" si="276"/>
        <v>2.0776288517401095E-2</v>
      </c>
      <c r="AC331" s="68" t="str">
        <f t="shared" si="277"/>
        <v>0.0153357475825276-0.359282860297889i</v>
      </c>
      <c r="AD331" s="66">
        <f t="shared" si="278"/>
        <v>-8.8833645720951218</v>
      </c>
      <c r="AE331" s="63">
        <f t="shared" si="279"/>
        <v>-87.555851786691107</v>
      </c>
      <c r="AF331" s="51" t="e">
        <f t="shared" si="280"/>
        <v>#NUM!</v>
      </c>
      <c r="AG331" s="51" t="str">
        <f t="shared" si="262"/>
        <v>1-36.3247875592737i</v>
      </c>
      <c r="AH331" s="51">
        <f t="shared" si="281"/>
        <v>36.338549657717017</v>
      </c>
      <c r="AI331" s="51">
        <f t="shared" si="282"/>
        <v>-1.5432738673624991</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-0.000133283554228113</v>
      </c>
      <c r="AT331" s="32" t="str">
        <f t="shared" si="266"/>
        <v>0.00517870387970044i</v>
      </c>
      <c r="AU331" s="32">
        <f t="shared" si="290"/>
        <v>5.1787038797004399E-3</v>
      </c>
      <c r="AV331" s="32">
        <f t="shared" si="291"/>
        <v>1.5707963267948966</v>
      </c>
      <c r="AW331" s="32" t="str">
        <f t="shared" si="267"/>
        <v>1+0.905457991659719i</v>
      </c>
      <c r="AX331" s="32">
        <f t="shared" si="292"/>
        <v>1.3490197087739124</v>
      </c>
      <c r="AY331" s="32">
        <f t="shared" si="293"/>
        <v>0.73582239614960887</v>
      </c>
      <c r="AZ331" s="32" t="str">
        <f t="shared" si="268"/>
        <v>1+13.4935325098558i</v>
      </c>
      <c r="BA331" s="32">
        <f t="shared" si="294"/>
        <v>13.530536559742757</v>
      </c>
      <c r="BB331" s="32">
        <f t="shared" si="295"/>
        <v>1.4968219790518023</v>
      </c>
      <c r="BC331" s="60" t="str">
        <f t="shared" si="296"/>
        <v>-0.178023855620513+0.186929978431951i</v>
      </c>
      <c r="BD331" s="51">
        <f t="shared" si="297"/>
        <v>-11.762955774768329</v>
      </c>
      <c r="BE331" s="63">
        <f t="shared" si="298"/>
        <v>133.60206431151153</v>
      </c>
      <c r="BF331" s="60" t="str">
        <f t="shared" si="299"/>
        <v>0.0644306084129895+0.0668276310134361i</v>
      </c>
      <c r="BG331" s="66">
        <f t="shared" si="300"/>
        <v>-20.646320346863455</v>
      </c>
      <c r="BH331" s="63">
        <f t="shared" si="301"/>
        <v>46.046212524820454</v>
      </c>
      <c r="BI331" s="60" t="e">
        <f t="shared" si="306"/>
        <v>#NUM!</v>
      </c>
      <c r="BJ331" s="66" t="e">
        <f t="shared" si="302"/>
        <v>#NUM!</v>
      </c>
      <c r="BK331" s="63" t="e">
        <f t="shared" si="307"/>
        <v>#NUM!</v>
      </c>
      <c r="BL331" s="51">
        <f t="shared" si="303"/>
        <v>-20.646320346863455</v>
      </c>
      <c r="BM331" s="63">
        <f t="shared" si="304"/>
        <v>46.046212524820454</v>
      </c>
    </row>
    <row r="332" spans="14:65" x14ac:dyDescent="0.3">
      <c r="N332" s="11">
        <v>14</v>
      </c>
      <c r="O332" s="52">
        <f t="shared" si="308"/>
        <v>13803.842646028841</v>
      </c>
      <c r="P332" s="50" t="str">
        <f t="shared" si="257"/>
        <v>21.1560044893378</v>
      </c>
      <c r="Q332" s="18" t="str">
        <f t="shared" si="258"/>
        <v>1+60.449646357921i</v>
      </c>
      <c r="R332" s="18">
        <f t="shared" si="269"/>
        <v>60.457917139095287</v>
      </c>
      <c r="S332" s="18">
        <f t="shared" si="270"/>
        <v>1.5542551416105621</v>
      </c>
      <c r="T332" s="18" t="str">
        <f t="shared" si="259"/>
        <v>1+0.0867321012961474i</v>
      </c>
      <c r="U332" s="18">
        <f t="shared" si="271"/>
        <v>1.0037541817572893</v>
      </c>
      <c r="V332" s="18">
        <f t="shared" si="272"/>
        <v>8.6515598128515753E-2</v>
      </c>
      <c r="W332" s="32" t="str">
        <f t="shared" si="260"/>
        <v>1-0.0389524644282698i</v>
      </c>
      <c r="X332" s="18">
        <f t="shared" si="273"/>
        <v>1.0007583596878098</v>
      </c>
      <c r="Y332" s="18">
        <f t="shared" si="274"/>
        <v>-3.8932781557506561E-2</v>
      </c>
      <c r="Z332" s="32" t="str">
        <f t="shared" si="261"/>
        <v>0.999809453928204+0.0212594207133586i</v>
      </c>
      <c r="AA332" s="18">
        <f t="shared" si="275"/>
        <v>1.000035452938185</v>
      </c>
      <c r="AB332" s="18">
        <f t="shared" si="276"/>
        <v>2.126026859838635E-2</v>
      </c>
      <c r="AC332" s="68" t="str">
        <f t="shared" si="277"/>
        <v>0.0150618619672437-0.351174182557523i</v>
      </c>
      <c r="AD332" s="66">
        <f t="shared" si="278"/>
        <v>-9.0815666611472228</v>
      </c>
      <c r="AE332" s="63">
        <f t="shared" si="279"/>
        <v>-87.544088995931375</v>
      </c>
      <c r="AF332" s="51" t="e">
        <f t="shared" si="280"/>
        <v>#NUM!</v>
      </c>
      <c r="AG332" s="51" t="str">
        <f t="shared" si="262"/>
        <v>1-37.1709005554918i</v>
      </c>
      <c r="AH332" s="51">
        <f t="shared" si="281"/>
        <v>37.1843495049498</v>
      </c>
      <c r="AI332" s="51">
        <f t="shared" si="282"/>
        <v>-1.5439000494152741</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-0.000133283554228113</v>
      </c>
      <c r="AT332" s="32" t="str">
        <f t="shared" si="266"/>
        <v>0.00529933138919461i</v>
      </c>
      <c r="AU332" s="32">
        <f t="shared" si="290"/>
        <v>5.2993313891946097E-3</v>
      </c>
      <c r="AV332" s="32">
        <f t="shared" si="291"/>
        <v>1.5707963267948966</v>
      </c>
      <c r="AW332" s="32" t="str">
        <f t="shared" si="267"/>
        <v>1+0.926548817669994i</v>
      </c>
      <c r="AX332" s="32">
        <f t="shared" si="292"/>
        <v>1.3632654589351494</v>
      </c>
      <c r="AY332" s="32">
        <f t="shared" si="293"/>
        <v>0.74729083711490663</v>
      </c>
      <c r="AZ332" s="32" t="str">
        <f t="shared" si="268"/>
        <v>1+13.807837258448i</v>
      </c>
      <c r="BA332" s="32">
        <f t="shared" si="294"/>
        <v>13.844001219148488</v>
      </c>
      <c r="BB332" s="32">
        <f t="shared" si="295"/>
        <v>1.4984999115993793</v>
      </c>
      <c r="BC332" s="60" t="str">
        <f t="shared" si="296"/>
        <v>-0.174322694316183+0.186669499607436i</v>
      </c>
      <c r="BD332" s="51">
        <f t="shared" si="297"/>
        <v>-11.855266309166391</v>
      </c>
      <c r="BE332" s="63">
        <f t="shared" si="298"/>
        <v>133.04110949988916</v>
      </c>
      <c r="BF332" s="60" t="str">
        <f t="shared" si="299"/>
        <v>0.0629278845735148+0.0640292199142922i</v>
      </c>
      <c r="BG332" s="66">
        <f t="shared" si="300"/>
        <v>-20.936832970313617</v>
      </c>
      <c r="BH332" s="63">
        <f t="shared" si="301"/>
        <v>45.497020503957835</v>
      </c>
      <c r="BI332" s="60" t="e">
        <f t="shared" si="306"/>
        <v>#NUM!</v>
      </c>
      <c r="BJ332" s="66" t="e">
        <f t="shared" si="302"/>
        <v>#NUM!</v>
      </c>
      <c r="BK332" s="63" t="e">
        <f t="shared" si="307"/>
        <v>#NUM!</v>
      </c>
      <c r="BL332" s="51">
        <f t="shared" si="303"/>
        <v>-20.936832970313617</v>
      </c>
      <c r="BM332" s="63">
        <f t="shared" si="304"/>
        <v>45.497020503957835</v>
      </c>
    </row>
    <row r="333" spans="14:65" x14ac:dyDescent="0.3">
      <c r="N333" s="11">
        <v>15</v>
      </c>
      <c r="O333" s="52">
        <f t="shared" si="308"/>
        <v>14125.375446227561</v>
      </c>
      <c r="P333" s="50" t="str">
        <f t="shared" si="257"/>
        <v>21.1560044893378</v>
      </c>
      <c r="Q333" s="18" t="str">
        <f t="shared" si="258"/>
        <v>1+61.8576995039105i</v>
      </c>
      <c r="R333" s="18">
        <f t="shared" si="269"/>
        <v>61.865782044003041</v>
      </c>
      <c r="S333" s="18">
        <f t="shared" si="270"/>
        <v>1.5546315986038599</v>
      </c>
      <c r="T333" s="18" t="str">
        <f t="shared" si="259"/>
        <v>1+0.0887523514621323i</v>
      </c>
      <c r="U333" s="18">
        <f t="shared" si="271"/>
        <v>1.0039307644902897</v>
      </c>
      <c r="V333" s="18">
        <f t="shared" si="272"/>
        <v>8.8520413167354497E-2</v>
      </c>
      <c r="W333" s="32" t="str">
        <f t="shared" si="260"/>
        <v>1-0.0398597838815139i</v>
      </c>
      <c r="X333" s="18">
        <f t="shared" si="273"/>
        <v>1.0007940858993327</v>
      </c>
      <c r="Y333" s="18">
        <f t="shared" si="274"/>
        <v>-3.9838694209211933E-2</v>
      </c>
      <c r="Z333" s="32" t="str">
        <f t="shared" si="261"/>
        <v>0.999800473768503+0.0217546162359282i</v>
      </c>
      <c r="AA333" s="18">
        <f t="shared" si="275"/>
        <v>1.000037124648528</v>
      </c>
      <c r="AB333" s="18">
        <f t="shared" si="276"/>
        <v>2.1755524751486694E-2</v>
      </c>
      <c r="AC333" s="68" t="str">
        <f t="shared" si="277"/>
        <v>0.0148001764945158-0.343251294672882i</v>
      </c>
      <c r="AD333" s="66">
        <f t="shared" si="278"/>
        <v>-9.2796897237645322</v>
      </c>
      <c r="AE333" s="63">
        <f t="shared" si="279"/>
        <v>-87.531072011286483</v>
      </c>
      <c r="AF333" s="51" t="e">
        <f t="shared" si="280"/>
        <v>#NUM!</v>
      </c>
      <c r="AG333" s="51" t="str">
        <f t="shared" si="262"/>
        <v>1-38.0367220551996i</v>
      </c>
      <c r="AH333" s="51">
        <f t="shared" si="281"/>
        <v>38.049864976166567</v>
      </c>
      <c r="AI333" s="51">
        <f t="shared" si="282"/>
        <v>-1.5445119982110924</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-0.000133283554228113</v>
      </c>
      <c r="AT333" s="32" t="str">
        <f t="shared" si="266"/>
        <v>0.00542276867433628i</v>
      </c>
      <c r="AU333" s="32">
        <f t="shared" si="290"/>
        <v>5.4227686743362801E-3</v>
      </c>
      <c r="AV333" s="32">
        <f t="shared" si="291"/>
        <v>1.5707963267948966</v>
      </c>
      <c r="AW333" s="32" t="str">
        <f t="shared" si="267"/>
        <v>1+0.948130912127725i</v>
      </c>
      <c r="AX333" s="32">
        <f t="shared" si="292"/>
        <v>1.3780247554133966</v>
      </c>
      <c r="AY333" s="32">
        <f t="shared" si="293"/>
        <v>0.75877939963356167</v>
      </c>
      <c r="AZ333" s="32" t="str">
        <f t="shared" si="268"/>
        <v>1+14.1294631051229i</v>
      </c>
      <c r="BA333" s="32">
        <f t="shared" si="294"/>
        <v>14.1648059513369</v>
      </c>
      <c r="BB333" s="32">
        <f t="shared" si="295"/>
        <v>1.5001400438899546</v>
      </c>
      <c r="BC333" s="60" t="str">
        <f t="shared" si="296"/>
        <v>-0.170608534703257+0.186337731962317i</v>
      </c>
      <c r="BD333" s="51">
        <f t="shared" si="297"/>
        <v>-11.949818066852863</v>
      </c>
      <c r="BE333" s="63">
        <f t="shared" si="298"/>
        <v>132.47683601299067</v>
      </c>
      <c r="BF333" s="60" t="str">
        <f t="shared" si="299"/>
        <v>0.0614356313173949+0.0613194317397664i</v>
      </c>
      <c r="BG333" s="66">
        <f t="shared" si="300"/>
        <v>-21.22950779061739</v>
      </c>
      <c r="BH333" s="63">
        <f t="shared" si="301"/>
        <v>44.945764001704205</v>
      </c>
      <c r="BI333" s="60" t="e">
        <f t="shared" si="306"/>
        <v>#NUM!</v>
      </c>
      <c r="BJ333" s="66" t="e">
        <f t="shared" si="302"/>
        <v>#NUM!</v>
      </c>
      <c r="BK333" s="63" t="e">
        <f t="shared" si="307"/>
        <v>#NUM!</v>
      </c>
      <c r="BL333" s="51">
        <f t="shared" si="303"/>
        <v>-21.22950779061739</v>
      </c>
      <c r="BM333" s="63">
        <f t="shared" si="304"/>
        <v>44.945764001704205</v>
      </c>
    </row>
    <row r="334" spans="14:65" x14ac:dyDescent="0.3">
      <c r="N334" s="11">
        <v>16</v>
      </c>
      <c r="O334" s="52">
        <f t="shared" si="308"/>
        <v>14454.397707459291</v>
      </c>
      <c r="P334" s="50" t="str">
        <f t="shared" si="257"/>
        <v>21.1560044893378</v>
      </c>
      <c r="Q334" s="18" t="str">
        <f t="shared" si="258"/>
        <v>1+63.2985504209603i</v>
      </c>
      <c r="R334" s="18">
        <f t="shared" si="269"/>
        <v>63.306449003200719</v>
      </c>
      <c r="S334" s="18">
        <f t="shared" si="270"/>
        <v>1.5549994908174947</v>
      </c>
      <c r="T334" s="18" t="str">
        <f t="shared" si="259"/>
        <v>1+0.0908196592996385i</v>
      </c>
      <c r="U334" s="18">
        <f t="shared" si="271"/>
        <v>1.004115636027695</v>
      </c>
      <c r="V334" s="18">
        <f t="shared" si="272"/>
        <v>9.0571187922277294E-2</v>
      </c>
      <c r="W334" s="32" t="str">
        <f t="shared" si="260"/>
        <v>1-0.0407882375197785i</v>
      </c>
      <c r="X334" s="18">
        <f t="shared" si="273"/>
        <v>1.0008314944684593</v>
      </c>
      <c r="Y334" s="18">
        <f t="shared" si="274"/>
        <v>-4.0765640542631772E-2</v>
      </c>
      <c r="Z334" s="32" t="str">
        <f t="shared" si="261"/>
        <v>0.999791070386915+0.0222613463439824i</v>
      </c>
      <c r="AA334" s="18">
        <f t="shared" si="275"/>
        <v>1.0000388752275884</v>
      </c>
      <c r="AB334" s="18">
        <f t="shared" si="276"/>
        <v>2.2262319825151543E-2</v>
      </c>
      <c r="AC334" s="68" t="str">
        <f t="shared" si="277"/>
        <v>0.0145501369818252-0.335510022798544i</v>
      </c>
      <c r="AD334" s="66">
        <f t="shared" si="278"/>
        <v>-9.4777298559131431</v>
      </c>
      <c r="AE334" s="63">
        <f t="shared" si="279"/>
        <v>-87.516797275793508</v>
      </c>
      <c r="AF334" s="51" t="e">
        <f t="shared" si="280"/>
        <v>#NUM!</v>
      </c>
      <c r="AG334" s="51" t="str">
        <f t="shared" si="262"/>
        <v>1-38.9227111284166i</v>
      </c>
      <c r="AH334" s="51">
        <f t="shared" si="281"/>
        <v>38.935554979814597</v>
      </c>
      <c r="AI334" s="51">
        <f t="shared" si="282"/>
        <v>-1.5451100363789483</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-0.000133283554228113</v>
      </c>
      <c r="AT334" s="32" t="str">
        <f t="shared" si="266"/>
        <v>0.00554908118320791i</v>
      </c>
      <c r="AU334" s="32">
        <f t="shared" si="290"/>
        <v>5.5490811832079098E-3</v>
      </c>
      <c r="AV334" s="32">
        <f t="shared" si="291"/>
        <v>1.5707963267948966</v>
      </c>
      <c r="AW334" s="32" t="str">
        <f t="shared" si="267"/>
        <v>1+0.97021571814506i</v>
      </c>
      <c r="AX334" s="32">
        <f t="shared" si="292"/>
        <v>1.3933120755005803</v>
      </c>
      <c r="AY334" s="32">
        <f t="shared" si="293"/>
        <v>0.77028204539768641</v>
      </c>
      <c r="AZ334" s="32" t="str">
        <f t="shared" si="268"/>
        <v>1+14.4585805801617i</v>
      </c>
      <c r="BA334" s="32">
        <f t="shared" si="294"/>
        <v>14.49312086450082</v>
      </c>
      <c r="BB334" s="32">
        <f t="shared" si="295"/>
        <v>1.5017432102274837</v>
      </c>
      <c r="BC334" s="60" t="str">
        <f t="shared" si="296"/>
        <v>-0.166885263911528+0.185933737402099i</v>
      </c>
      <c r="BD334" s="51">
        <f t="shared" si="297"/>
        <v>-12.046620005133715</v>
      </c>
      <c r="BE334" s="63">
        <f t="shared" si="298"/>
        <v>131.90963762247054</v>
      </c>
      <c r="BF334" s="60" t="str">
        <f t="shared" si="299"/>
        <v>0.059954429024636+0.058697040048441i</v>
      </c>
      <c r="BG334" s="66">
        <f t="shared" si="300"/>
        <v>-21.524349861046858</v>
      </c>
      <c r="BH334" s="63">
        <f t="shared" si="301"/>
        <v>44.392840346677005</v>
      </c>
      <c r="BI334" s="60" t="e">
        <f t="shared" si="306"/>
        <v>#NUM!</v>
      </c>
      <c r="BJ334" s="66" t="e">
        <f t="shared" si="302"/>
        <v>#NUM!</v>
      </c>
      <c r="BK334" s="63" t="e">
        <f t="shared" si="307"/>
        <v>#NUM!</v>
      </c>
      <c r="BL334" s="51">
        <f t="shared" si="303"/>
        <v>-21.524349861046858</v>
      </c>
      <c r="BM334" s="63">
        <f t="shared" si="304"/>
        <v>44.392840346677005</v>
      </c>
    </row>
    <row r="335" spans="14:65" x14ac:dyDescent="0.3">
      <c r="N335" s="11">
        <v>17</v>
      </c>
      <c r="O335" s="52">
        <f t="shared" si="308"/>
        <v>14791.083881682089</v>
      </c>
      <c r="P335" s="50" t="str">
        <f t="shared" si="257"/>
        <v>21.1560044893378</v>
      </c>
      <c r="Q335" s="18" t="str">
        <f t="shared" si="258"/>
        <v>1+64.7729630672986i</v>
      </c>
      <c r="R335" s="18">
        <f t="shared" si="269"/>
        <v>64.780681877529119</v>
      </c>
      <c r="S335" s="18">
        <f t="shared" si="270"/>
        <v>1.5553590129142207</v>
      </c>
      <c r="T335" s="18" t="str">
        <f t="shared" si="259"/>
        <v>1+0.0929351209226457i</v>
      </c>
      <c r="U335" s="18">
        <f t="shared" si="271"/>
        <v>1.0043091838178653</v>
      </c>
      <c r="V335" s="18">
        <f t="shared" si="272"/>
        <v>9.2668940703845334E-2</v>
      </c>
      <c r="W335" s="32" t="str">
        <f t="shared" si="260"/>
        <v>1-0.0417383176214723i</v>
      </c>
      <c r="X335" s="18">
        <f t="shared" si="273"/>
        <v>1.0008706645505556</v>
      </c>
      <c r="Y335" s="18">
        <f t="shared" si="274"/>
        <v>-4.1714105661671524E-2</v>
      </c>
      <c r="Z335" s="32" t="str">
        <f t="shared" si="261"/>
        <v>0.999781223837605+0.022779879712532i</v>
      </c>
      <c r="AA335" s="18">
        <f t="shared" si="275"/>
        <v>1.0000407084003815</v>
      </c>
      <c r="AB335" s="18">
        <f t="shared" si="276"/>
        <v>2.2780922804290438E-2</v>
      </c>
      <c r="AC335" s="68" t="str">
        <f t="shared" si="277"/>
        <v>0.0143112138714425-0.327946287571082i</v>
      </c>
      <c r="AD335" s="66">
        <f t="shared" si="278"/>
        <v>-9.6756829850056061</v>
      </c>
      <c r="AE335" s="63">
        <f t="shared" si="279"/>
        <v>-87.501260804015857</v>
      </c>
      <c r="AF335" s="51" t="e">
        <f t="shared" si="280"/>
        <v>#NUM!</v>
      </c>
      <c r="AG335" s="51" t="str">
        <f t="shared" si="262"/>
        <v>1-39.8293375382768i</v>
      </c>
      <c r="AH335" s="51">
        <f t="shared" si="281"/>
        <v>39.841889121099491</v>
      </c>
      <c r="AI335" s="51">
        <f t="shared" si="282"/>
        <v>-1.5456944792945091</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-0.000133283554228113</v>
      </c>
      <c r="AT335" s="32" t="str">
        <f t="shared" si="266"/>
        <v>0.00567833588837365i</v>
      </c>
      <c r="AU335" s="32">
        <f t="shared" si="290"/>
        <v>5.6783358883736503E-3</v>
      </c>
      <c r="AV335" s="32">
        <f t="shared" si="291"/>
        <v>1.5707963267948966</v>
      </c>
      <c r="AW335" s="32" t="str">
        <f t="shared" si="267"/>
        <v>1+0.992814945378479i</v>
      </c>
      <c r="AX335" s="32">
        <f t="shared" si="292"/>
        <v>1.4091421204998709</v>
      </c>
      <c r="AY335" s="32">
        <f t="shared" si="293"/>
        <v>0.78179269892398118</v>
      </c>
      <c r="AZ335" s="32" t="str">
        <f t="shared" si="268"/>
        <v>1+14.7953641860061i</v>
      </c>
      <c r="BA335" s="32">
        <f t="shared" si="294"/>
        <v>14.829120047951326</v>
      </c>
      <c r="BB335" s="32">
        <f t="shared" si="295"/>
        <v>1.5033102276505412</v>
      </c>
      <c r="BC335" s="60" t="str">
        <f t="shared" si="296"/>
        <v>-0.163156807507986+0.18545680826181i</v>
      </c>
      <c r="BD335" s="51">
        <f t="shared" si="297"/>
        <v>-12.145678574965915</v>
      </c>
      <c r="BE335" s="63">
        <f t="shared" si="298"/>
        <v>131.33990924074112</v>
      </c>
      <c r="BF335" s="60" t="str">
        <f t="shared" si="299"/>
        <v>0.058484899807414+0.0561607813611435i</v>
      </c>
      <c r="BG335" s="66">
        <f t="shared" si="300"/>
        <v>-21.821361559971525</v>
      </c>
      <c r="BH335" s="63">
        <f t="shared" si="301"/>
        <v>43.838648436725251</v>
      </c>
      <c r="BI335" s="60" t="e">
        <f t="shared" si="306"/>
        <v>#NUM!</v>
      </c>
      <c r="BJ335" s="66" t="e">
        <f t="shared" si="302"/>
        <v>#NUM!</v>
      </c>
      <c r="BK335" s="63" t="e">
        <f t="shared" si="307"/>
        <v>#NUM!</v>
      </c>
      <c r="BL335" s="51">
        <f t="shared" si="303"/>
        <v>-21.821361559971525</v>
      </c>
      <c r="BM335" s="63">
        <f t="shared" si="304"/>
        <v>43.838648436725251</v>
      </c>
    </row>
    <row r="336" spans="14:65" x14ac:dyDescent="0.3">
      <c r="N336" s="11">
        <v>18</v>
      </c>
      <c r="O336" s="52">
        <f t="shared" si="308"/>
        <v>15135.612484362096</v>
      </c>
      <c r="P336" s="50" t="str">
        <f t="shared" si="257"/>
        <v>21.1560044893378</v>
      </c>
      <c r="Q336" s="18" t="str">
        <f t="shared" si="258"/>
        <v>1+66.2817191960268i</v>
      </c>
      <c r="R336" s="18">
        <f t="shared" si="269"/>
        <v>66.289262324911618</v>
      </c>
      <c r="S336" s="18">
        <f t="shared" si="270"/>
        <v>1.5557103551454361</v>
      </c>
      <c r="T336" s="18" t="str">
        <f t="shared" si="259"/>
        <v>1+0.0950998579769078i</v>
      </c>
      <c r="U336" s="18">
        <f t="shared" si="271"/>
        <v>1.0045118132641486</v>
      </c>
      <c r="V336" s="18">
        <f t="shared" si="272"/>
        <v>9.481470987714069E-2</v>
      </c>
      <c r="W336" s="32" t="str">
        <f t="shared" si="260"/>
        <v>1-0.0427105279316409i</v>
      </c>
      <c r="X336" s="18">
        <f t="shared" si="273"/>
        <v>1.0009116790187831</v>
      </c>
      <c r="Y336" s="18">
        <f t="shared" si="274"/>
        <v>-4.2684585625392735E-2</v>
      </c>
      <c r="Z336" s="32" t="str">
        <f t="shared" si="261"/>
        <v>0.999770913234723+0.0233104912748325i</v>
      </c>
      <c r="AA336" s="18">
        <f t="shared" si="275"/>
        <v>1.0000426280682568</v>
      </c>
      <c r="AB336" s="18">
        <f t="shared" si="276"/>
        <v>2.3311608954203835E-2</v>
      </c>
      <c r="AC336" s="68" t="str">
        <f t="shared" si="277"/>
        <v>0.0140829011140305-0.320556102065974i</v>
      </c>
      <c r="AD336" s="66">
        <f t="shared" si="278"/>
        <v>-9.8735448619615998</v>
      </c>
      <c r="AE336" s="63">
        <f t="shared" si="279"/>
        <v>-87.48445819624942</v>
      </c>
      <c r="AF336" s="51" t="e">
        <f t="shared" si="280"/>
        <v>#NUM!</v>
      </c>
      <c r="AG336" s="51" t="str">
        <f t="shared" si="262"/>
        <v>1-40.7570819901034i</v>
      </c>
      <c r="AH336" s="51">
        <f t="shared" si="281"/>
        <v>40.769347950979196</v>
      </c>
      <c r="AI336" s="51">
        <f t="shared" si="282"/>
        <v>-1.5462656352391884</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-0.000133283554228113</v>
      </c>
      <c r="AT336" s="32" t="str">
        <f t="shared" si="266"/>
        <v>0.00581060132238907i</v>
      </c>
      <c r="AU336" s="32">
        <f t="shared" si="290"/>
        <v>5.8106013223890697E-3</v>
      </c>
      <c r="AV336" s="32">
        <f t="shared" si="291"/>
        <v>1.5707963267948966</v>
      </c>
      <c r="AW336" s="32" t="str">
        <f t="shared" si="267"/>
        <v>1+1.0159405762374i</v>
      </c>
      <c r="AX336" s="32">
        <f t="shared" si="292"/>
        <v>1.4255298153478166</v>
      </c>
      <c r="AY336" s="32">
        <f t="shared" si="293"/>
        <v>0.79330526354238129</v>
      </c>
      <c r="AZ336" s="32" t="str">
        <f t="shared" si="268"/>
        <v>1+15.1399924897817i</v>
      </c>
      <c r="BA336" s="32">
        <f t="shared" si="294"/>
        <v>15.172981664480002</v>
      </c>
      <c r="BB336" s="32">
        <f t="shared" si="295"/>
        <v>1.5048418962121628</v>
      </c>
      <c r="BC336" s="60" t="str">
        <f t="shared" si="296"/>
        <v>-0.159427112999193+0.184906469794756i</v>
      </c>
      <c r="BD336" s="51">
        <f t="shared" si="297"/>
        <v>-12.246997706375378</v>
      </c>
      <c r="BE336" s="63">
        <f t="shared" si="298"/>
        <v>130.76804602092878</v>
      </c>
      <c r="BF336" s="60" t="str">
        <f t="shared" si="299"/>
        <v>0.0570277009369237+0.0537093534361169i</v>
      </c>
      <c r="BG336" s="66">
        <f t="shared" si="300"/>
        <v>-22.12054256833698</v>
      </c>
      <c r="BH336" s="63">
        <f t="shared" si="301"/>
        <v>43.283587824679394</v>
      </c>
      <c r="BI336" s="60" t="e">
        <f t="shared" si="306"/>
        <v>#NUM!</v>
      </c>
      <c r="BJ336" s="66" t="e">
        <f t="shared" si="302"/>
        <v>#NUM!</v>
      </c>
      <c r="BK336" s="63" t="e">
        <f t="shared" si="307"/>
        <v>#NUM!</v>
      </c>
      <c r="BL336" s="51">
        <f t="shared" si="303"/>
        <v>-22.12054256833698</v>
      </c>
      <c r="BM336" s="63">
        <f t="shared" si="304"/>
        <v>43.283587824679394</v>
      </c>
    </row>
    <row r="337" spans="14:65" x14ac:dyDescent="0.3">
      <c r="N337" s="11">
        <v>19</v>
      </c>
      <c r="O337" s="52">
        <f t="shared" si="308"/>
        <v>15488.166189124853</v>
      </c>
      <c r="P337" s="50" t="str">
        <f t="shared" si="257"/>
        <v>21.1560044893378</v>
      </c>
      <c r="Q337" s="18" t="str">
        <f t="shared" si="258"/>
        <v>1+67.825618769615i</v>
      </c>
      <c r="R337" s="18">
        <f t="shared" si="269"/>
        <v>67.832990214799992</v>
      </c>
      <c r="S337" s="18">
        <f t="shared" si="270"/>
        <v>1.5560537034502819</v>
      </c>
      <c r="T337" s="18" t="str">
        <f t="shared" si="259"/>
        <v>1+0.0973150182346649i</v>
      </c>
      <c r="U337" s="18">
        <f t="shared" si="271"/>
        <v>1.0047239485420925</v>
      </c>
      <c r="V337" s="18">
        <f t="shared" si="272"/>
        <v>9.7009554075240173E-2</v>
      </c>
      <c r="W337" s="32" t="str">
        <f t="shared" si="260"/>
        <v>1-0.0437053839290596i</v>
      </c>
      <c r="X337" s="18">
        <f t="shared" si="273"/>
        <v>1.0009546246380934</v>
      </c>
      <c r="Y337" s="18">
        <f t="shared" si="274"/>
        <v>-4.3677587678723977E-2</v>
      </c>
      <c r="Z337" s="32" t="str">
        <f t="shared" si="261"/>
        <v>0.999760116708098+0.0238534623681578i</v>
      </c>
      <c r="AA337" s="18">
        <f t="shared" si="275"/>
        <v>1.0000446383172796</v>
      </c>
      <c r="AB337" s="18">
        <f t="shared" si="276"/>
        <v>2.3854659967938629E-2</v>
      </c>
      <c r="AC337" s="68" t="str">
        <f t="shared" si="277"/>
        <v>0.0138647151015069-0.313335569795457i</v>
      </c>
      <c r="AD337" s="66">
        <f t="shared" si="278"/>
        <v>-10.071311052960327</v>
      </c>
      <c r="AE337" s="63">
        <f t="shared" si="279"/>
        <v>-87.466384653631195</v>
      </c>
      <c r="AF337" s="51" t="e">
        <f t="shared" si="280"/>
        <v>#NUM!</v>
      </c>
      <c r="AG337" s="51" t="str">
        <f t="shared" si="262"/>
        <v>1-41.706436386285i</v>
      </c>
      <c r="AH337" s="51">
        <f t="shared" si="281"/>
        <v>41.718423220961235</v>
      </c>
      <c r="AI337" s="51">
        <f t="shared" si="282"/>
        <v>-1.546823805555998</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-0.000133283554228113</v>
      </c>
      <c r="AT337" s="32" t="str">
        <f t="shared" si="266"/>
        <v>0.00594594761413803i</v>
      </c>
      <c r="AU337" s="32">
        <f t="shared" si="290"/>
        <v>5.9459476141380304E-3</v>
      </c>
      <c r="AV337" s="32">
        <f t="shared" si="291"/>
        <v>1.5707963267948966</v>
      </c>
      <c r="AW337" s="32" t="str">
        <f t="shared" si="267"/>
        <v>1+1.0396048722374i</v>
      </c>
      <c r="AX337" s="32">
        <f t="shared" si="292"/>
        <v>1.4424903085912713</v>
      </c>
      <c r="AY337" s="32">
        <f t="shared" si="293"/>
        <v>0.80481363752126267</v>
      </c>
      <c r="AZ337" s="32" t="str">
        <f t="shared" si="268"/>
        <v>1+15.4926482179769i</v>
      </c>
      <c r="BA337" s="32">
        <f t="shared" si="294"/>
        <v>15.52488804487758</v>
      </c>
      <c r="BB337" s="32">
        <f t="shared" si="295"/>
        <v>1.5063389992606562</v>
      </c>
      <c r="BC337" s="60" t="str">
        <f t="shared" si="296"/>
        <v>-0.155700133136729+0.184282481211788i</v>
      </c>
      <c r="BD337" s="51">
        <f t="shared" si="297"/>
        <v>-12.350578803958586</v>
      </c>
      <c r="BE337" s="63">
        <f t="shared" si="298"/>
        <v>130.19444244905574</v>
      </c>
      <c r="BF337" s="60" t="str">
        <f t="shared" si="299"/>
        <v>0.0555835182666088+0.0513414140338257i</v>
      </c>
      <c r="BG337" s="66">
        <f t="shared" si="300"/>
        <v>-22.421889856918916</v>
      </c>
      <c r="BH337" s="63">
        <f t="shared" si="301"/>
        <v>42.728057795424519</v>
      </c>
      <c r="BI337" s="60" t="e">
        <f t="shared" si="306"/>
        <v>#NUM!</v>
      </c>
      <c r="BJ337" s="66" t="e">
        <f t="shared" si="302"/>
        <v>#NUM!</v>
      </c>
      <c r="BK337" s="63" t="e">
        <f t="shared" si="307"/>
        <v>#NUM!</v>
      </c>
      <c r="BL337" s="51">
        <f t="shared" si="303"/>
        <v>-22.421889856918916</v>
      </c>
      <c r="BM337" s="63">
        <f t="shared" si="304"/>
        <v>42.728057795424519</v>
      </c>
    </row>
    <row r="338" spans="14:65" x14ac:dyDescent="0.3">
      <c r="N338" s="11">
        <v>20</v>
      </c>
      <c r="O338" s="52">
        <f t="shared" si="308"/>
        <v>15848.931924611146</v>
      </c>
      <c r="P338" s="50" t="str">
        <f t="shared" si="257"/>
        <v>21.1560044893378</v>
      </c>
      <c r="Q338" s="18" t="str">
        <f t="shared" si="258"/>
        <v>1+69.4054803840529i</v>
      </c>
      <c r="R338" s="18">
        <f t="shared" si="269"/>
        <v>69.412684052276433</v>
      </c>
      <c r="S338" s="18">
        <f t="shared" si="270"/>
        <v>1.5563892395525747</v>
      </c>
      <c r="T338" s="18" t="str">
        <f t="shared" si="259"/>
        <v>1+0.0995817762032062i</v>
      </c>
      <c r="U338" s="18">
        <f t="shared" si="271"/>
        <v>1.0049460334524365</v>
      </c>
      <c r="V338" s="18">
        <f t="shared" si="272"/>
        <v>9.9254552400528856E-2</v>
      </c>
      <c r="W338" s="32" t="str">
        <f t="shared" si="260"/>
        <v>1-0.0447234130995465i</v>
      </c>
      <c r="X338" s="18">
        <f t="shared" si="273"/>
        <v>1.0009995922473058</v>
      </c>
      <c r="Y338" s="18">
        <f t="shared" si="274"/>
        <v>-4.4693630486814247E-2</v>
      </c>
      <c r="Z338" s="32" t="str">
        <f t="shared" si="261"/>
        <v>0.999748811356849+0.0244090808829685i</v>
      </c>
      <c r="AA338" s="18">
        <f t="shared" si="275"/>
        <v>1.0000467434270179</v>
      </c>
      <c r="AB338" s="18">
        <f t="shared" si="276"/>
        <v>2.441036411715107E-2</v>
      </c>
      <c r="AC338" s="68" t="str">
        <f t="shared" si="277"/>
        <v>0.0136561936469619-0.306280882746825i</v>
      </c>
      <c r="AD338" s="66">
        <f t="shared" si="278"/>
        <v>-10.268976930872372</v>
      </c>
      <c r="AE338" s="63">
        <f t="shared" si="279"/>
        <v>-87.447034994229838</v>
      </c>
      <c r="AF338" s="51" t="e">
        <f t="shared" si="280"/>
        <v>#NUM!</v>
      </c>
      <c r="AG338" s="51" t="str">
        <f t="shared" si="262"/>
        <v>1-42.6779040870884i</v>
      </c>
      <c r="AH338" s="51">
        <f t="shared" si="281"/>
        <v>42.689618143838167</v>
      </c>
      <c r="AI338" s="51">
        <f t="shared" si="282"/>
        <v>-1.5473692848022294</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-0.000133283554228113</v>
      </c>
      <c r="AT338" s="32" t="str">
        <f t="shared" si="266"/>
        <v>0.0060844465260159i</v>
      </c>
      <c r="AU338" s="32">
        <f t="shared" si="290"/>
        <v>6.0844465260159004E-3</v>
      </c>
      <c r="AV338" s="32">
        <f t="shared" si="291"/>
        <v>1.5707963267948966</v>
      </c>
      <c r="AW338" s="32" t="str">
        <f t="shared" si="267"/>
        <v>1+1.06382038050146i</v>
      </c>
      <c r="AX338" s="32">
        <f t="shared" si="292"/>
        <v>1.4600389727573271</v>
      </c>
      <c r="AY338" s="32">
        <f t="shared" si="293"/>
        <v>0.81631173022534087</v>
      </c>
      <c r="AZ338" s="32" t="str">
        <f t="shared" si="268"/>
        <v>1+15.8535183533266i</v>
      </c>
      <c r="BA338" s="32">
        <f t="shared" si="294"/>
        <v>15.885025784658433</v>
      </c>
      <c r="BB338" s="32">
        <f t="shared" si="295"/>
        <v>1.5078023037208859</v>
      </c>
      <c r="BC338" s="60" t="str">
        <f t="shared" si="296"/>
        <v>-0.151979809175461+0.183584835256661i</v>
      </c>
      <c r="BD338" s="51">
        <f t="shared" si="297"/>
        <v>-12.456420752550692</v>
      </c>
      <c r="BE338" s="63">
        <f t="shared" si="298"/>
        <v>129.61949143437548</v>
      </c>
      <c r="BF338" s="60" t="str">
        <f t="shared" si="299"/>
        <v>0.0541530596968122+0.0490555801748648i</v>
      </c>
      <c r="BG338" s="66">
        <f t="shared" si="300"/>
        <v>-22.725397683423054</v>
      </c>
      <c r="BH338" s="63">
        <f t="shared" si="301"/>
        <v>42.172456440145645</v>
      </c>
      <c r="BI338" s="60" t="e">
        <f t="shared" si="306"/>
        <v>#NUM!</v>
      </c>
      <c r="BJ338" s="66" t="e">
        <f t="shared" si="302"/>
        <v>#NUM!</v>
      </c>
      <c r="BK338" s="63" t="e">
        <f t="shared" si="307"/>
        <v>#NUM!</v>
      </c>
      <c r="BL338" s="51">
        <f t="shared" si="303"/>
        <v>-22.725397683423054</v>
      </c>
      <c r="BM338" s="63">
        <f t="shared" si="304"/>
        <v>42.172456440145645</v>
      </c>
    </row>
    <row r="339" spans="14:65" x14ac:dyDescent="0.3">
      <c r="N339" s="11">
        <v>21</v>
      </c>
      <c r="O339" s="52">
        <f t="shared" si="308"/>
        <v>16218.100973589309</v>
      </c>
      <c r="P339" s="50" t="str">
        <f t="shared" ref="P339:P402" si="309">COMPLEX(Adc,0)</f>
        <v>21.1560044893378</v>
      </c>
      <c r="Q339" s="18" t="str">
        <f t="shared" ref="Q339:Q402" si="310">IMSUM(COMPLEX(1,0),IMDIV(COMPLEX(0,2*PI()*O339),COMPLEX(wp_lf,0)))</f>
        <v>1+71.0221417028805i</v>
      </c>
      <c r="R339" s="18">
        <f t="shared" si="269"/>
        <v>71.029181412036834</v>
      </c>
      <c r="S339" s="18">
        <f t="shared" si="270"/>
        <v>1.5567171410556147</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1-0.0457651552156431i</v>
      </c>
      <c r="X339" s="18">
        <f t="shared" si="273"/>
        <v>1.0010466769496376</v>
      </c>
      <c r="Y339" s="18">
        <f t="shared" si="274"/>
        <v>-4.5733244372994634E-2</v>
      </c>
      <c r="Z339" s="32" t="str">
        <f t="shared" ref="Z339:Z402" si="313">IMSUM(COMPLEX(1,0),IMDIV(COMPLEX(0,2*PI()*O339),COMPLEX(Q*(wsl/2),0)),IMDIV(IMPOWER(COMPLEX(0,2*PI()*O339),2),IMPOWER(COMPLEX(wsl/2,0),2)))</f>
        <v>0.99973697320081+0.0249776414155557i</v>
      </c>
      <c r="AA339" s="18">
        <f t="shared" si="275"/>
        <v>1.000048947879753</v>
      </c>
      <c r="AB339" s="18">
        <f t="shared" si="276"/>
        <v>2.4979016406566069E-2</v>
      </c>
      <c r="AC339" s="68" t="str">
        <f t="shared" si="277"/>
        <v>0.0134568950095107-0.299388319460594i</v>
      </c>
      <c r="AD339" s="66">
        <f t="shared" si="278"/>
        <v>-10.466537666360294</v>
      </c>
      <c r="AE339" s="63">
        <f t="shared" si="279"/>
        <v>-87.426403670203555</v>
      </c>
      <c r="AF339" s="51" t="e">
        <f t="shared" si="280"/>
        <v>#NUM!</v>
      </c>
      <c r="AG339" s="51" t="str">
        <f t="shared" ref="AG339:AG402" si="314">IMSUM(COMPLEX(1,0),IMDIV(COMPLEX(0,2*PI()*O339),COMPLEX(wp_lf_DCM,0)))</f>
        <v>1-43.6720001775476i</v>
      </c>
      <c r="AH339" s="51">
        <f t="shared" si="281"/>
        <v>43.68344766050086</v>
      </c>
      <c r="AI339" s="51">
        <f t="shared" si="282"/>
        <v>-1.5479023608990066</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-0.000133283554228113</v>
      </c>
      <c r="AT339" s="32" t="str">
        <f t="shared" ref="AT339:AT402" si="318">COMPLEX(0,2*PI()*O339*wp0_ea)</f>
        <v>0.00622617149197905i</v>
      </c>
      <c r="AU339" s="32">
        <f t="shared" si="290"/>
        <v>6.2261714919790503E-3</v>
      </c>
      <c r="AV339" s="32">
        <f t="shared" si="291"/>
        <v>1.5707963267948966</v>
      </c>
      <c r="AW339" s="32" t="str">
        <f t="shared" ref="AW339:AW402" si="319">IMSUM(COMPLEX(1,0),IMDIV(COMPLEX(0,2*PI()*O339),COMPLEX(wp1_ea,0)))</f>
        <v>1+1.08859994041259i</v>
      </c>
      <c r="AX339" s="32">
        <f t="shared" si="292"/>
        <v>1.4781914051523553</v>
      </c>
      <c r="AY339" s="32">
        <f t="shared" si="293"/>
        <v>0.82779347820193871</v>
      </c>
      <c r="AZ339" s="32" t="str">
        <f t="shared" ref="AZ339:AZ402" si="320">IMSUM(COMPLEX(1,0),IMDIV(COMPLEX(0,2*PI()*O339),COMPLEX(wz_ea,0)))</f>
        <v>1+16.2227942339534i</v>
      </c>
      <c r="BA339" s="32">
        <f t="shared" si="294"/>
        <v>16.253585843043734</v>
      </c>
      <c r="BB339" s="32">
        <f t="shared" si="295"/>
        <v>1.5092325603755927</v>
      </c>
      <c r="BC339" s="60" t="str">
        <f t="shared" si="296"/>
        <v>-0.148270054235173+0.18281375632071i</v>
      </c>
      <c r="BD339" s="51">
        <f t="shared" si="297"/>
        <v>-12.564519933047436</v>
      </c>
      <c r="BE339" s="63">
        <f t="shared" si="298"/>
        <v>129.04358340381893</v>
      </c>
      <c r="BF339" s="60" t="str">
        <f t="shared" si="299"/>
        <v>0.0527370487262387+0.0468504278889016i</v>
      </c>
      <c r="BG339" s="66">
        <f t="shared" si="300"/>
        <v>-23.031057599407738</v>
      </c>
      <c r="BH339" s="63">
        <f t="shared" si="301"/>
        <v>41.617179733615373</v>
      </c>
      <c r="BI339" s="60" t="e">
        <f t="shared" si="306"/>
        <v>#NUM!</v>
      </c>
      <c r="BJ339" s="66" t="e">
        <f t="shared" si="302"/>
        <v>#NUM!</v>
      </c>
      <c r="BK339" s="63" t="e">
        <f t="shared" si="307"/>
        <v>#NUM!</v>
      </c>
      <c r="BL339" s="51">
        <f t="shared" si="303"/>
        <v>-23.031057599407738</v>
      </c>
      <c r="BM339" s="63">
        <f t="shared" si="304"/>
        <v>41.617179733615373</v>
      </c>
    </row>
    <row r="340" spans="14:65" x14ac:dyDescent="0.3">
      <c r="N340" s="11">
        <v>22</v>
      </c>
      <c r="O340" s="52">
        <f t="shared" si="308"/>
        <v>16595.869074375616</v>
      </c>
      <c r="P340" s="50" t="str">
        <f t="shared" si="309"/>
        <v>21.1560044893378</v>
      </c>
      <c r="Q340" s="18" t="str">
        <f t="shared" si="310"/>
        <v>1+72.6764599013286i</v>
      </c>
      <c r="R340" s="18">
        <f t="shared" ref="R340:R403" si="321">IMABS(Q340)</f>
        <v>72.683339382484519</v>
      </c>
      <c r="S340" s="18">
        <f t="shared" ref="S340:S403" si="322">IMARGUMENT(Q340)</f>
        <v>1.5570375815349111</v>
      </c>
      <c r="T340" s="18" t="str">
        <f t="shared" si="311"/>
        <v>1+0.104274920727993i</v>
      </c>
      <c r="U340" s="18">
        <f t="shared" ref="U340:U403" si="323">IMABS(T340)</f>
        <v>1.0054219308791854</v>
      </c>
      <c r="V340" s="18">
        <f t="shared" ref="V340:V403" si="324">IMARGUMENT(T340)</f>
        <v>0.1038994313003309</v>
      </c>
      <c r="W340" s="32" t="str">
        <f t="shared" si="312"/>
        <v>1-0.0468311626228087i</v>
      </c>
      <c r="X340" s="18">
        <f t="shared" ref="X340:X403" si="325">IMABS(W340)</f>
        <v>1.0010959783120716</v>
      </c>
      <c r="Y340" s="18">
        <f t="shared" ref="Y340:Y403" si="326">IMARGUMENT(W340)</f>
        <v>-4.679697156030041E-2</v>
      </c>
      <c r="Z340" s="32" t="str">
        <f t="shared" si="313"/>
        <v>0.999724577129666+0.0255594454242398i</v>
      </c>
      <c r="AA340" s="18">
        <f t="shared" ref="AA340:AA403" si="327">IMABS(Z340)</f>
        <v>1.0000512563701345</v>
      </c>
      <c r="AB340" s="18">
        <f t="shared" ref="AB340:AB403" si="328">IMARGUMENT(Z340)</f>
        <v>2.5560918732121019E-2</v>
      </c>
      <c r="AC340" s="68" t="str">
        <f t="shared" ref="AC340:AC403" si="329">(IMDIV(IMPRODUCT(P340,T340,W340),IMPRODUCT(Q340,Z340)))</f>
        <v>0.0132663969620603-0.292654243147998i</v>
      </c>
      <c r="AD340" s="66">
        <f t="shared" ref="AD340:AD403" si="330">20*LOG(IMABS(AC340))</f>
        <v>-10.663988218635915</v>
      </c>
      <c r="AE340" s="63">
        <f t="shared" ref="AE340:AE403" si="331">(180/PI())*IMARGUMENT(AC340)</f>
        <v>-87.404484786115177</v>
      </c>
      <c r="AF340" s="51" t="e">
        <f t="shared" ref="AF340:AF403" si="332">COMPLEX($B$68,0)</f>
        <v>#NUM!</v>
      </c>
      <c r="AG340" s="51" t="str">
        <f t="shared" si="314"/>
        <v>1-44.6892517405685i</v>
      </c>
      <c r="AH340" s="51">
        <f t="shared" ref="AH340:AH403" si="333">IMABS(AG340)</f>
        <v>44.700438712969081</v>
      </c>
      <c r="AI340" s="51">
        <f t="shared" ref="AI340:AI403" si="334">IMARGUMENT(AG340)</f>
        <v>-1.5484233152777636</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-0.000133283554228113</v>
      </c>
      <c r="AT340" s="32" t="str">
        <f t="shared" si="318"/>
        <v>0.00637119765648037i</v>
      </c>
      <c r="AU340" s="32">
        <f t="shared" ref="AU340:AU403" si="342">IMABS(AT340)</f>
        <v>6.3711976564803704E-3</v>
      </c>
      <c r="AV340" s="32">
        <f t="shared" ref="AV340:AV403" si="343">IMARGUMENT(AT340)</f>
        <v>1.5707963267948966</v>
      </c>
      <c r="AW340" s="32" t="str">
        <f t="shared" si="319"/>
        <v>1+1.11395669042145i</v>
      </c>
      <c r="AX340" s="32">
        <f t="shared" ref="AX340:AX403" si="344">IMABS(AW340)</f>
        <v>1.4969634291240084</v>
      </c>
      <c r="AY340" s="32">
        <f t="shared" ref="AY340:AY403" si="345">IMARGUMENT(AW340)</f>
        <v>0.83925286109224673</v>
      </c>
      <c r="AZ340" s="32" t="str">
        <f t="shared" si="320"/>
        <v>1+16.6006716548172i</v>
      </c>
      <c r="BA340" s="32">
        <f t="shared" ref="BA340:BA403" si="346">IMABS(AZ340)</f>
        <v>16.630763644254319</v>
      </c>
      <c r="BB340" s="32">
        <f t="shared" ref="BB340:BB403" si="347">IMARGUMENT(AZ340)</f>
        <v>1.5106305041463255</v>
      </c>
      <c r="BC340" s="60" t="str">
        <f t="shared" ref="BC340:BC403" si="348">IMPRODUCT(AS340,IMDIV(AZ340,IMPRODUCT(AT340,AW340)))</f>
        <v>-0.14457473691438+0.181969697117605i</v>
      </c>
      <c r="BD340" s="51">
        <f t="shared" ref="BD340:BD403" si="349">20*LOG(IMABS(BC340))</f>
        <v>-12.674870248278268</v>
      </c>
      <c r="BE340" s="63">
        <f t="shared" ref="BE340:BE403" si="350">(180/PI())*IMARGUMENT(BC340)</f>
        <v>128.46710540643926</v>
      </c>
      <c r="BF340" s="60" t="str">
        <f t="shared" ref="BF340:BF403" si="351">IMPRODUCT(AC340,BC340)</f>
        <v>0.0513362181352315+0.0447244924470268i</v>
      </c>
      <c r="BG340" s="66">
        <f t="shared" ref="BG340:BG403" si="352">20*LOG(IMABS(BF340))</f>
        <v>-23.338858466914189</v>
      </c>
      <c r="BH340" s="63">
        <f t="shared" ref="BH340:BH403" si="353">(180/PI())*IMARGUMENT(BF340)</f>
        <v>41.062620620324097</v>
      </c>
      <c r="BI340" s="60" t="e">
        <f t="shared" si="306"/>
        <v>#NUM!</v>
      </c>
      <c r="BJ340" s="66" t="e">
        <f t="shared" ref="BJ340:BJ403" si="354">20*LOG(IMABS(BI340))</f>
        <v>#NUM!</v>
      </c>
      <c r="BK340" s="63" t="e">
        <f t="shared" si="307"/>
        <v>#NUM!</v>
      </c>
      <c r="BL340" s="51">
        <f t="shared" ref="BL340:BL403" si="355">IF($B$31=0,BJ340,BG340)</f>
        <v>-23.338858466914189</v>
      </c>
      <c r="BM340" s="63">
        <f t="shared" ref="BM340:BM403" si="356">IF($B$31=0,BK340,BH340)</f>
        <v>41.062620620324097</v>
      </c>
    </row>
    <row r="341" spans="14:65" x14ac:dyDescent="0.3">
      <c r="N341" s="11">
        <v>23</v>
      </c>
      <c r="O341" s="52">
        <f t="shared" si="308"/>
        <v>16982.436524617482</v>
      </c>
      <c r="P341" s="50" t="str">
        <f t="shared" si="309"/>
        <v>21.1560044893378</v>
      </c>
      <c r="Q341" s="18" t="str">
        <f t="shared" si="310"/>
        <v>1+74.3693121208032i</v>
      </c>
      <c r="R341" s="18">
        <f t="shared" si="321"/>
        <v>74.376035020169269</v>
      </c>
      <c r="S341" s="18">
        <f t="shared" si="322"/>
        <v>1.5573507306288685</v>
      </c>
      <c r="T341" s="18" t="str">
        <f t="shared" si="311"/>
        <v>1+0.106703795651587i</v>
      </c>
      <c r="U341" s="18">
        <f t="shared" si="323"/>
        <v>1.0056767373298716</v>
      </c>
      <c r="V341" s="18">
        <f t="shared" si="324"/>
        <v>0.10630157403930424</v>
      </c>
      <c r="W341" s="32" t="str">
        <f t="shared" si="312"/>
        <v>1-0.0479220005322808i</v>
      </c>
      <c r="X341" s="18">
        <f t="shared" si="325"/>
        <v>1.0011476005739692</v>
      </c>
      <c r="Y341" s="18">
        <f t="shared" si="326"/>
        <v>-4.7885366416498314E-2</v>
      </c>
      <c r="Z341" s="32" t="str">
        <f t="shared" si="313"/>
        <v>0.999711596849687+0.0261548013892071i</v>
      </c>
      <c r="AA341" s="18">
        <f t="shared" si="327"/>
        <v>1.0000536738152908</v>
      </c>
      <c r="AB341" s="18">
        <f t="shared" si="328"/>
        <v>2.615638004288624E-2</v>
      </c>
      <c r="AC341" s="68" t="str">
        <f t="shared" si="329"/>
        <v>0.0130842959000518-0.28607509984725i</v>
      </c>
      <c r="AD341" s="66">
        <f t="shared" si="330"/>
        <v>-10.861323325862344</v>
      </c>
      <c r="AE341" s="63">
        <f t="shared" si="331"/>
        <v>-87.381272118500178</v>
      </c>
      <c r="AF341" s="51" t="e">
        <f t="shared" si="332"/>
        <v>#NUM!</v>
      </c>
      <c r="AG341" s="51" t="str">
        <f t="shared" si="314"/>
        <v>1-45.7301981363945i</v>
      </c>
      <c r="AH341" s="51">
        <f t="shared" si="333"/>
        <v>45.741130523784598</v>
      </c>
      <c r="AI341" s="51">
        <f t="shared" si="334"/>
        <v>-1.5489324230236903</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-0.000133283554228113</v>
      </c>
      <c r="AT341" s="32" t="str">
        <f t="shared" si="318"/>
        <v>0.00651960191431194i</v>
      </c>
      <c r="AU341" s="32">
        <f t="shared" si="342"/>
        <v>6.5196019143119403E-3</v>
      </c>
      <c r="AV341" s="32">
        <f t="shared" si="343"/>
        <v>1.5707963267948966</v>
      </c>
      <c r="AW341" s="32" t="str">
        <f t="shared" si="319"/>
        <v>1+1.13990407501254i</v>
      </c>
      <c r="AX341" s="32">
        <f t="shared" si="344"/>
        <v>1.5163710958173116</v>
      </c>
      <c r="AY341" s="32">
        <f t="shared" si="345"/>
        <v>0.85068391726622983</v>
      </c>
      <c r="AZ341" s="32" t="str">
        <f t="shared" si="320"/>
        <v>1+16.9873509715283i</v>
      </c>
      <c r="BA341" s="32">
        <f t="shared" si="346"/>
        <v>17.016759181168531</v>
      </c>
      <c r="BB341" s="32">
        <f t="shared" si="347"/>
        <v>1.5119968543736155</v>
      </c>
      <c r="BC341" s="60" t="str">
        <f t="shared" si="348"/>
        <v>-0.140897665301405+0.181053333956042i</v>
      </c>
      <c r="BD341" s="51">
        <f t="shared" si="349"/>
        <v>-12.787463158735196</v>
      </c>
      <c r="BE341" s="63">
        <f t="shared" si="350"/>
        <v>127.89044023365376</v>
      </c>
      <c r="BF341" s="60" t="str">
        <f t="shared" si="351"/>
        <v>0.0499513038447222+0.0426762690645156i</v>
      </c>
      <c r="BG341" s="66">
        <f t="shared" si="352"/>
        <v>-23.64878648459754</v>
      </c>
      <c r="BH341" s="63">
        <f t="shared" si="353"/>
        <v>40.509168115153599</v>
      </c>
      <c r="BI341" s="60" t="e">
        <f t="shared" si="306"/>
        <v>#NUM!</v>
      </c>
      <c r="BJ341" s="66" t="e">
        <f t="shared" si="354"/>
        <v>#NUM!</v>
      </c>
      <c r="BK341" s="63" t="e">
        <f t="shared" si="307"/>
        <v>#NUM!</v>
      </c>
      <c r="BL341" s="51">
        <f t="shared" si="355"/>
        <v>-23.64878648459754</v>
      </c>
      <c r="BM341" s="63">
        <f t="shared" si="356"/>
        <v>40.509168115153599</v>
      </c>
    </row>
    <row r="342" spans="14:65" x14ac:dyDescent="0.3">
      <c r="N342" s="11">
        <v>24</v>
      </c>
      <c r="O342" s="52">
        <f t="shared" si="308"/>
        <v>17378.008287493791</v>
      </c>
      <c r="P342" s="50" t="str">
        <f t="shared" si="309"/>
        <v>21.1560044893378</v>
      </c>
      <c r="Q342" s="18" t="str">
        <f t="shared" si="310"/>
        <v>1+76.1015959339576i</v>
      </c>
      <c r="R342" s="18">
        <f t="shared" si="321"/>
        <v>76.108165814814853</v>
      </c>
      <c r="S342" s="18">
        <f t="shared" si="322"/>
        <v>1.5576567541274753</v>
      </c>
      <c r="T342" s="18" t="str">
        <f t="shared" si="311"/>
        <v>1+0.109189246340026i</v>
      </c>
      <c r="U342" s="18">
        <f t="shared" si="323"/>
        <v>1.0059434832615115</v>
      </c>
      <c r="V342" s="18">
        <f t="shared" si="324"/>
        <v>0.10875839552828327</v>
      </c>
      <c r="W342" s="32" t="str">
        <f t="shared" si="312"/>
        <v>1-0.0490382473207573i</v>
      </c>
      <c r="X342" s="18">
        <f t="shared" si="325"/>
        <v>1.0012016528653414</v>
      </c>
      <c r="Y342" s="18">
        <f t="shared" si="326"/>
        <v>-4.8998995702552839E-2</v>
      </c>
      <c r="Z342" s="32" t="str">
        <f t="shared" si="313"/>
        <v>0.99969800482796+0.0267640249760704i</v>
      </c>
      <c r="AA342" s="18">
        <f t="shared" si="327"/>
        <v>1.00005620536544</v>
      </c>
      <c r="AB342" s="18">
        <f t="shared" si="328"/>
        <v>2.6765716506857915E-2</v>
      </c>
      <c r="AC342" s="68" t="str">
        <f t="shared" si="329"/>
        <v>0.0129102059893242-0.279647416617969i</v>
      </c>
      <c r="AD342" s="66">
        <f t="shared" si="330"/>
        <v>-11.058537495189835</v>
      </c>
      <c r="AE342" s="63">
        <f t="shared" si="331"/>
        <v>-87.356759136788725</v>
      </c>
      <c r="AF342" s="51" t="e">
        <f t="shared" si="332"/>
        <v>#NUM!</v>
      </c>
      <c r="AG342" s="51" t="str">
        <f t="shared" si="314"/>
        <v>1-46.7953912885826i</v>
      </c>
      <c r="AH342" s="51">
        <f t="shared" si="333"/>
        <v>46.80607488191626</v>
      </c>
      <c r="AI342" s="51">
        <f t="shared" si="334"/>
        <v>-1.549429953016199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-0.000133283554228113</v>
      </c>
      <c r="AT342" s="32" t="str">
        <f t="shared" si="318"/>
        <v>0.00667146295137559i</v>
      </c>
      <c r="AU342" s="32">
        <f t="shared" si="342"/>
        <v>6.6714629513755898E-3</v>
      </c>
      <c r="AV342" s="32">
        <f t="shared" si="343"/>
        <v>1.5707963267948966</v>
      </c>
      <c r="AW342" s="32" t="str">
        <f t="shared" si="319"/>
        <v>1+1.1664558518326i</v>
      </c>
      <c r="AX342" s="32">
        <f t="shared" si="344"/>
        <v>1.5364306864530259</v>
      </c>
      <c r="AY342" s="32">
        <f t="shared" si="345"/>
        <v>0.86208075908311754</v>
      </c>
      <c r="AZ342" s="32" t="str">
        <f t="shared" si="320"/>
        <v>1+17.3830372065785i</v>
      </c>
      <c r="BA342" s="32">
        <f t="shared" si="346"/>
        <v>17.411777121399542</v>
      </c>
      <c r="BB342" s="32">
        <f t="shared" si="347"/>
        <v>1.5133323150960503</v>
      </c>
      <c r="BC342" s="60" t="str">
        <f t="shared" si="348"/>
        <v>-0.137242571521644+0.1800655606647i</v>
      </c>
      <c r="BD342" s="51">
        <f t="shared" si="349"/>
        <v>-12.902287727874528</v>
      </c>
      <c r="BE342" s="63">
        <f t="shared" si="350"/>
        <v>127.31396556086875</v>
      </c>
      <c r="BF342" s="60" t="str">
        <f t="shared" si="351"/>
        <v>0.0485830389929005+0.040704214055799i</v>
      </c>
      <c r="BG342" s="66">
        <f t="shared" si="352"/>
        <v>-23.960825223064369</v>
      </c>
      <c r="BH342" s="63">
        <f t="shared" si="353"/>
        <v>39.957206424080049</v>
      </c>
      <c r="BI342" s="60" t="e">
        <f t="shared" si="306"/>
        <v>#NUM!</v>
      </c>
      <c r="BJ342" s="66" t="e">
        <f t="shared" si="354"/>
        <v>#NUM!</v>
      </c>
      <c r="BK342" s="63" t="e">
        <f t="shared" si="307"/>
        <v>#NUM!</v>
      </c>
      <c r="BL342" s="51">
        <f t="shared" si="355"/>
        <v>-23.960825223064369</v>
      </c>
      <c r="BM342" s="63">
        <f t="shared" si="356"/>
        <v>39.957206424080049</v>
      </c>
    </row>
    <row r="343" spans="14:65" x14ac:dyDescent="0.3">
      <c r="N343" s="11">
        <v>25</v>
      </c>
      <c r="O343" s="52">
        <f t="shared" si="308"/>
        <v>17782.794100389234</v>
      </c>
      <c r="P343" s="50" t="str">
        <f t="shared" si="309"/>
        <v>21.1560044893378</v>
      </c>
      <c r="Q343" s="18" t="str">
        <f t="shared" si="310"/>
        <v>1+77.8742298206i</v>
      </c>
      <c r="R343" s="18">
        <f t="shared" si="321"/>
        <v>77.880650165183042</v>
      </c>
      <c r="S343" s="18">
        <f t="shared" si="322"/>
        <v>1.5579558140590357</v>
      </c>
      <c r="T343" s="18" t="str">
        <f t="shared" si="311"/>
        <v>1+0.111732590612165i</v>
      </c>
      <c r="U343" s="18">
        <f t="shared" si="323"/>
        <v>1.0062227247507907</v>
      </c>
      <c r="V343" s="18">
        <f t="shared" si="324"/>
        <v>0.11127107970752798</v>
      </c>
      <c r="W343" s="32" t="str">
        <f t="shared" si="312"/>
        <v>1-0.0501804948370611i</v>
      </c>
      <c r="X343" s="18">
        <f t="shared" si="325"/>
        <v>1.0012582494352256</v>
      </c>
      <c r="Y343" s="18">
        <f t="shared" si="326"/>
        <v>-5.0138438824454783E-2</v>
      </c>
      <c r="Z343" s="32" t="str">
        <f t="shared" si="313"/>
        <v>0.999683772233983+0.0273874392032398i</v>
      </c>
      <c r="AA343" s="18">
        <f t="shared" si="327"/>
        <v>1.0000588564149997</v>
      </c>
      <c r="AB343" s="18">
        <f t="shared" si="328"/>
        <v>2.738925168072057E-2</v>
      </c>
      <c r="AC343" s="68" t="str">
        <f t="shared" si="329"/>
        <v>0.0127437583513266-0.273367799773205i</v>
      </c>
      <c r="AD343" s="66">
        <f t="shared" si="330"/>
        <v>-11.255624992413205</v>
      </c>
      <c r="AE343" s="63">
        <f t="shared" si="331"/>
        <v>-87.330939025689077</v>
      </c>
      <c r="AF343" s="51" t="e">
        <f t="shared" si="332"/>
        <v>#NUM!</v>
      </c>
      <c r="AG343" s="51" t="str">
        <f t="shared" si="314"/>
        <v>1-47.8853959766422i</v>
      </c>
      <c r="AH343" s="51">
        <f t="shared" si="333"/>
        <v>47.895836435329336</v>
      </c>
      <c r="AI343" s="51">
        <f t="shared" si="334"/>
        <v>-1.5499161680664599</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-0.000133283554228113</v>
      </c>
      <c r="AT343" s="32" t="str">
        <f t="shared" si="318"/>
        <v>0.00682686128640331i</v>
      </c>
      <c r="AU343" s="32">
        <f t="shared" si="342"/>
        <v>6.82686128640331E-3</v>
      </c>
      <c r="AV343" s="32">
        <f t="shared" si="343"/>
        <v>1.5707963267948966</v>
      </c>
      <c r="AW343" s="32" t="str">
        <f t="shared" si="319"/>
        <v>1+1.19362609898517i</v>
      </c>
      <c r="AX343" s="32">
        <f t="shared" si="344"/>
        <v>1.5571587151535178</v>
      </c>
      <c r="AY343" s="32">
        <f t="shared" si="345"/>
        <v>0.87343758768392776</v>
      </c>
      <c r="AZ343" s="32" t="str">
        <f t="shared" si="320"/>
        <v>1+17.7879401580473i</v>
      </c>
      <c r="BA343" s="32">
        <f t="shared" si="346"/>
        <v>17.816026915849442</v>
      </c>
      <c r="BB343" s="32">
        <f t="shared" si="347"/>
        <v>1.5146375753279289</v>
      </c>
      <c r="BC343" s="60" t="str">
        <f t="shared" si="348"/>
        <v>-0.133613096951893+0.179007481239116i</v>
      </c>
      <c r="BD343" s="51">
        <f t="shared" si="349"/>
        <v>-13.01933067662514</v>
      </c>
      <c r="BE343" s="63">
        <f t="shared" si="350"/>
        <v>126.73805311584172</v>
      </c>
      <c r="BF343" s="60" t="str">
        <f t="shared" si="351"/>
        <v>0.0472321482691531+0.0388067464186138i</v>
      </c>
      <c r="BG343" s="66">
        <f t="shared" si="352"/>
        <v>-24.274955669038349</v>
      </c>
      <c r="BH343" s="63">
        <f t="shared" si="353"/>
        <v>39.407114090152653</v>
      </c>
      <c r="BI343" s="60" t="e">
        <f t="shared" si="306"/>
        <v>#NUM!</v>
      </c>
      <c r="BJ343" s="66" t="e">
        <f t="shared" si="354"/>
        <v>#NUM!</v>
      </c>
      <c r="BK343" s="63" t="e">
        <f t="shared" si="307"/>
        <v>#NUM!</v>
      </c>
      <c r="BL343" s="51">
        <f t="shared" si="355"/>
        <v>-24.274955669038349</v>
      </c>
      <c r="BM343" s="63">
        <f t="shared" si="356"/>
        <v>39.407114090152653</v>
      </c>
    </row>
    <row r="344" spans="14:65" x14ac:dyDescent="0.3">
      <c r="N344" s="11">
        <v>26</v>
      </c>
      <c r="O344" s="52">
        <f t="shared" si="308"/>
        <v>18197.008586099837</v>
      </c>
      <c r="P344" s="50" t="str">
        <f t="shared" si="309"/>
        <v>21.1560044893378</v>
      </c>
      <c r="Q344" s="18" t="str">
        <f t="shared" si="310"/>
        <v>1+79.688153654681i</v>
      </c>
      <c r="R344" s="18">
        <f t="shared" si="321"/>
        <v>79.694427866018657</v>
      </c>
      <c r="S344" s="18">
        <f t="shared" si="322"/>
        <v>1.5582480687749856</v>
      </c>
      <c r="T344" s="18" t="str">
        <f t="shared" si="311"/>
        <v>1+0.114335176982803i</v>
      </c>
      <c r="U344" s="18">
        <f t="shared" si="323"/>
        <v>1.0065150434522521</v>
      </c>
      <c r="V344" s="18">
        <f t="shared" si="324"/>
        <v>0.1138408318542522</v>
      </c>
      <c r="W344" s="32" t="str">
        <f t="shared" si="312"/>
        <v>1-0.0513493487159453i</v>
      </c>
      <c r="X344" s="18">
        <f t="shared" si="325"/>
        <v>1.00131750989062</v>
      </c>
      <c r="Y344" s="18">
        <f t="shared" si="326"/>
        <v>-5.1304288088316642E-2</v>
      </c>
      <c r="Z344" s="32" t="str">
        <f t="shared" si="313"/>
        <v>0.999668868878517+0.0280253746131906i</v>
      </c>
      <c r="AA344" s="18">
        <f t="shared" si="327"/>
        <v>1.0000616326142422</v>
      </c>
      <c r="AB344" s="18">
        <f t="shared" si="328"/>
        <v>2.8027316683676997E-2</v>
      </c>
      <c r="AC344" s="68" t="str">
        <f t="shared" si="329"/>
        <v>0.0125846002839811-0.267232933148492i</v>
      </c>
      <c r="AD344" s="66">
        <f t="shared" si="330"/>
        <v>-11.452579831238578</v>
      </c>
      <c r="AE344" s="63">
        <f t="shared" si="331"/>
        <v>-87.303804709145936</v>
      </c>
      <c r="AF344" s="51" t="e">
        <f t="shared" si="332"/>
        <v>#NUM!</v>
      </c>
      <c r="AG344" s="51" t="str">
        <f t="shared" si="314"/>
        <v>1-49.0007901354871i</v>
      </c>
      <c r="AH344" s="51">
        <f t="shared" si="333"/>
        <v>49.010992990369516</v>
      </c>
      <c r="AI344" s="51">
        <f t="shared" si="334"/>
        <v>-1.550391325052052</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-0.000133283554228113</v>
      </c>
      <c r="AT344" s="32" t="str">
        <f t="shared" si="318"/>
        <v>0.00698587931364928i</v>
      </c>
      <c r="AU344" s="32">
        <f t="shared" si="342"/>
        <v>6.9858793136492797E-3</v>
      </c>
      <c r="AV344" s="32">
        <f t="shared" si="343"/>
        <v>1.5707963267948966</v>
      </c>
      <c r="AW344" s="32" t="str">
        <f t="shared" si="319"/>
        <v>1+1.22142922249494i</v>
      </c>
      <c r="AX344" s="32">
        <f t="shared" si="344"/>
        <v>1.5785719323377676</v>
      </c>
      <c r="AY344" s="32">
        <f t="shared" si="345"/>
        <v>0.88474870722776244</v>
      </c>
      <c r="AZ344" s="32" t="str">
        <f t="shared" si="320"/>
        <v>1+18.2022745108392i</v>
      </c>
      <c r="BA344" s="32">
        <f t="shared" si="346"/>
        <v>18.229722909796145</v>
      </c>
      <c r="BB344" s="32">
        <f t="shared" si="347"/>
        <v>1.5159133093352157</v>
      </c>
      <c r="BC344" s="60" t="str">
        <f t="shared" si="348"/>
        <v>-0.130012778222596+0.177880401294234i</v>
      </c>
      <c r="BD344" s="51">
        <f t="shared" si="349"/>
        <v>-13.138576446659338</v>
      </c>
      <c r="BE344" s="63">
        <f t="shared" si="350"/>
        <v>126.16306787881101</v>
      </c>
      <c r="BF344" s="60" t="str">
        <f t="shared" si="351"/>
        <v>0.0458993425417477+0.0369822498198508i</v>
      </c>
      <c r="BG344" s="66">
        <f t="shared" si="352"/>
        <v>-24.59115627789792</v>
      </c>
      <c r="BH344" s="63">
        <f t="shared" si="353"/>
        <v>38.859263169665077</v>
      </c>
      <c r="BI344" s="60" t="e">
        <f t="shared" si="306"/>
        <v>#NUM!</v>
      </c>
      <c r="BJ344" s="66" t="e">
        <f t="shared" si="354"/>
        <v>#NUM!</v>
      </c>
      <c r="BK344" s="63" t="e">
        <f t="shared" si="307"/>
        <v>#NUM!</v>
      </c>
      <c r="BL344" s="51">
        <f t="shared" si="355"/>
        <v>-24.59115627789792</v>
      </c>
      <c r="BM344" s="63">
        <f t="shared" si="356"/>
        <v>38.859263169665077</v>
      </c>
    </row>
    <row r="345" spans="14:65" x14ac:dyDescent="0.3">
      <c r="N345" s="11">
        <v>27</v>
      </c>
      <c r="O345" s="52">
        <f t="shared" si="308"/>
        <v>18620.871366628675</v>
      </c>
      <c r="P345" s="50" t="str">
        <f t="shared" si="309"/>
        <v>21.1560044893378</v>
      </c>
      <c r="Q345" s="18" t="str">
        <f t="shared" si="310"/>
        <v>1+81.544329202627i</v>
      </c>
      <c r="R345" s="18">
        <f t="shared" si="321"/>
        <v>81.550460606341176</v>
      </c>
      <c r="S345" s="18">
        <f t="shared" si="322"/>
        <v>1.5585336730328305</v>
      </c>
      <c r="T345" s="18" t="str">
        <f t="shared" si="311"/>
        <v>1+0.116998385377682i</v>
      </c>
      <c r="U345" s="18">
        <f t="shared" si="323"/>
        <v>1.0068210477443271</v>
      </c>
      <c r="V345" s="18">
        <f t="shared" si="324"/>
        <v>0.11646887865409267</v>
      </c>
      <c r="W345" s="32" t="str">
        <f t="shared" si="312"/>
        <v>1-0.0525454286992075i</v>
      </c>
      <c r="X345" s="18">
        <f t="shared" si="325"/>
        <v>1.0013795594464585</v>
      </c>
      <c r="Y345" s="18">
        <f t="shared" si="326"/>
        <v>-5.2497148958632035E-2</v>
      </c>
      <c r="Z345" s="32" t="str">
        <f t="shared" si="313"/>
        <v>0.999653263149547+0.0286781694477208i</v>
      </c>
      <c r="AA345" s="18">
        <f t="shared" si="327"/>
        <v>1.0000645398815067</v>
      </c>
      <c r="AB345" s="18">
        <f t="shared" si="328"/>
        <v>2.8680250375450609E-2</v>
      </c>
      <c r="AC345" s="68" t="str">
        <f t="shared" si="329"/>
        <v>0.0124323945165713-0.2612395764073i</v>
      </c>
      <c r="AD345" s="66">
        <f t="shared" si="330"/>
        <v>-11.649395762148895</v>
      </c>
      <c r="AE345" s="63">
        <f t="shared" si="331"/>
        <v>-87.275348875993586</v>
      </c>
      <c r="AF345" s="51" t="e">
        <f t="shared" si="332"/>
        <v>#NUM!</v>
      </c>
      <c r="AG345" s="51" t="str">
        <f t="shared" si="314"/>
        <v>1-50.1421651618638i</v>
      </c>
      <c r="AH345" s="51">
        <f t="shared" si="333"/>
        <v>50.152135818124719</v>
      </c>
      <c r="AI345" s="51">
        <f t="shared" si="334"/>
        <v>-1.5508556750487803</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-0.000133283554228113</v>
      </c>
      <c r="AT345" s="32" t="str">
        <f t="shared" si="318"/>
        <v>0.00714860134657639i</v>
      </c>
      <c r="AU345" s="32">
        <f t="shared" si="342"/>
        <v>7.1486013465763901E-3</v>
      </c>
      <c r="AV345" s="32">
        <f t="shared" si="343"/>
        <v>1.5707963267948966</v>
      </c>
      <c r="AW345" s="32" t="str">
        <f t="shared" si="319"/>
        <v>1+1.249879963946i</v>
      </c>
      <c r="AX345" s="32">
        <f t="shared" si="344"/>
        <v>1.6006873287040335</v>
      </c>
      <c r="AY345" s="32">
        <f t="shared" si="345"/>
        <v>0.89600853849019835</v>
      </c>
      <c r="AZ345" s="32" t="str">
        <f t="shared" si="320"/>
        <v>1+18.6262599505123i</v>
      </c>
      <c r="BA345" s="32">
        <f t="shared" si="346"/>
        <v>18.653084456573357</v>
      </c>
      <c r="BB345" s="32">
        <f t="shared" si="347"/>
        <v>1.5171601769095315</v>
      </c>
      <c r="BC345" s="60" t="str">
        <f t="shared" si="348"/>
        <v>-0.126445034117305+0.176685818418907i</v>
      </c>
      <c r="BD345" s="51">
        <f t="shared" si="349"/>
        <v>-13.260007271909991</v>
      </c>
      <c r="BE345" s="63">
        <f t="shared" si="350"/>
        <v>125.58936731906412</v>
      </c>
      <c r="BF345" s="60" t="str">
        <f t="shared" si="351"/>
        <v>0.0445853138121247+0.0352290749516785i</v>
      </c>
      <c r="BG345" s="66">
        <f t="shared" si="352"/>
        <v>-24.909403034058887</v>
      </c>
      <c r="BH345" s="63">
        <f t="shared" si="353"/>
        <v>38.314018443070566</v>
      </c>
      <c r="BI345" s="60" t="e">
        <f t="shared" si="306"/>
        <v>#NUM!</v>
      </c>
      <c r="BJ345" s="66" t="e">
        <f t="shared" si="354"/>
        <v>#NUM!</v>
      </c>
      <c r="BK345" s="63" t="e">
        <f t="shared" si="307"/>
        <v>#NUM!</v>
      </c>
      <c r="BL345" s="51">
        <f t="shared" si="355"/>
        <v>-24.909403034058887</v>
      </c>
      <c r="BM345" s="63">
        <f t="shared" si="356"/>
        <v>38.314018443070566</v>
      </c>
    </row>
    <row r="346" spans="14:65" x14ac:dyDescent="0.3">
      <c r="N346" s="11">
        <v>28</v>
      </c>
      <c r="O346" s="52">
        <f t="shared" si="308"/>
        <v>19054.607179632505</v>
      </c>
      <c r="P346" s="50" t="str">
        <f t="shared" si="309"/>
        <v>21.1560044893378</v>
      </c>
      <c r="Q346" s="18" t="str">
        <f t="shared" si="310"/>
        <v>1+83.4437406332837i</v>
      </c>
      <c r="R346" s="18">
        <f t="shared" si="321"/>
        <v>83.449732479347844</v>
      </c>
      <c r="S346" s="18">
        <f t="shared" si="322"/>
        <v>1.5588127780772483</v>
      </c>
      <c r="T346" s="18" t="str">
        <f t="shared" si="311"/>
        <v>1+0.119723627865146i</v>
      </c>
      <c r="U346" s="18">
        <f t="shared" si="323"/>
        <v>1.007141373923836</v>
      </c>
      <c r="V346" s="18">
        <f t="shared" si="324"/>
        <v>0.11915646824627253</v>
      </c>
      <c r="W346" s="32" t="str">
        <f t="shared" si="312"/>
        <v>1-0.0537693689642875i</v>
      </c>
      <c r="X346" s="18">
        <f t="shared" si="325"/>
        <v>1.0014445291871226</v>
      </c>
      <c r="Y346" s="18">
        <f t="shared" si="326"/>
        <v>-5.3717640319583509E-2</v>
      </c>
      <c r="Z346" s="32" t="str">
        <f t="shared" si="313"/>
        <v>0.99963692194523+0.029346169827293i</v>
      </c>
      <c r="AA346" s="18">
        <f t="shared" si="327"/>
        <v>1.0000675844160063</v>
      </c>
      <c r="AB346" s="18">
        <f t="shared" si="328"/>
        <v>2.9348399538567726E-2</v>
      </c>
      <c r="AC346" s="68" t="str">
        <f t="shared" si="329"/>
        <v>0.0122868184971015-0.255384563382313i</v>
      </c>
      <c r="AD346" s="66">
        <f t="shared" si="330"/>
        <v>-11.846066260856034</v>
      </c>
      <c r="AE346" s="63">
        <f t="shared" si="331"/>
        <v>-87.245564007430872</v>
      </c>
      <c r="AF346" s="51" t="e">
        <f t="shared" si="332"/>
        <v>#NUM!</v>
      </c>
      <c r="AG346" s="51" t="str">
        <f t="shared" si="314"/>
        <v>1-51.3101262279198i</v>
      </c>
      <c r="AH346" s="51">
        <f t="shared" si="333"/>
        <v>51.319869967928248</v>
      </c>
      <c r="AI346" s="51">
        <f t="shared" si="334"/>
        <v>-1.5513094634597122</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-0.000133283554228113</v>
      </c>
      <c r="AT346" s="32" t="str">
        <f t="shared" si="318"/>
        <v>0.0073151136625604i</v>
      </c>
      <c r="AU346" s="32">
        <f t="shared" si="342"/>
        <v>7.3151136625603996E-3</v>
      </c>
      <c r="AV346" s="32">
        <f t="shared" si="343"/>
        <v>1.5707963267948966</v>
      </c>
      <c r="AW346" s="32" t="str">
        <f t="shared" si="319"/>
        <v>1+1.27899340829807i</v>
      </c>
      <c r="AX346" s="32">
        <f t="shared" si="344"/>
        <v>1.6235221398151345</v>
      </c>
      <c r="AY346" s="32">
        <f t="shared" si="345"/>
        <v>0.90721163174927721</v>
      </c>
      <c r="AZ346" s="32" t="str">
        <f t="shared" si="320"/>
        <v>1+19.0601212797591i</v>
      </c>
      <c r="BA346" s="32">
        <f t="shared" si="346"/>
        <v>19.086336033904615</v>
      </c>
      <c r="BB346" s="32">
        <f t="shared" si="347"/>
        <v>1.5183788236399522</v>
      </c>
      <c r="BC346" s="60" t="str">
        <f t="shared" si="348"/>
        <v>-0.122913153465621+0.175425411539409i</v>
      </c>
      <c r="BD346" s="51">
        <f t="shared" si="349"/>
        <v>-13.383603257754771</v>
      </c>
      <c r="BE346" s="63">
        <f t="shared" si="350"/>
        <v>125.01730067219783</v>
      </c>
      <c r="BF346" s="60" t="str">
        <f t="shared" si="351"/>
        <v>0.0432907305246161+0.0335455422231249i</v>
      </c>
      <c r="BG346" s="66">
        <f t="shared" si="352"/>
        <v>-25.229669518610805</v>
      </c>
      <c r="BH346" s="63">
        <f t="shared" si="353"/>
        <v>37.771736664766962</v>
      </c>
      <c r="BI346" s="60" t="e">
        <f t="shared" si="306"/>
        <v>#NUM!</v>
      </c>
      <c r="BJ346" s="66" t="e">
        <f t="shared" si="354"/>
        <v>#NUM!</v>
      </c>
      <c r="BK346" s="63" t="e">
        <f t="shared" si="307"/>
        <v>#NUM!</v>
      </c>
      <c r="BL346" s="51">
        <f t="shared" si="355"/>
        <v>-25.229669518610805</v>
      </c>
      <c r="BM346" s="63">
        <f t="shared" si="356"/>
        <v>37.771736664766962</v>
      </c>
    </row>
    <row r="347" spans="14:65" x14ac:dyDescent="0.3">
      <c r="N347" s="11">
        <v>29</v>
      </c>
      <c r="O347" s="52">
        <f t="shared" si="308"/>
        <v>19498.445997580486</v>
      </c>
      <c r="P347" s="50" t="str">
        <f t="shared" si="309"/>
        <v>21.1560044893378</v>
      </c>
      <c r="Q347" s="18" t="str">
        <f t="shared" si="310"/>
        <v>1+85.3873950397315i</v>
      </c>
      <c r="R347" s="18">
        <f t="shared" si="321"/>
        <v>85.393250504188941</v>
      </c>
      <c r="S347" s="18">
        <f t="shared" si="322"/>
        <v>1.5590855317193903</v>
      </c>
      <c r="T347" s="18" t="str">
        <f t="shared" si="311"/>
        <v>1+0.122512349404832i</v>
      </c>
      <c r="U347" s="18">
        <f t="shared" si="323"/>
        <v>1.0074766874507279</v>
      </c>
      <c r="V347" s="18">
        <f t="shared" si="324"/>
        <v>0.12190487024011736</v>
      </c>
      <c r="W347" s="32" t="str">
        <f t="shared" si="312"/>
        <v>1-0.0550218184605133i</v>
      </c>
      <c r="X347" s="18">
        <f t="shared" si="325"/>
        <v>1.00151255634001</v>
      </c>
      <c r="Y347" s="18">
        <f t="shared" si="326"/>
        <v>-5.4966394739253834E-2</v>
      </c>
      <c r="Z347" s="32" t="str">
        <f t="shared" si="313"/>
        <v>0.999619810603679+0.0300297299345496i</v>
      </c>
      <c r="AA347" s="18">
        <f t="shared" si="327"/>
        <v>1.0000707727112503</v>
      </c>
      <c r="AB347" s="18">
        <f t="shared" si="328"/>
        <v>3.0032119065022914E-2</v>
      </c>
      <c r="AC347" s="68" t="str">
        <f t="shared" si="329"/>
        <v>0.0121475637106395-0.249664800451939i</v>
      </c>
      <c r="AD347" s="66">
        <f t="shared" si="330"/>
        <v>-12.042584516328104</v>
      </c>
      <c r="AE347" s="63">
        <f t="shared" si="331"/>
        <v>-87.214442406451752</v>
      </c>
      <c r="AF347" s="51" t="e">
        <f t="shared" si="332"/>
        <v>#NUM!</v>
      </c>
      <c r="AG347" s="51" t="str">
        <f t="shared" si="314"/>
        <v>1-52.5052926020709i</v>
      </c>
      <c r="AH347" s="51">
        <f t="shared" si="333"/>
        <v>52.514814588162466</v>
      </c>
      <c r="AI347" s="51">
        <f t="shared" si="334"/>
        <v>-1.5517529301414732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-0.000133283554228113</v>
      </c>
      <c r="AT347" s="32" t="str">
        <f t="shared" si="318"/>
        <v>0.00748550454863525i</v>
      </c>
      <c r="AU347" s="32">
        <f t="shared" si="342"/>
        <v>7.4855045486352497E-3</v>
      </c>
      <c r="AV347" s="32">
        <f t="shared" si="343"/>
        <v>1.5707963267948966</v>
      </c>
      <c r="AW347" s="32" t="str">
        <f t="shared" si="319"/>
        <v>1+1.30878499188469i</v>
      </c>
      <c r="AX347" s="32">
        <f t="shared" si="344"/>
        <v>1.6470938512976754</v>
      </c>
      <c r="AY347" s="32">
        <f t="shared" si="345"/>
        <v>0.9183526788924663</v>
      </c>
      <c r="AZ347" s="32" t="str">
        <f t="shared" si="320"/>
        <v>1+19.5040885375986i</v>
      </c>
      <c r="BA347" s="32">
        <f t="shared" si="346"/>
        <v>19.529707362950553</v>
      </c>
      <c r="BB347" s="32">
        <f t="shared" si="347"/>
        <v>1.5195698811823966</v>
      </c>
      <c r="BC347" s="60" t="str">
        <f t="shared" si="348"/>
        <v>-0.11942028411182+0.174101029407857i</v>
      </c>
      <c r="BD347" s="51">
        <f t="shared" si="349"/>
        <v>-13.509342467233726</v>
      </c>
      <c r="BE347" s="63">
        <f t="shared" si="350"/>
        <v>124.44720826187609</v>
      </c>
      <c r="BF347" s="60" t="str">
        <f t="shared" si="351"/>
        <v>0.0420162332559988+0.0319299447495113i</v>
      </c>
      <c r="BG347" s="66">
        <f t="shared" si="352"/>
        <v>-25.55192698356182</v>
      </c>
      <c r="BH347" s="63">
        <f t="shared" si="353"/>
        <v>37.232765855424354</v>
      </c>
      <c r="BI347" s="60" t="e">
        <f t="shared" si="306"/>
        <v>#NUM!</v>
      </c>
      <c r="BJ347" s="66" t="e">
        <f t="shared" si="354"/>
        <v>#NUM!</v>
      </c>
      <c r="BK347" s="63" t="e">
        <f t="shared" si="307"/>
        <v>#NUM!</v>
      </c>
      <c r="BL347" s="51">
        <f t="shared" si="355"/>
        <v>-25.55192698356182</v>
      </c>
      <c r="BM347" s="63">
        <f t="shared" si="356"/>
        <v>37.232765855424354</v>
      </c>
    </row>
    <row r="348" spans="14:65" x14ac:dyDescent="0.3">
      <c r="N348" s="11">
        <v>30</v>
      </c>
      <c r="O348" s="52">
        <f t="shared" si="308"/>
        <v>19952.623149688792</v>
      </c>
      <c r="P348" s="50" t="str">
        <f t="shared" si="309"/>
        <v>21.1560044893378</v>
      </c>
      <c r="Q348" s="18" t="str">
        <f t="shared" si="310"/>
        <v>1+87.3763229732658i</v>
      </c>
      <c r="R348" s="18">
        <f t="shared" si="321"/>
        <v>87.382045159909467</v>
      </c>
      <c r="S348" s="18">
        <f t="shared" si="322"/>
        <v>1.5593520784144237</v>
      </c>
      <c r="T348" s="18" t="str">
        <f t="shared" si="311"/>
        <v>1+0.125366028613816i</v>
      </c>
      <c r="U348" s="18">
        <f t="shared" si="323"/>
        <v>1.0078276842448812</v>
      </c>
      <c r="V348" s="18">
        <f t="shared" si="324"/>
        <v>0.1247153757004779</v>
      </c>
      <c r="W348" s="32" t="str">
        <f t="shared" si="312"/>
        <v>1-0.0563034412531872i</v>
      </c>
      <c r="X348" s="18">
        <f t="shared" si="325"/>
        <v>1.0015837845617066</v>
      </c>
      <c r="Y348" s="18">
        <f t="shared" si="326"/>
        <v>-5.6244058736601328E-2</v>
      </c>
      <c r="Z348" s="32" t="str">
        <f t="shared" si="313"/>
        <v>0.999601892829447+0.0307292122021083i</v>
      </c>
      <c r="AA348" s="18">
        <f t="shared" si="327"/>
        <v>1.0000741115691252</v>
      </c>
      <c r="AB348" s="18">
        <f t="shared" si="328"/>
        <v>3.0731772147448679E-2</v>
      </c>
      <c r="AC348" s="68" t="str">
        <f t="shared" si="329"/>
        <v>0.0120143350272156-0.244077264951419i</v>
      </c>
      <c r="AD348" s="66">
        <f t="shared" si="330"/>
        <v>-12.238943418382007</v>
      </c>
      <c r="AE348" s="63">
        <f t="shared" si="331"/>
        <v>-87.181976229373333</v>
      </c>
      <c r="AF348" s="51" t="e">
        <f t="shared" si="332"/>
        <v>#NUM!</v>
      </c>
      <c r="AG348" s="51" t="str">
        <f t="shared" si="314"/>
        <v>1-53.7282979773498i</v>
      </c>
      <c r="AH348" s="51">
        <f t="shared" si="333"/>
        <v>53.737603254545043</v>
      </c>
      <c r="AI348" s="51">
        <f t="shared" si="334"/>
        <v>-1.5521863095278616</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-0.000133283554228113</v>
      </c>
      <c r="AT348" s="32" t="str">
        <f t="shared" si="318"/>
        <v>0.00765986434830415i</v>
      </c>
      <c r="AU348" s="32">
        <f t="shared" si="342"/>
        <v>7.65986434830415E-3</v>
      </c>
      <c r="AV348" s="32">
        <f t="shared" si="343"/>
        <v>1.5707963267948966</v>
      </c>
      <c r="AW348" s="32" t="str">
        <f t="shared" si="319"/>
        <v>1+1.33927051059783i</v>
      </c>
      <c r="AX348" s="32">
        <f t="shared" si="344"/>
        <v>1.6714202046633793</v>
      </c>
      <c r="AY348" s="32">
        <f t="shared" si="345"/>
        <v>0.92942652468661235</v>
      </c>
      <c r="AZ348" s="32" t="str">
        <f t="shared" si="320"/>
        <v>1+19.9583971213481i</v>
      </c>
      <c r="BA348" s="32">
        <f t="shared" si="346"/>
        <v>19.983433530137809</v>
      </c>
      <c r="BB348" s="32">
        <f t="shared" si="347"/>
        <v>1.5207339675264246</v>
      </c>
      <c r="BC348" s="60" t="str">
        <f t="shared" si="348"/>
        <v>-0.11596942302649+0.172714678338402i</v>
      </c>
      <c r="BD348" s="51">
        <f t="shared" si="349"/>
        <v>-13.637201013616998</v>
      </c>
      <c r="BE348" s="63">
        <f t="shared" si="350"/>
        <v>123.87942086939458</v>
      </c>
      <c r="BF348" s="60" t="str">
        <f t="shared" si="351"/>
        <v>0.0407624308046481+0.0303805515999751i</v>
      </c>
      <c r="BG348" s="66">
        <f t="shared" si="352"/>
        <v>-25.876144431999005</v>
      </c>
      <c r="BH348" s="63">
        <f t="shared" si="353"/>
        <v>36.697444640021224</v>
      </c>
      <c r="BI348" s="60" t="e">
        <f t="shared" si="306"/>
        <v>#NUM!</v>
      </c>
      <c r="BJ348" s="66" t="e">
        <f t="shared" si="354"/>
        <v>#NUM!</v>
      </c>
      <c r="BK348" s="63" t="e">
        <f t="shared" si="307"/>
        <v>#NUM!</v>
      </c>
      <c r="BL348" s="51">
        <f t="shared" si="355"/>
        <v>-25.876144431999005</v>
      </c>
      <c r="BM348" s="63">
        <f t="shared" si="356"/>
        <v>36.697444640021224</v>
      </c>
    </row>
    <row r="349" spans="14:65" x14ac:dyDescent="0.3">
      <c r="N349" s="11">
        <v>31</v>
      </c>
      <c r="O349" s="52">
        <f t="shared" si="308"/>
        <v>20417.379446695286</v>
      </c>
      <c r="P349" s="50" t="str">
        <f t="shared" si="309"/>
        <v>21.1560044893378</v>
      </c>
      <c r="Q349" s="18" t="str">
        <f t="shared" si="310"/>
        <v>1+89.4115789898025i</v>
      </c>
      <c r="R349" s="18">
        <f t="shared" si="321"/>
        <v>89.417170931816514</v>
      </c>
      <c r="S349" s="18">
        <f t="shared" si="322"/>
        <v>1.5596125593373482</v>
      </c>
      <c r="T349" s="18" t="str">
        <f t="shared" si="311"/>
        <v>1+0.128286178550586i</v>
      </c>
      <c r="U349" s="18">
        <f t="shared" si="323"/>
        <v>1.0081950920368106</v>
      </c>
      <c r="V349" s="18">
        <f t="shared" si="324"/>
        <v>0.12758929709940484</v>
      </c>
      <c r="W349" s="32" t="str">
        <f t="shared" si="312"/>
        <v>1-0.0576149168756774i</v>
      </c>
      <c r="X349" s="18">
        <f t="shared" si="325"/>
        <v>1.0016583642373238</v>
      </c>
      <c r="Y349" s="18">
        <f t="shared" si="326"/>
        <v>-5.7551293051010748E-2</v>
      </c>
      <c r="Z349" s="32" t="str">
        <f t="shared" si="313"/>
        <v>0.99958313061653+0.0314449875047255i</v>
      </c>
      <c r="AA349" s="18">
        <f t="shared" si="327"/>
        <v>1.0000776081146479</v>
      </c>
      <c r="AB349" s="18">
        <f t="shared" si="328"/>
        <v>3.1447730474894069E-2</v>
      </c>
      <c r="AC349" s="68" t="str">
        <f t="shared" si="329"/>
        <v>0.0118868500779184-0.238619003618004i</v>
      </c>
      <c r="AD349" s="66">
        <f t="shared" si="330"/>
        <v>-12.435135544828327</v>
      </c>
      <c r="AE349" s="63">
        <f t="shared" si="331"/>
        <v>-87.148157519609967</v>
      </c>
      <c r="AF349" s="51" t="e">
        <f t="shared" si="332"/>
        <v>#NUM!</v>
      </c>
      <c r="AG349" s="51" t="str">
        <f t="shared" si="314"/>
        <v>1-54.9797908073941i</v>
      </c>
      <c r="AH349" s="51">
        <f t="shared" si="333"/>
        <v>54.98888430605605</v>
      </c>
      <c r="AI349" s="51">
        <f t="shared" si="334"/>
        <v>-1.5526098307508205</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-0.000133283554228113</v>
      </c>
      <c r="AT349" s="32" t="str">
        <f t="shared" si="318"/>
        <v>0.00783828550944082i</v>
      </c>
      <c r="AU349" s="32">
        <f t="shared" si="342"/>
        <v>7.8382855094408198E-3</v>
      </c>
      <c r="AV349" s="32">
        <f t="shared" si="343"/>
        <v>1.5707963267948966</v>
      </c>
      <c r="AW349" s="32" t="str">
        <f t="shared" si="319"/>
        <v>1+1.37046612826302i</v>
      </c>
      <c r="AX349" s="32">
        <f t="shared" si="344"/>
        <v>1.6965192037569843</v>
      </c>
      <c r="AY349" s="32">
        <f t="shared" si="345"/>
        <v>0.94042817716164695</v>
      </c>
      <c r="AZ349" s="32" t="str">
        <f t="shared" si="320"/>
        <v>1+20.4232879114318i</v>
      </c>
      <c r="BA349" s="32">
        <f t="shared" si="346"/>
        <v>20.44775511182673</v>
      </c>
      <c r="BB349" s="32">
        <f t="shared" si="347"/>
        <v>1.5218716872592599</v>
      </c>
      <c r="BC349" s="60" t="str">
        <f t="shared" si="348"/>
        <v>-0.112563407613099+0.171268509318716i</v>
      </c>
      <c r="BD349" s="51">
        <f t="shared" si="349"/>
        <v>-13.767153158607959</v>
      </c>
      <c r="BE349" s="63">
        <f t="shared" si="350"/>
        <v>123.31425915386555</v>
      </c>
      <c r="BF349" s="60" t="str">
        <f t="shared" si="351"/>
        <v>0.0395298966942163+0.0288956112618251i</v>
      </c>
      <c r="BG349" s="66">
        <f t="shared" si="352"/>
        <v>-26.202288703436288</v>
      </c>
      <c r="BH349" s="63">
        <f t="shared" si="353"/>
        <v>36.166101634255618</v>
      </c>
      <c r="BI349" s="60" t="e">
        <f t="shared" si="306"/>
        <v>#NUM!</v>
      </c>
      <c r="BJ349" s="66" t="e">
        <f t="shared" si="354"/>
        <v>#NUM!</v>
      </c>
      <c r="BK349" s="63" t="e">
        <f t="shared" si="307"/>
        <v>#NUM!</v>
      </c>
      <c r="BL349" s="51">
        <f t="shared" si="355"/>
        <v>-26.202288703436288</v>
      </c>
      <c r="BM349" s="63">
        <f t="shared" si="356"/>
        <v>36.166101634255618</v>
      </c>
    </row>
    <row r="350" spans="14:65" x14ac:dyDescent="0.3">
      <c r="N350" s="11">
        <v>32</v>
      </c>
      <c r="O350" s="52">
        <f t="shared" si="308"/>
        <v>20892.961308540423</v>
      </c>
      <c r="P350" s="50" t="str">
        <f t="shared" si="309"/>
        <v>21.1560044893378</v>
      </c>
      <c r="Q350" s="18" t="str">
        <f t="shared" si="310"/>
        <v>1+91.4942422090225i</v>
      </c>
      <c r="R350" s="18">
        <f t="shared" si="321"/>
        <v>91.499706870586621</v>
      </c>
      <c r="S350" s="18">
        <f t="shared" si="322"/>
        <v>1.5598671124571266</v>
      </c>
      <c r="T350" s="18" t="str">
        <f t="shared" si="311"/>
        <v>1+0.131274347517293i</v>
      </c>
      <c r="U350" s="18">
        <f t="shared" si="323"/>
        <v>1.0085796717741693</v>
      </c>
      <c r="V350" s="18">
        <f t="shared" si="324"/>
        <v>0.13052796823133236</v>
      </c>
      <c r="W350" s="32" t="str">
        <f t="shared" si="312"/>
        <v>1-0.0589569406897192i</v>
      </c>
      <c r="X350" s="18">
        <f t="shared" si="325"/>
        <v>1.0017364527935932</v>
      </c>
      <c r="Y350" s="18">
        <f t="shared" si="326"/>
        <v>-5.88887729142459E-2</v>
      </c>
      <c r="Z350" s="32" t="str">
        <f t="shared" si="313"/>
        <v>0.99956348416776+0.0321774353559417i</v>
      </c>
      <c r="AA350" s="18">
        <f t="shared" si="327"/>
        <v>1.0000812698114476</v>
      </c>
      <c r="AB350" s="18">
        <f t="shared" si="328"/>
        <v>3.21803744333422E-2</v>
      </c>
      <c r="AC350" s="68" t="str">
        <f t="shared" si="329"/>
        <v>0.0117648386578779-0.233287131069526i</v>
      </c>
      <c r="AD350" s="66">
        <f t="shared" si="330"/>
        <v>-12.631153148160816</v>
      </c>
      <c r="AE350" s="63">
        <f t="shared" si="331"/>
        <v>-87.112978243850677</v>
      </c>
      <c r="AF350" s="51" t="e">
        <f t="shared" si="332"/>
        <v>#NUM!</v>
      </c>
      <c r="AG350" s="51" t="str">
        <f t="shared" si="314"/>
        <v>1-56.2604346502685i</v>
      </c>
      <c r="AH350" s="51">
        <f t="shared" si="333"/>
        <v>56.269321188700438</v>
      </c>
      <c r="AI350" s="51">
        <f t="shared" si="334"/>
        <v>-1.5530237177588226</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-0.000133283554228113</v>
      </c>
      <c r="AT350" s="32" t="str">
        <f t="shared" si="318"/>
        <v>0.00802086263330659i</v>
      </c>
      <c r="AU350" s="32">
        <f t="shared" si="342"/>
        <v>8.0208626333065896E-3</v>
      </c>
      <c r="AV350" s="32">
        <f t="shared" si="343"/>
        <v>1.5707963267948966</v>
      </c>
      <c r="AW350" s="32" t="str">
        <f t="shared" si="319"/>
        <v>1+1.40238838520969i</v>
      </c>
      <c r="AX350" s="32">
        <f t="shared" si="344"/>
        <v>1.7224091218322788</v>
      </c>
      <c r="AY350" s="32">
        <f t="shared" si="345"/>
        <v>0.95135281706817298</v>
      </c>
      <c r="AZ350" s="32" t="str">
        <f t="shared" si="320"/>
        <v>1+20.8990073991005i</v>
      </c>
      <c r="BA350" s="32">
        <f t="shared" si="346"/>
        <v>20.922918301892246</v>
      </c>
      <c r="BB350" s="32">
        <f t="shared" si="347"/>
        <v>1.522983631826901</v>
      </c>
      <c r="BC350" s="60" t="str">
        <f t="shared" si="348"/>
        <v>-0.109204908245916+0.169764804627204i</v>
      </c>
      <c r="BD350" s="51">
        <f t="shared" si="349"/>
        <v>-13.899171415432573</v>
      </c>
      <c r="BE350" s="63">
        <f t="shared" si="350"/>
        <v>122.75203312529955</v>
      </c>
      <c r="BF350" s="60" t="str">
        <f t="shared" si="351"/>
        <v>0.0383191661018975+0.0274733552796258i</v>
      </c>
      <c r="BG350" s="66">
        <f t="shared" si="352"/>
        <v>-26.530324563593378</v>
      </c>
      <c r="BH350" s="63">
        <f t="shared" si="353"/>
        <v>35.63905488144885</v>
      </c>
      <c r="BI350" s="60" t="e">
        <f t="shared" si="306"/>
        <v>#NUM!</v>
      </c>
      <c r="BJ350" s="66" t="e">
        <f t="shared" si="354"/>
        <v>#NUM!</v>
      </c>
      <c r="BK350" s="63" t="e">
        <f t="shared" si="307"/>
        <v>#NUM!</v>
      </c>
      <c r="BL350" s="51">
        <f t="shared" si="355"/>
        <v>-26.530324563593378</v>
      </c>
      <c r="BM350" s="63">
        <f t="shared" si="356"/>
        <v>35.63905488144885</v>
      </c>
    </row>
    <row r="351" spans="14:65" x14ac:dyDescent="0.3">
      <c r="N351" s="11">
        <v>33</v>
      </c>
      <c r="O351" s="52">
        <f t="shared" si="308"/>
        <v>21379.620895022348</v>
      </c>
      <c r="P351" s="50" t="str">
        <f t="shared" si="309"/>
        <v>21.1560044893378</v>
      </c>
      <c r="Q351" s="18" t="str">
        <f t="shared" si="310"/>
        <v>1+93.6254168865305i</v>
      </c>
      <c r="R351" s="18">
        <f t="shared" si="321"/>
        <v>93.6307571643882</v>
      </c>
      <c r="S351" s="18">
        <f t="shared" si="322"/>
        <v>1.5601158726091613</v>
      </c>
      <c r="T351" s="18" t="str">
        <f t="shared" si="311"/>
        <v>1+0.134332119880674i</v>
      </c>
      <c r="U351" s="18">
        <f t="shared" si="323"/>
        <v>1.0089822190859636</v>
      </c>
      <c r="V351" s="18">
        <f t="shared" si="324"/>
        <v>0.13353274408880014</v>
      </c>
      <c r="W351" s="32" t="str">
        <f t="shared" si="312"/>
        <v>1-0.0603302242541015i</v>
      </c>
      <c r="X351" s="18">
        <f t="shared" si="325"/>
        <v>1.0018182150263342</v>
      </c>
      <c r="Y351" s="18">
        <f t="shared" si="326"/>
        <v>-6.0257188324575606E-2</v>
      </c>
      <c r="Z351" s="32" t="str">
        <f t="shared" si="313"/>
        <v>0.999542911810385+0.032926944109302i</v>
      </c>
      <c r="AA351" s="18">
        <f t="shared" si="327"/>
        <v>1.0000851044779939</v>
      </c>
      <c r="AB351" s="18">
        <f t="shared" si="328"/>
        <v>3.2930093311079017E-2</v>
      </c>
      <c r="AC351" s="68" t="str">
        <f t="shared" si="329"/>
        <v>0.0116480421548875-0.228078828315834i</v>
      </c>
      <c r="AD351" s="66">
        <f t="shared" si="330"/>
        <v>-12.826988141778351</v>
      </c>
      <c r="AE351" s="63">
        <f t="shared" si="331"/>
        <v>-87.076430330805763</v>
      </c>
      <c r="AF351" s="51" t="e">
        <f t="shared" si="332"/>
        <v>#NUM!</v>
      </c>
      <c r="AG351" s="51" t="str">
        <f t="shared" si="314"/>
        <v>1-57.5709085202889i</v>
      </c>
      <c r="AH351" s="51">
        <f t="shared" si="333"/>
        <v>57.579592807273947</v>
      </c>
      <c r="AI351" s="51">
        <f t="shared" si="334"/>
        <v>-1.5534281894327138</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-0.000133283554228113</v>
      </c>
      <c r="AT351" s="32" t="str">
        <f t="shared" si="318"/>
        <v>0.00820769252470919i</v>
      </c>
      <c r="AU351" s="32">
        <f t="shared" si="342"/>
        <v>8.2076925247091901E-3</v>
      </c>
      <c r="AV351" s="32">
        <f t="shared" si="343"/>
        <v>1.5707963267948966</v>
      </c>
      <c r="AW351" s="32" t="str">
        <f t="shared" si="319"/>
        <v>1+1.435054207041i</v>
      </c>
      <c r="AX351" s="32">
        <f t="shared" si="344"/>
        <v>1.7491085092543783</v>
      </c>
      <c r="AY351" s="32">
        <f t="shared" si="345"/>
        <v>0.96219580637817625</v>
      </c>
      <c r="AZ351" s="32" t="str">
        <f t="shared" si="320"/>
        <v>1+21.3858078171232i</v>
      </c>
      <c r="BA351" s="32">
        <f t="shared" si="346"/>
        <v>21.409175042278669</v>
      </c>
      <c r="BB351" s="32">
        <f t="shared" si="347"/>
        <v>1.5240703797921744</v>
      </c>
      <c r="BC351" s="60" t="str">
        <f t="shared" si="348"/>
        <v>-0.105896422060168+0.168205964086928i</v>
      </c>
      <c r="BD351" s="51">
        <f t="shared" si="349"/>
        <v>-14.03322665605508</v>
      </c>
      <c r="BE351" s="63">
        <f t="shared" si="350"/>
        <v>122.1930416723357</v>
      </c>
      <c r="BF351" s="60" t="str">
        <f t="shared" si="351"/>
        <v>0.0371307332164732+0.0261120020267102i</v>
      </c>
      <c r="BG351" s="66">
        <f t="shared" si="352"/>
        <v>-26.860214797833429</v>
      </c>
      <c r="BH351" s="63">
        <f t="shared" si="353"/>
        <v>35.116611341529939</v>
      </c>
      <c r="BI351" s="60" t="e">
        <f t="shared" si="306"/>
        <v>#NUM!</v>
      </c>
      <c r="BJ351" s="66" t="e">
        <f t="shared" si="354"/>
        <v>#NUM!</v>
      </c>
      <c r="BK351" s="63" t="e">
        <f t="shared" si="307"/>
        <v>#NUM!</v>
      </c>
      <c r="BL351" s="51">
        <f t="shared" si="355"/>
        <v>-26.860214797833429</v>
      </c>
      <c r="BM351" s="63">
        <f t="shared" si="356"/>
        <v>35.116611341529939</v>
      </c>
    </row>
    <row r="352" spans="14:65" x14ac:dyDescent="0.3">
      <c r="N352" s="11">
        <v>34</v>
      </c>
      <c r="O352" s="52">
        <f t="shared" si="308"/>
        <v>21877.61623949555</v>
      </c>
      <c r="P352" s="50" t="str">
        <f t="shared" si="309"/>
        <v>21.1560044893378</v>
      </c>
      <c r="Q352" s="18" t="str">
        <f t="shared" si="310"/>
        <v>1+95.8062329993509i</v>
      </c>
      <c r="R352" s="18">
        <f t="shared" si="321"/>
        <v>95.811451724341978</v>
      </c>
      <c r="S352" s="18">
        <f t="shared" si="322"/>
        <v>1.5603589715661577</v>
      </c>
      <c r="T352" s="18" t="str">
        <f t="shared" si="311"/>
        <v>1+0.137461116912112i</v>
      </c>
      <c r="U352" s="18">
        <f t="shared" si="323"/>
        <v>1.0094035658064249</v>
      </c>
      <c r="V352" s="18">
        <f t="shared" si="324"/>
        <v>0.13660500069563408</v>
      </c>
      <c r="W352" s="32" t="str">
        <f t="shared" si="312"/>
        <v>1-0.0617354957019485i</v>
      </c>
      <c r="X352" s="18">
        <f t="shared" si="325"/>
        <v>1.0019038234429316</v>
      </c>
      <c r="Y352" s="18">
        <f t="shared" si="326"/>
        <v>-6.1657244322851676E-2</v>
      </c>
      <c r="Z352" s="32" t="str">
        <f t="shared" si="313"/>
        <v>0.999521369907677+0.0336939111642689i</v>
      </c>
      <c r="AA352" s="18">
        <f t="shared" si="327"/>
        <v>1.0000891203046181</v>
      </c>
      <c r="AB352" s="18">
        <f t="shared" si="328"/>
        <v>3.3697285509049629E-2</v>
      </c>
      <c r="AC352" s="68" t="str">
        <f t="shared" si="329"/>
        <v>0.0115362130024687-0.222991341302439i</v>
      </c>
      <c r="AD352" s="66">
        <f t="shared" si="330"/>
        <v>-13.022632085732441</v>
      </c>
      <c r="AE352" s="63">
        <f t="shared" si="331"/>
        <v>-87.038505712695198</v>
      </c>
      <c r="AF352" s="51" t="e">
        <f t="shared" si="332"/>
        <v>#NUM!</v>
      </c>
      <c r="AG352" s="51" t="str">
        <f t="shared" si="314"/>
        <v>1-58.9119072480481i</v>
      </c>
      <c r="AH352" s="51">
        <f t="shared" si="333"/>
        <v>58.920393885331613</v>
      </c>
      <c r="AI352" s="51">
        <f t="shared" si="334"/>
        <v>-1.5538234596990619</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-0.000133283554228113</v>
      </c>
      <c r="AT352" s="32" t="str">
        <f t="shared" si="318"/>
        <v>0.00839887424333004i</v>
      </c>
      <c r="AU352" s="32">
        <f t="shared" si="342"/>
        <v>8.3988742433300408E-3</v>
      </c>
      <c r="AV352" s="32">
        <f t="shared" si="343"/>
        <v>1.5707963267948966</v>
      </c>
      <c r="AW352" s="32" t="str">
        <f t="shared" si="319"/>
        <v>1+1.46848091360807i</v>
      </c>
      <c r="AX352" s="32">
        <f t="shared" si="344"/>
        <v>1.7766362018238826</v>
      </c>
      <c r="AY352" s="32">
        <f t="shared" si="345"/>
        <v>0.97295269580758081</v>
      </c>
      <c r="AZ352" s="32" t="str">
        <f t="shared" si="320"/>
        <v>1+21.8839472735251i</v>
      </c>
      <c r="BA352" s="32">
        <f t="shared" si="346"/>
        <v>21.906783156603041</v>
      </c>
      <c r="BB352" s="32">
        <f t="shared" si="347"/>
        <v>1.5251324970896194</v>
      </c>
      <c r="BC352" s="60" t="str">
        <f t="shared" si="348"/>
        <v>-0.102640268000296+0.166594491086112i</v>
      </c>
      <c r="BD352" s="51">
        <f t="shared" si="349"/>
        <v>-14.169288221746353</v>
      </c>
      <c r="BE352" s="63">
        <f t="shared" si="350"/>
        <v>121.63757214583325</v>
      </c>
      <c r="BF352" s="60" t="str">
        <f t="shared" si="351"/>
        <v>0.0359650490266074+0.0248097605672351i</v>
      </c>
      <c r="BG352" s="66">
        <f t="shared" si="352"/>
        <v>-27.191920307478799</v>
      </c>
      <c r="BH352" s="63">
        <f t="shared" si="353"/>
        <v>34.599066433138105</v>
      </c>
      <c r="BI352" s="60" t="e">
        <f t="shared" si="306"/>
        <v>#NUM!</v>
      </c>
      <c r="BJ352" s="66" t="e">
        <f t="shared" si="354"/>
        <v>#NUM!</v>
      </c>
      <c r="BK352" s="63" t="e">
        <f t="shared" si="307"/>
        <v>#NUM!</v>
      </c>
      <c r="BL352" s="51">
        <f t="shared" si="355"/>
        <v>-27.191920307478799</v>
      </c>
      <c r="BM352" s="63">
        <f t="shared" si="356"/>
        <v>34.599066433138105</v>
      </c>
    </row>
    <row r="353" spans="14:65" x14ac:dyDescent="0.3">
      <c r="N353" s="11">
        <v>35</v>
      </c>
      <c r="O353" s="52">
        <f t="shared" si="308"/>
        <v>22387.211385683382</v>
      </c>
      <c r="P353" s="50" t="str">
        <f t="shared" si="309"/>
        <v>21.1560044893378</v>
      </c>
      <c r="Q353" s="18" t="str">
        <f t="shared" si="310"/>
        <v>1+98.0378468450525i</v>
      </c>
      <c r="R353" s="18">
        <f t="shared" si="321"/>
        <v>98.042946783610958</v>
      </c>
      <c r="S353" s="18">
        <f t="shared" si="322"/>
        <v>1.5605965381074032</v>
      </c>
      <c r="T353" s="18" t="str">
        <f t="shared" si="311"/>
        <v>1+0.140662997647249i</v>
      </c>
      <c r="U353" s="18">
        <f t="shared" si="323"/>
        <v>1.0098445815605044</v>
      </c>
      <c r="V353" s="18">
        <f t="shared" si="324"/>
        <v>0.13974613489427501</v>
      </c>
      <c r="W353" s="32" t="str">
        <f t="shared" si="312"/>
        <v>1-0.0631735001267823i</v>
      </c>
      <c r="X353" s="18">
        <f t="shared" si="325"/>
        <v>1.0019934586204986</v>
      </c>
      <c r="Y353" s="18">
        <f t="shared" si="326"/>
        <v>-6.3089661270263928E-2</v>
      </c>
      <c r="Z353" s="32" t="str">
        <f t="shared" si="313"/>
        <v>0.999498812766373+0.0344787431769264i</v>
      </c>
      <c r="AA353" s="18">
        <f t="shared" si="327"/>
        <v>1.0000933258713658</v>
      </c>
      <c r="AB353" s="18">
        <f t="shared" si="328"/>
        <v>3.4482358756322266E-2</v>
      </c>
      <c r="AC353" s="68" t="str">
        <f t="shared" si="329"/>
        <v>0.0114291141562308-0.218021979485849i</v>
      </c>
      <c r="AD353" s="66">
        <f t="shared" si="330"/>
        <v>-13.218076171989125</v>
      </c>
      <c r="AE353" s="63">
        <f t="shared" si="331"/>
        <v>-86.999196369662826</v>
      </c>
      <c r="AF353" s="51" t="e">
        <f t="shared" si="332"/>
        <v>#NUM!</v>
      </c>
      <c r="AG353" s="51" t="str">
        <f t="shared" si="314"/>
        <v>1-60.2841418488211i</v>
      </c>
      <c r="AH353" s="51">
        <f t="shared" si="333"/>
        <v>60.292435333537362</v>
      </c>
      <c r="AI353" s="51">
        <f t="shared" si="334"/>
        <v>-1.5542097376410589</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-0.000133283554228113</v>
      </c>
      <c r="AT353" s="32" t="str">
        <f t="shared" si="318"/>
        <v>0.00859450915624694i</v>
      </c>
      <c r="AU353" s="32">
        <f t="shared" si="342"/>
        <v>8.5945091562469392E-3</v>
      </c>
      <c r="AV353" s="32">
        <f t="shared" si="343"/>
        <v>1.5707963267948966</v>
      </c>
      <c r="AW353" s="32" t="str">
        <f t="shared" si="319"/>
        <v>1+1.50268622819317i</v>
      </c>
      <c r="AX353" s="32">
        <f t="shared" si="344"/>
        <v>1.8050113297155275</v>
      </c>
      <c r="AY353" s="32">
        <f t="shared" si="345"/>
        <v>0.98361923134833806</v>
      </c>
      <c r="AZ353" s="32" t="str">
        <f t="shared" si="320"/>
        <v>1+22.3936898884397i</v>
      </c>
      <c r="BA353" s="32">
        <f t="shared" si="346"/>
        <v>22.41600648687465</v>
      </c>
      <c r="BB353" s="32">
        <f t="shared" si="347"/>
        <v>1.5261705372770953</v>
      </c>
      <c r="BC353" s="60" t="str">
        <f t="shared" si="348"/>
        <v>-0.0994385831177394+0.164932978491968i</v>
      </c>
      <c r="BD353" s="51">
        <f t="shared" si="349"/>
        <v>-14.307324036234284</v>
      </c>
      <c r="BE353" s="63">
        <f t="shared" si="350"/>
        <v>121.08589999902891</v>
      </c>
      <c r="BF353" s="60" t="str">
        <f t="shared" si="351"/>
        <v>0.0348225195353293+0.0235648345679095i</v>
      </c>
      <c r="BG353" s="66">
        <f t="shared" si="352"/>
        <v>-27.525400208223417</v>
      </c>
      <c r="BH353" s="63">
        <f t="shared" si="353"/>
        <v>34.08670362936607</v>
      </c>
      <c r="BI353" s="60" t="e">
        <f t="shared" si="306"/>
        <v>#NUM!</v>
      </c>
      <c r="BJ353" s="66" t="e">
        <f t="shared" si="354"/>
        <v>#NUM!</v>
      </c>
      <c r="BK353" s="63" t="e">
        <f t="shared" si="307"/>
        <v>#NUM!</v>
      </c>
      <c r="BL353" s="51">
        <f t="shared" si="355"/>
        <v>-27.525400208223417</v>
      </c>
      <c r="BM353" s="63">
        <f t="shared" si="356"/>
        <v>34.08670362936607</v>
      </c>
    </row>
    <row r="354" spans="14:65" x14ac:dyDescent="0.3">
      <c r="N354" s="11">
        <v>36</v>
      </c>
      <c r="O354" s="52">
        <f t="shared" si="308"/>
        <v>22908.676527677751</v>
      </c>
      <c r="P354" s="50" t="str">
        <f t="shared" si="309"/>
        <v>21.1560044893378</v>
      </c>
      <c r="Q354" s="18" t="str">
        <f t="shared" si="310"/>
        <v>1+100.321441654837i</v>
      </c>
      <c r="R354" s="18">
        <f t="shared" si="321"/>
        <v>100.32642551045494</v>
      </c>
      <c r="S354" s="18">
        <f t="shared" si="322"/>
        <v>1.5608286980864987</v>
      </c>
      <c r="T354" s="18" t="str">
        <f t="shared" si="311"/>
        <v>1+0.143939459765635i</v>
      </c>
      <c r="U354" s="18">
        <f t="shared" si="323"/>
        <v>1.0103061754129898</v>
      </c>
      <c r="V354" s="18">
        <f t="shared" si="324"/>
        <v>0.14295756408381993</v>
      </c>
      <c r="W354" s="32" t="str">
        <f t="shared" si="312"/>
        <v>1-0.064644999977584i</v>
      </c>
      <c r="X354" s="18">
        <f t="shared" si="325"/>
        <v>1.0020873095804086</v>
      </c>
      <c r="Y354" s="18">
        <f t="shared" si="326"/>
        <v>-6.4555175127497824E-2</v>
      </c>
      <c r="Z354" s="32" t="str">
        <f t="shared" si="313"/>
        <v>0.99947519253975+0.0352818562755969i</v>
      </c>
      <c r="AA354" s="18">
        <f t="shared" si="327"/>
        <v>1.0000977301667182</v>
      </c>
      <c r="AB354" s="18">
        <f t="shared" si="328"/>
        <v>3.5285730330803872E-2</v>
      </c>
      <c r="AC354" s="68" t="str">
        <f t="shared" si="329"/>
        <v>0.0113265185924273-0.213168114439942i</v>
      </c>
      <c r="AD354" s="66">
        <f t="shared" si="330"/>
        <v>-13.413311209199959</v>
      </c>
      <c r="AE354" s="63">
        <f t="shared" si="331"/>
        <v>-86.958494377306849</v>
      </c>
      <c r="AF354" s="51" t="e">
        <f t="shared" si="332"/>
        <v>#NUM!</v>
      </c>
      <c r="AG354" s="51" t="str">
        <f t="shared" si="314"/>
        <v>1-61.6883398995579i</v>
      </c>
      <c r="AH354" s="51">
        <f t="shared" si="333"/>
        <v>61.696444626602165</v>
      </c>
      <c r="AI354" s="51">
        <f t="shared" si="334"/>
        <v>-1.5545872276070238</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-0.000133283554228113</v>
      </c>
      <c r="AT354" s="32" t="str">
        <f t="shared" si="318"/>
        <v>0.00879470099168028i</v>
      </c>
      <c r="AU354" s="32">
        <f t="shared" si="342"/>
        <v>8.7947009916802803E-3</v>
      </c>
      <c r="AV354" s="32">
        <f t="shared" si="343"/>
        <v>1.5707963267948966</v>
      </c>
      <c r="AW354" s="32" t="str">
        <f t="shared" si="319"/>
        <v>1+1.53768828690688i</v>
      </c>
      <c r="AX354" s="32">
        <f t="shared" si="344"/>
        <v>1.8342533270218198</v>
      </c>
      <c r="AY354" s="32">
        <f t="shared" si="345"/>
        <v>0.99419135980670892</v>
      </c>
      <c r="AZ354" s="32" t="str">
        <f t="shared" si="320"/>
        <v>1+22.9153059341488i</v>
      </c>
      <c r="BA354" s="32">
        <f t="shared" si="346"/>
        <v>22.937115033404599</v>
      </c>
      <c r="BB354" s="32">
        <f t="shared" si="347"/>
        <v>1.5271850417840231</v>
      </c>
      <c r="BC354" s="60" t="str">
        <f t="shared" si="348"/>
        <v>-0.096293320096039+0.16322409457988i</v>
      </c>
      <c r="BD354" s="51">
        <f t="shared" si="349"/>
        <v>-14.44730072067552</v>
      </c>
      <c r="BE354" s="63">
        <f t="shared" si="350"/>
        <v>120.5382884844381</v>
      </c>
      <c r="BF354" s="60" t="str">
        <f t="shared" si="351"/>
        <v>0.0337035043923654+0.0223754262200255i</v>
      </c>
      <c r="BG354" s="66">
        <f t="shared" si="352"/>
        <v>-27.860611929875489</v>
      </c>
      <c r="BH354" s="63">
        <f t="shared" si="353"/>
        <v>33.579794107131228</v>
      </c>
      <c r="BI354" s="60" t="e">
        <f t="shared" si="306"/>
        <v>#NUM!</v>
      </c>
      <c r="BJ354" s="66" t="e">
        <f t="shared" si="354"/>
        <v>#NUM!</v>
      </c>
      <c r="BK354" s="63" t="e">
        <f t="shared" si="307"/>
        <v>#NUM!</v>
      </c>
      <c r="BL354" s="51">
        <f t="shared" si="355"/>
        <v>-27.860611929875489</v>
      </c>
      <c r="BM354" s="63">
        <f t="shared" si="356"/>
        <v>33.579794107131228</v>
      </c>
    </row>
    <row r="355" spans="14:65" x14ac:dyDescent="0.3">
      <c r="N355" s="11">
        <v>37</v>
      </c>
      <c r="O355" s="52">
        <f t="shared" si="308"/>
        <v>23442.288153199243</v>
      </c>
      <c r="P355" s="50" t="str">
        <f t="shared" si="309"/>
        <v>21.1560044893378</v>
      </c>
      <c r="Q355" s="18" t="str">
        <f t="shared" si="310"/>
        <v>1+102.658228220897i</v>
      </c>
      <c r="R355" s="18">
        <f t="shared" si="321"/>
        <v>102.66309863555539</v>
      </c>
      <c r="S355" s="18">
        <f t="shared" si="322"/>
        <v>1.5610555744975767</v>
      </c>
      <c r="T355" s="18" t="str">
        <f t="shared" si="311"/>
        <v>1+0.147292240490852i</v>
      </c>
      <c r="U355" s="18">
        <f t="shared" si="323"/>
        <v>1.0107892975832378</v>
      </c>
      <c r="V355" s="18">
        <f t="shared" si="324"/>
        <v>0.14624072590510293</v>
      </c>
      <c r="W355" s="32" t="str">
        <f t="shared" si="312"/>
        <v>1-0.0661507754630513i</v>
      </c>
      <c r="X355" s="18">
        <f t="shared" si="325"/>
        <v>1.0021855741799335</v>
      </c>
      <c r="Y355" s="18">
        <f t="shared" si="326"/>
        <v>-6.6054537734967861E-2</v>
      </c>
      <c r="Z355" s="32" t="str">
        <f t="shared" si="313"/>
        <v>0.999450459126142+0.0361036762814751i</v>
      </c>
      <c r="AA355" s="18">
        <f t="shared" si="327"/>
        <v>1.0001023426072422</v>
      </c>
      <c r="AB355" s="18">
        <f t="shared" si="328"/>
        <v>3.6107827285335389E-2</v>
      </c>
      <c r="AC355" s="68" t="str">
        <f t="shared" si="329"/>
        <v>0.0112282088276588-0.208427178492839i</v>
      </c>
      <c r="AD355" s="66">
        <f t="shared" si="330"/>
        <v>-13.60832760697372</v>
      </c>
      <c r="AE355" s="63">
        <f t="shared" si="331"/>
        <v>-86.916391957527651</v>
      </c>
      <c r="AF355" s="51" t="e">
        <f t="shared" si="332"/>
        <v>#NUM!</v>
      </c>
      <c r="AG355" s="51" t="str">
        <f t="shared" si="314"/>
        <v>1-63.125245924651i</v>
      </c>
      <c r="AH355" s="51">
        <f t="shared" si="333"/>
        <v>63.13316618899821</v>
      </c>
      <c r="AI355" s="51">
        <f t="shared" si="334"/>
        <v>-1.5549561293165519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-0.000133283554228113</v>
      </c>
      <c r="AT355" s="32" t="str">
        <f t="shared" si="318"/>
        <v>0.00899955589399103i</v>
      </c>
      <c r="AU355" s="32">
        <f t="shared" si="342"/>
        <v>8.9995558939910299E-3</v>
      </c>
      <c r="AV355" s="32">
        <f t="shared" si="343"/>
        <v>1.5707963267948966</v>
      </c>
      <c r="AW355" s="32" t="str">
        <f t="shared" si="319"/>
        <v>1+1.57350564830401i</v>
      </c>
      <c r="AX355" s="32">
        <f t="shared" si="344"/>
        <v>1.8643819418897574</v>
      </c>
      <c r="AY355" s="32">
        <f t="shared" si="345"/>
        <v>1.0046652333527595</v>
      </c>
      <c r="AZ355" s="32" t="str">
        <f t="shared" si="320"/>
        <v>1+23.4490719783841i</v>
      </c>
      <c r="BA355" s="32">
        <f t="shared" si="346"/>
        <v>23.470385097979079</v>
      </c>
      <c r="BB355" s="32">
        <f t="shared" si="347"/>
        <v>1.5281765401561833</v>
      </c>
      <c r="BC355" s="60" t="str">
        <f t="shared" si="348"/>
        <v>-0.0932062459686026+0.161470569093763i</v>
      </c>
      <c r="BD355" s="51">
        <f t="shared" si="349"/>
        <v>-14.589183709703573</v>
      </c>
      <c r="BE355" s="63">
        <f t="shared" si="350"/>
        <v>119.99498840721465</v>
      </c>
      <c r="BF355" s="60" t="str">
        <f t="shared" si="351"/>
        <v>0.0326083159320684+0.0212397401344511i</v>
      </c>
      <c r="BG355" s="66">
        <f t="shared" si="352"/>
        <v>-28.197511316677296</v>
      </c>
      <c r="BH355" s="63">
        <f t="shared" si="353"/>
        <v>33.078596449687097</v>
      </c>
      <c r="BI355" s="60" t="e">
        <f t="shared" si="306"/>
        <v>#NUM!</v>
      </c>
      <c r="BJ355" s="66" t="e">
        <f t="shared" si="354"/>
        <v>#NUM!</v>
      </c>
      <c r="BK355" s="63" t="e">
        <f t="shared" si="307"/>
        <v>#NUM!</v>
      </c>
      <c r="BL355" s="51">
        <f t="shared" si="355"/>
        <v>-28.197511316677296</v>
      </c>
      <c r="BM355" s="63">
        <f t="shared" si="356"/>
        <v>33.078596449687097</v>
      </c>
    </row>
    <row r="356" spans="14:65" x14ac:dyDescent="0.3">
      <c r="N356" s="11">
        <v>38</v>
      </c>
      <c r="O356" s="52">
        <f t="shared" si="308"/>
        <v>23988.329190194923</v>
      </c>
      <c r="P356" s="50" t="str">
        <f t="shared" si="309"/>
        <v>21.1560044893378</v>
      </c>
      <c r="Q356" s="18" t="str">
        <f t="shared" si="310"/>
        <v>1+105.049445538402i</v>
      </c>
      <c r="R356" s="18">
        <f t="shared" si="321"/>
        <v>105.05420509396892</v>
      </c>
      <c r="S356" s="18">
        <f t="shared" si="322"/>
        <v>1.5612772875400356</v>
      </c>
      <c r="T356" s="18" t="str">
        <f t="shared" si="311"/>
        <v>1+0.15072311751162i</v>
      </c>
      <c r="U356" s="18">
        <f t="shared" si="323"/>
        <v>1.011294941227544</v>
      </c>
      <c r="V356" s="18">
        <f t="shared" si="324"/>
        <v>0.14959707786900958</v>
      </c>
      <c r="W356" s="32" t="str">
        <f t="shared" si="312"/>
        <v>1-0.0676916249652779i</v>
      </c>
      <c r="X356" s="18">
        <f t="shared" si="325"/>
        <v>1.0022884595217285</v>
      </c>
      <c r="Y356" s="18">
        <f t="shared" si="326"/>
        <v>-6.7588517093791059E-2</v>
      </c>
      <c r="Z356" s="32" t="str">
        <f t="shared" si="313"/>
        <v>0.999424560062663+0.0369446389344062i</v>
      </c>
      <c r="AA356" s="18">
        <f t="shared" si="327"/>
        <v>1.0001071730581885</v>
      </c>
      <c r="AB356" s="18">
        <f t="shared" si="328"/>
        <v>3.6949086679319947E-2</v>
      </c>
      <c r="AC356" s="68" t="str">
        <f t="shared" si="329"/>
        <v>0.0111339764587108-0.203796663393673i</v>
      </c>
      <c r="AD356" s="66">
        <f t="shared" si="330"/>
        <v>-13.803115359644124</v>
      </c>
      <c r="AE356" s="63">
        <f t="shared" si="331"/>
        <v>-86.872881532903094</v>
      </c>
      <c r="AF356" s="51" t="e">
        <f t="shared" si="332"/>
        <v>#NUM!</v>
      </c>
      <c r="AG356" s="51" t="str">
        <f t="shared" si="314"/>
        <v>1-64.5956217906944i</v>
      </c>
      <c r="AH356" s="51">
        <f t="shared" si="333"/>
        <v>64.603361789665655</v>
      </c>
      <c r="AI356" s="51">
        <f t="shared" si="334"/>
        <v>-1.5553166379643559</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-0.000133283554228113</v>
      </c>
      <c r="AT356" s="32" t="str">
        <f t="shared" si="318"/>
        <v>0.00920918247995998i</v>
      </c>
      <c r="AU356" s="32">
        <f t="shared" si="342"/>
        <v>9.2091824799599795E-3</v>
      </c>
      <c r="AV356" s="32">
        <f t="shared" si="343"/>
        <v>1.5707963267948966</v>
      </c>
      <c r="AW356" s="32" t="str">
        <f t="shared" si="319"/>
        <v>1+1.61015730322367i</v>
      </c>
      <c r="AX356" s="32">
        <f t="shared" si="344"/>
        <v>1.895417247237273</v>
      </c>
      <c r="AY356" s="32">
        <f t="shared" si="345"/>
        <v>1.0150372130942118</v>
      </c>
      <c r="AZ356" s="32" t="str">
        <f t="shared" si="320"/>
        <v>1+23.9952710309674i</v>
      </c>
      <c r="BA356" s="32">
        <f t="shared" si="346"/>
        <v>24.016099430373441</v>
      </c>
      <c r="BB356" s="32">
        <f t="shared" si="347"/>
        <v>1.5291455502970042</v>
      </c>
      <c r="BC356" s="60" t="str">
        <f t="shared" si="348"/>
        <v>-0.0901789419830908+0.159675179545919i</v>
      </c>
      <c r="BD356" s="51">
        <f t="shared" si="349"/>
        <v>-14.732937367834626</v>
      </c>
      <c r="BE356" s="63">
        <f t="shared" si="350"/>
        <v>119.45623793420846</v>
      </c>
      <c r="BF356" s="60" t="str">
        <f t="shared" si="351"/>
        <v>0.0315372186011328+0.0201559871746302i</v>
      </c>
      <c r="BG356" s="66">
        <f t="shared" si="352"/>
        <v>-28.536052727478744</v>
      </c>
      <c r="BH356" s="63">
        <f t="shared" si="353"/>
        <v>32.583356401305331</v>
      </c>
      <c r="BI356" s="60" t="e">
        <f t="shared" si="306"/>
        <v>#NUM!</v>
      </c>
      <c r="BJ356" s="66" t="e">
        <f t="shared" si="354"/>
        <v>#NUM!</v>
      </c>
      <c r="BK356" s="63" t="e">
        <f t="shared" si="307"/>
        <v>#NUM!</v>
      </c>
      <c r="BL356" s="51">
        <f t="shared" si="355"/>
        <v>-28.536052727478744</v>
      </c>
      <c r="BM356" s="63">
        <f t="shared" si="356"/>
        <v>32.583356401305331</v>
      </c>
    </row>
    <row r="357" spans="14:65" x14ac:dyDescent="0.3">
      <c r="N357" s="11">
        <v>39</v>
      </c>
      <c r="O357" s="52">
        <f t="shared" si="308"/>
        <v>24547.089156850321</v>
      </c>
      <c r="P357" s="50" t="str">
        <f t="shared" si="309"/>
        <v>21.1560044893378</v>
      </c>
      <c r="Q357" s="18" t="str">
        <f t="shared" si="310"/>
        <v>1+107.496361462425i</v>
      </c>
      <c r="R357" s="18">
        <f t="shared" si="321"/>
        <v>107.50101268202236</v>
      </c>
      <c r="S357" s="18">
        <f t="shared" si="322"/>
        <v>1.5614939546818261</v>
      </c>
      <c r="T357" s="18" t="str">
        <f t="shared" si="311"/>
        <v>1+0.154233909924349i</v>
      </c>
      <c r="U357" s="18">
        <f t="shared" si="323"/>
        <v>1.0118241442911668</v>
      </c>
      <c r="V357" s="18">
        <f t="shared" si="324"/>
        <v>0.15302809692397265</v>
      </c>
      <c r="W357" s="32" t="str">
        <f t="shared" si="312"/>
        <v>1-0.0692683654630656i</v>
      </c>
      <c r="X357" s="18">
        <f t="shared" si="325"/>
        <v>1.0023961823819587</v>
      </c>
      <c r="Y357" s="18">
        <f t="shared" si="326"/>
        <v>-6.9157897647113789E-2</v>
      </c>
      <c r="Z357" s="32" t="str">
        <f t="shared" si="313"/>
        <v>0.999397440413926+0.0378051901239205i</v>
      </c>
      <c r="AA357" s="18">
        <f t="shared" si="327"/>
        <v>1.0001122318551114</v>
      </c>
      <c r="AB357" s="18">
        <f t="shared" si="328"/>
        <v>3.7809955816023651E-2</v>
      </c>
      <c r="AC357" s="68" t="str">
        <f t="shared" si="329"/>
        <v>0.0110436217215653-0.199274119008701i</v>
      </c>
      <c r="AD357" s="66">
        <f t="shared" si="330"/>
        <v>-13.997664029528247</v>
      </c>
      <c r="AE357" s="63">
        <f t="shared" si="331"/>
        <v>-86.827955784809944</v>
      </c>
      <c r="AF357" s="51" t="e">
        <f t="shared" si="332"/>
        <v>#NUM!</v>
      </c>
      <c r="AG357" s="51" t="str">
        <f t="shared" si="314"/>
        <v>1-66.1002471104354i</v>
      </c>
      <c r="AH357" s="51">
        <f t="shared" si="333"/>
        <v>66.107810945913371</v>
      </c>
      <c r="AI357" s="51">
        <f t="shared" si="334"/>
        <v>-1.555668944321845</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-0.000133283554228113</v>
      </c>
      <c r="AT357" s="32" t="str">
        <f t="shared" si="318"/>
        <v>0.00942369189637774i</v>
      </c>
      <c r="AU357" s="32">
        <f t="shared" si="342"/>
        <v>9.4236918963777408E-3</v>
      </c>
      <c r="AV357" s="32">
        <f t="shared" si="343"/>
        <v>1.5707963267948966</v>
      </c>
      <c r="AW357" s="32" t="str">
        <f t="shared" si="319"/>
        <v>1+1.64766268485846i</v>
      </c>
      <c r="AX357" s="32">
        <f t="shared" si="344"/>
        <v>1.927379652034074</v>
      </c>
      <c r="AY357" s="32">
        <f t="shared" si="345"/>
        <v>1.0253038716950289</v>
      </c>
      <c r="AZ357" s="32" t="str">
        <f t="shared" si="320"/>
        <v>1+24.5541926938663i</v>
      </c>
      <c r="BA357" s="32">
        <f t="shared" si="346"/>
        <v>24.574547378283842</v>
      </c>
      <c r="BB357" s="32">
        <f t="shared" si="347"/>
        <v>1.5300925787052873</v>
      </c>
      <c r="BC357" s="60" t="str">
        <f t="shared" si="348"/>
        <v>-0.0872128045564496+0.157840737856117i</v>
      </c>
      <c r="BD357" s="51">
        <f t="shared" si="349"/>
        <v>-14.878525105543428</v>
      </c>
      <c r="BE357" s="63">
        <f t="shared" si="350"/>
        <v>118.92226245755364</v>
      </c>
      <c r="BF357" s="60" t="str">
        <f t="shared" si="351"/>
        <v>0.0304904287571628+0.0191223881954002i</v>
      </c>
      <c r="BG357" s="66">
        <f t="shared" si="352"/>
        <v>-28.87618913507168</v>
      </c>
      <c r="BH357" s="63">
        <f t="shared" si="353"/>
        <v>32.094306672743663</v>
      </c>
      <c r="BI357" s="60" t="e">
        <f t="shared" si="306"/>
        <v>#NUM!</v>
      </c>
      <c r="BJ357" s="66" t="e">
        <f t="shared" si="354"/>
        <v>#NUM!</v>
      </c>
      <c r="BK357" s="63" t="e">
        <f t="shared" si="307"/>
        <v>#NUM!</v>
      </c>
      <c r="BL357" s="51">
        <f t="shared" si="355"/>
        <v>-28.87618913507168</v>
      </c>
      <c r="BM357" s="63">
        <f t="shared" si="356"/>
        <v>32.094306672743663</v>
      </c>
    </row>
    <row r="358" spans="14:65" x14ac:dyDescent="0.3">
      <c r="N358" s="11">
        <v>40</v>
      </c>
      <c r="O358" s="52">
        <f t="shared" si="308"/>
        <v>25118.86431509586</v>
      </c>
      <c r="P358" s="50" t="str">
        <f t="shared" si="309"/>
        <v>21.1560044893378</v>
      </c>
      <c r="Q358" s="18" t="str">
        <f t="shared" si="310"/>
        <v>1+110.000273380179i</v>
      </c>
      <c r="R358" s="18">
        <f t="shared" si="321"/>
        <v>110.00481872951802</v>
      </c>
      <c r="S358" s="18">
        <f t="shared" si="322"/>
        <v>1.5617056907213167</v>
      </c>
      <c r="T358" s="18" t="str">
        <f t="shared" si="311"/>
        <v>1+0.157826479197648i</v>
      </c>
      <c r="U358" s="18">
        <f t="shared" si="323"/>
        <v>1.0123779914320172</v>
      </c>
      <c r="V358" s="18">
        <f t="shared" si="324"/>
        <v>0.1565352789584353</v>
      </c>
      <c r="W358" s="32" t="str">
        <f t="shared" si="312"/>
        <v>1-0.0708818329650975i</v>
      </c>
      <c r="X358" s="18">
        <f t="shared" si="325"/>
        <v>1.0025089696578739</v>
      </c>
      <c r="Y358" s="18">
        <f t="shared" si="326"/>
        <v>-7.0763480561381806E-2</v>
      </c>
      <c r="Z358" s="32" t="str">
        <f t="shared" si="313"/>
        <v>0.99936904265552+0.0386857861256496i</v>
      </c>
      <c r="AA358" s="18">
        <f t="shared" si="327"/>
        <v>1.000117529826555</v>
      </c>
      <c r="AB358" s="18">
        <f t="shared" si="328"/>
        <v>3.8690892485703253E-2</v>
      </c>
      <c r="AC358" s="68" t="str">
        <f t="shared" si="329"/>
        <v>0.0109569530686532-0.19485715204618i</v>
      </c>
      <c r="AD358" s="66">
        <f t="shared" si="330"/>
        <v>-14.191962729673122</v>
      </c>
      <c r="AE358" s="63">
        <f t="shared" si="331"/>
        <v>-86.781607715521574</v>
      </c>
      <c r="AF358" s="51" t="e">
        <f t="shared" si="332"/>
        <v>#NUM!</v>
      </c>
      <c r="AG358" s="51" t="str">
        <f t="shared" si="314"/>
        <v>1-67.639919656135i</v>
      </c>
      <c r="AH358" s="51">
        <f t="shared" si="333"/>
        <v>67.647311336729416</v>
      </c>
      <c r="AI358" s="51">
        <f t="shared" si="334"/>
        <v>-1.5560132348364877</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-0.000133283554228113</v>
      </c>
      <c r="AT358" s="32" t="str">
        <f t="shared" si="318"/>
        <v>0.00964319787897629i</v>
      </c>
      <c r="AU358" s="32">
        <f t="shared" si="342"/>
        <v>9.6431978789762902E-3</v>
      </c>
      <c r="AV358" s="32">
        <f t="shared" si="343"/>
        <v>1.5707963267948966</v>
      </c>
      <c r="AW358" s="32" t="str">
        <f t="shared" si="319"/>
        <v>1+1.68604167905816i</v>
      </c>
      <c r="AX358" s="32">
        <f t="shared" si="344"/>
        <v>1.9602899131305196</v>
      </c>
      <c r="AY358" s="32">
        <f t="shared" si="345"/>
        <v>1.0354619950659725</v>
      </c>
      <c r="AZ358" s="32" t="str">
        <f t="shared" si="320"/>
        <v>1+25.1261333147447i</v>
      </c>
      <c r="BA358" s="32">
        <f t="shared" si="346"/>
        <v>25.146025040755912</v>
      </c>
      <c r="BB358" s="32">
        <f t="shared" si="347"/>
        <v>1.5310181207093208</v>
      </c>
      <c r="BC358" s="60" t="str">
        <f t="shared" si="348"/>
        <v>-0.0843090472560121+0.155970077420261i</v>
      </c>
      <c r="BD358" s="51">
        <f t="shared" si="349"/>
        <v>-15.025909494357272</v>
      </c>
      <c r="BE358" s="63">
        <f t="shared" si="350"/>
        <v>118.39327451121852</v>
      </c>
      <c r="BF358" s="60" t="str">
        <f t="shared" si="351"/>
        <v>0.0294681148164873+0.0181371776584413i</v>
      </c>
      <c r="BG358" s="66">
        <f t="shared" si="352"/>
        <v>-29.217872224030394</v>
      </c>
      <c r="BH358" s="63">
        <f t="shared" si="353"/>
        <v>31.611666795696888</v>
      </c>
      <c r="BI358" s="60" t="e">
        <f t="shared" si="306"/>
        <v>#NUM!</v>
      </c>
      <c r="BJ358" s="66" t="e">
        <f t="shared" si="354"/>
        <v>#NUM!</v>
      </c>
      <c r="BK358" s="63" t="e">
        <f t="shared" si="307"/>
        <v>#NUM!</v>
      </c>
      <c r="BL358" s="51">
        <f t="shared" si="355"/>
        <v>-29.217872224030394</v>
      </c>
      <c r="BM358" s="63">
        <f t="shared" si="356"/>
        <v>31.611666795696888</v>
      </c>
    </row>
    <row r="359" spans="14:65" x14ac:dyDescent="0.3">
      <c r="N359" s="11">
        <v>41</v>
      </c>
      <c r="O359" s="52">
        <f t="shared" si="308"/>
        <v>25703.95782768865</v>
      </c>
      <c r="P359" s="50" t="str">
        <f t="shared" si="309"/>
        <v>21.1560044893378</v>
      </c>
      <c r="Q359" s="18" t="str">
        <f t="shared" si="310"/>
        <v>1+112.562508898904i</v>
      </c>
      <c r="R359" s="18">
        <f t="shared" si="321"/>
        <v>112.56695078759059</v>
      </c>
      <c r="S359" s="18">
        <f t="shared" si="322"/>
        <v>1.5619126078477743</v>
      </c>
      <c r="T359" s="18" t="str">
        <f t="shared" si="311"/>
        <v>1+0.161502730159297i</v>
      </c>
      <c r="U359" s="18">
        <f t="shared" si="323"/>
        <v>1.0129576160180183</v>
      </c>
      <c r="V359" s="18">
        <f t="shared" si="324"/>
        <v>0.16012013823385315</v>
      </c>
      <c r="W359" s="32" t="str">
        <f t="shared" si="312"/>
        <v>1-0.0725328829531991i</v>
      </c>
      <c r="X359" s="18">
        <f t="shared" si="325"/>
        <v>1.002627058835688</v>
      </c>
      <c r="Y359" s="18">
        <f t="shared" si="326"/>
        <v>-7.24060840070994E-2</v>
      </c>
      <c r="Z359" s="32" t="str">
        <f t="shared" si="313"/>
        <v>0.999339306551992+0.0395868938432492i</v>
      </c>
      <c r="AA359" s="18">
        <f t="shared" si="327"/>
        <v>1.0001230783178503</v>
      </c>
      <c r="AB359" s="18">
        <f t="shared" si="328"/>
        <v>3.9592365214717665E-2</v>
      </c>
      <c r="AC359" s="68" t="str">
        <f t="shared" si="329"/>
        <v>0.0108737867634656-0.190543424809448i</v>
      </c>
      <c r="AD359" s="66">
        <f t="shared" si="330"/>
        <v>-14.386000106088797</v>
      </c>
      <c r="AE359" s="63">
        <f t="shared" si="331"/>
        <v>-86.733830714518746</v>
      </c>
      <c r="AF359" s="51" t="e">
        <f t="shared" si="332"/>
        <v>#NUM!</v>
      </c>
      <c r="AG359" s="51" t="str">
        <f t="shared" si="314"/>
        <v>1-69.215455782556i</v>
      </c>
      <c r="AH359" s="51">
        <f t="shared" si="333"/>
        <v>69.22267922572027</v>
      </c>
      <c r="AI359" s="51">
        <f t="shared" si="334"/>
        <v>-1.5563496917289976</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-0.000133283554228113</v>
      </c>
      <c r="AT359" s="32" t="str">
        <f t="shared" si="318"/>
        <v>0.00986781681273305i</v>
      </c>
      <c r="AU359" s="32">
        <f t="shared" si="342"/>
        <v>9.8678168127330507E-3</v>
      </c>
      <c r="AV359" s="32">
        <f t="shared" si="343"/>
        <v>1.5707963267948966</v>
      </c>
      <c r="AW359" s="32" t="str">
        <f t="shared" si="319"/>
        <v>1+1.72531463487349i</v>
      </c>
      <c r="AX359" s="32">
        <f t="shared" si="344"/>
        <v>1.994169147617284</v>
      </c>
      <c r="AY359" s="32">
        <f t="shared" si="345"/>
        <v>1.0455085831604478</v>
      </c>
      <c r="AZ359" s="32" t="str">
        <f t="shared" si="320"/>
        <v>1+25.7113961440902i</v>
      </c>
      <c r="BA359" s="32">
        <f t="shared" si="346"/>
        <v>25.730835425192407</v>
      </c>
      <c r="BB359" s="32">
        <f t="shared" si="347"/>
        <v>1.5319226606973473</v>
      </c>
      <c r="BC359" s="60" t="str">
        <f t="shared" si="348"/>
        <v>-0.081468703734979+0.154066040688869i</v>
      </c>
      <c r="BD359" s="51">
        <f t="shared" si="349"/>
        <v>-15.175052380362079</v>
      </c>
      <c r="BE359" s="63">
        <f t="shared" si="350"/>
        <v>117.86947373861365</v>
      </c>
      <c r="BF359" s="60" t="str">
        <f t="shared" si="351"/>
        <v>0.0284703977273788+0.0171986070983913i</v>
      </c>
      <c r="BG359" s="66">
        <f t="shared" si="352"/>
        <v>-29.561052486450873</v>
      </c>
      <c r="BH359" s="63">
        <f t="shared" si="353"/>
        <v>31.135643024094808</v>
      </c>
      <c r="BI359" s="60" t="e">
        <f t="shared" si="306"/>
        <v>#NUM!</v>
      </c>
      <c r="BJ359" s="66" t="e">
        <f t="shared" si="354"/>
        <v>#NUM!</v>
      </c>
      <c r="BK359" s="63" t="e">
        <f t="shared" si="307"/>
        <v>#NUM!</v>
      </c>
      <c r="BL359" s="51">
        <f t="shared" si="355"/>
        <v>-29.561052486450873</v>
      </c>
      <c r="BM359" s="63">
        <f t="shared" si="356"/>
        <v>31.135643024094808</v>
      </c>
    </row>
    <row r="360" spans="14:65" x14ac:dyDescent="0.3">
      <c r="N360" s="11">
        <v>42</v>
      </c>
      <c r="O360" s="52">
        <f t="shared" si="308"/>
        <v>26302.679918953829</v>
      </c>
      <c r="P360" s="50" t="str">
        <f t="shared" si="309"/>
        <v>21.1560044893378</v>
      </c>
      <c r="Q360" s="18" t="str">
        <f t="shared" si="310"/>
        <v>1+115.184426549788i</v>
      </c>
      <c r="R360" s="18">
        <f t="shared" si="321"/>
        <v>115.18876733259847</v>
      </c>
      <c r="S360" s="18">
        <f t="shared" si="322"/>
        <v>1.5621148157004845</v>
      </c>
      <c r="T360" s="18" t="str">
        <f t="shared" si="311"/>
        <v>1+0.165264612006218i</v>
      </c>
      <c r="U360" s="18">
        <f t="shared" si="323"/>
        <v>1.0135642022001201</v>
      </c>
      <c r="V360" s="18">
        <f t="shared" si="324"/>
        <v>0.16378420674362368</v>
      </c>
      <c r="W360" s="32" t="str">
        <f t="shared" si="312"/>
        <v>1-0.0742223908359287i</v>
      </c>
      <c r="X360" s="18">
        <f t="shared" si="325"/>
        <v>1.0027506984796377</v>
      </c>
      <c r="Y360" s="18">
        <f t="shared" si="326"/>
        <v>-7.4086543438593194E-2</v>
      </c>
      <c r="Z360" s="32" t="str">
        <f t="shared" si="313"/>
        <v>0.999308169029081+0.0405089910559589i</v>
      </c>
      <c r="AA360" s="18">
        <f t="shared" si="327"/>
        <v>1.0001288892160982</v>
      </c>
      <c r="AB360" s="18">
        <f t="shared" si="328"/>
        <v>4.0514853520787271E-2</v>
      </c>
      <c r="AC360" s="68" t="str">
        <f t="shared" si="329"/>
        <v>0.010793946491667-0.18633065397764i</v>
      </c>
      <c r="AD360" s="66">
        <f t="shared" si="330"/>
        <v>-14.579764319468744</v>
      </c>
      <c r="AE360" s="63">
        <f t="shared" si="331"/>
        <v>-86.684618629262332</v>
      </c>
      <c r="AF360" s="51" t="e">
        <f t="shared" si="332"/>
        <v>#NUM!</v>
      </c>
      <c r="AG360" s="51" t="str">
        <f t="shared" si="314"/>
        <v>1-70.8276908598078i</v>
      </c>
      <c r="AH360" s="51">
        <f t="shared" si="333"/>
        <v>70.834749893908011</v>
      </c>
      <c r="AI360" s="51">
        <f t="shared" si="334"/>
        <v>-1.5566784930883941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-0.000133283554228113</v>
      </c>
      <c r="AT360" s="32" t="str">
        <f t="shared" si="318"/>
        <v>0.0100976677935799i</v>
      </c>
      <c r="AU360" s="32">
        <f t="shared" si="342"/>
        <v>1.0097667793579901E-2</v>
      </c>
      <c r="AV360" s="32">
        <f t="shared" si="343"/>
        <v>1.5707963267948966</v>
      </c>
      <c r="AW360" s="32" t="str">
        <f t="shared" si="319"/>
        <v>1+1.76550237534546i</v>
      </c>
      <c r="AX360" s="32">
        <f t="shared" si="344"/>
        <v>2.0290388456977508</v>
      </c>
      <c r="AY360" s="32">
        <f t="shared" si="345"/>
        <v>1.0554408499142454</v>
      </c>
      <c r="AZ360" s="32" t="str">
        <f t="shared" si="320"/>
        <v>1+26.3102914960019i</v>
      </c>
      <c r="BA360" s="32">
        <f t="shared" si="346"/>
        <v>26.329288608023383</v>
      </c>
      <c r="BB360" s="32">
        <f t="shared" si="347"/>
        <v>1.5328066723443614</v>
      </c>
      <c r="BC360" s="60" t="str">
        <f t="shared" si="348"/>
        <v>-0.0786926315449642+0.152131467325259i</v>
      </c>
      <c r="BD360" s="51">
        <f t="shared" si="349"/>
        <v>-15.325914995555106</v>
      </c>
      <c r="BE360" s="63">
        <f t="shared" si="350"/>
        <v>117.35104690903722</v>
      </c>
      <c r="BF360" s="60" t="str">
        <f t="shared" si="351"/>
        <v>0.0274973517431087+0.0163049484170023i</v>
      </c>
      <c r="BG360" s="66">
        <f t="shared" si="352"/>
        <v>-29.905679315023839</v>
      </c>
      <c r="BH360" s="63">
        <f t="shared" si="353"/>
        <v>30.666428279774927</v>
      </c>
      <c r="BI360" s="60" t="e">
        <f t="shared" si="306"/>
        <v>#NUM!</v>
      </c>
      <c r="BJ360" s="66" t="e">
        <f t="shared" si="354"/>
        <v>#NUM!</v>
      </c>
      <c r="BK360" s="63" t="e">
        <f t="shared" si="307"/>
        <v>#NUM!</v>
      </c>
      <c r="BL360" s="51">
        <f t="shared" si="355"/>
        <v>-29.905679315023839</v>
      </c>
      <c r="BM360" s="63">
        <f t="shared" si="356"/>
        <v>30.666428279774927</v>
      </c>
    </row>
    <row r="361" spans="14:65" x14ac:dyDescent="0.3">
      <c r="N361" s="11">
        <v>43</v>
      </c>
      <c r="O361" s="52">
        <f t="shared" si="308"/>
        <v>26915.348039269167</v>
      </c>
      <c r="P361" s="50" t="str">
        <f t="shared" si="309"/>
        <v>21.1560044893378</v>
      </c>
      <c r="Q361" s="18" t="str">
        <f t="shared" si="310"/>
        <v>1+117.867416508276i</v>
      </c>
      <c r="R361" s="18">
        <f t="shared" si="321"/>
        <v>117.87165848640382</v>
      </c>
      <c r="S361" s="18">
        <f t="shared" si="322"/>
        <v>1.5623124214265467</v>
      </c>
      <c r="T361" s="18" t="str">
        <f t="shared" si="311"/>
        <v>1+0.169114119337961i</v>
      </c>
      <c r="U361" s="18">
        <f t="shared" si="323"/>
        <v>1.0141989870629204</v>
      </c>
      <c r="V361" s="18">
        <f t="shared" si="324"/>
        <v>0.16752903349309933</v>
      </c>
      <c r="W361" s="32" t="str">
        <f t="shared" si="312"/>
        <v>1-0.0759512524127293i</v>
      </c>
      <c r="X361" s="18">
        <f t="shared" si="325"/>
        <v>1.0028801487431398</v>
      </c>
      <c r="Y361" s="18">
        <f t="shared" si="326"/>
        <v>-7.5805711872238266E-2</v>
      </c>
      <c r="Z361" s="32" t="str">
        <f t="shared" si="313"/>
        <v>0.999275564039925+0.0414525666719266i</v>
      </c>
      <c r="AA361" s="18">
        <f t="shared" si="327"/>
        <v>1.0001349749763782</v>
      </c>
      <c r="AB361" s="18">
        <f t="shared" si="328"/>
        <v>4.1458848174565029E-2</v>
      </c>
      <c r="AC361" s="68" t="str">
        <f t="shared" si="329"/>
        <v>0.0107172629878955-0.182216609413524i</v>
      </c>
      <c r="AD361" s="66">
        <f t="shared" si="330"/>
        <v>-14.77324302639828</v>
      </c>
      <c r="AE361" s="63">
        <f t="shared" si="331"/>
        <v>-86.633965840684994</v>
      </c>
      <c r="AF361" s="51" t="e">
        <f t="shared" si="332"/>
        <v>#NUM!</v>
      </c>
      <c r="AG361" s="51" t="str">
        <f t="shared" si="314"/>
        <v>1-72.4774797162691i</v>
      </c>
      <c r="AH361" s="51">
        <f t="shared" si="333"/>
        <v>72.484378082606185</v>
      </c>
      <c r="AI361" s="51">
        <f t="shared" si="334"/>
        <v>-1.5569998129649723</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-0.000133283554228113</v>
      </c>
      <c r="AT361" s="32" t="str">
        <f t="shared" si="318"/>
        <v>0.0103328726915494i</v>
      </c>
      <c r="AU361" s="32">
        <f t="shared" si="342"/>
        <v>1.0332872691549399E-2</v>
      </c>
      <c r="AV361" s="32">
        <f t="shared" si="343"/>
        <v>1.5707963267948966</v>
      </c>
      <c r="AW361" s="32" t="str">
        <f t="shared" si="319"/>
        <v>1+1.80662620854604i</v>
      </c>
      <c r="AX361" s="32">
        <f t="shared" si="344"/>
        <v>2.0649208840547471</v>
      </c>
      <c r="AY361" s="32">
        <f t="shared" si="345"/>
        <v>1.0652562223723998</v>
      </c>
      <c r="AZ361" s="32" t="str">
        <f t="shared" si="320"/>
        <v>1+26.9231369127227i</v>
      </c>
      <c r="BA361" s="32">
        <f t="shared" si="346"/>
        <v>26.941701899123071</v>
      </c>
      <c r="BB361" s="32">
        <f t="shared" si="347"/>
        <v>1.5336706188352109</v>
      </c>
      <c r="BC361" s="60" t="str">
        <f t="shared" si="348"/>
        <v>-0.0759815167440883+0.150169183002584i</v>
      </c>
      <c r="BD361" s="51">
        <f t="shared" si="349"/>
        <v>-15.478458066532561</v>
      </c>
      <c r="BE361" s="63">
        <f t="shared" si="350"/>
        <v>116.8381679804866</v>
      </c>
      <c r="BF361" s="60" t="str">
        <f t="shared" si="351"/>
        <v>0.0265490054679643+0.0154544969861208i</v>
      </c>
      <c r="BG361" s="66">
        <f t="shared" si="352"/>
        <v>-30.25170109293083</v>
      </c>
      <c r="BH361" s="63">
        <f t="shared" si="353"/>
        <v>30.204202139801627</v>
      </c>
      <c r="BI361" s="60" t="e">
        <f t="shared" si="306"/>
        <v>#NUM!</v>
      </c>
      <c r="BJ361" s="66" t="e">
        <f t="shared" si="354"/>
        <v>#NUM!</v>
      </c>
      <c r="BK361" s="63" t="e">
        <f t="shared" si="307"/>
        <v>#NUM!</v>
      </c>
      <c r="BL361" s="51">
        <f t="shared" si="355"/>
        <v>-30.25170109293083</v>
      </c>
      <c r="BM361" s="63">
        <f t="shared" si="356"/>
        <v>30.204202139801627</v>
      </c>
    </row>
    <row r="362" spans="14:65" x14ac:dyDescent="0.3">
      <c r="N362" s="11">
        <v>44</v>
      </c>
      <c r="O362" s="52">
        <f t="shared" si="308"/>
        <v>27542.287033381719</v>
      </c>
      <c r="P362" s="50" t="str">
        <f t="shared" si="309"/>
        <v>21.1560044893378</v>
      </c>
      <c r="Q362" s="18" t="str">
        <f t="shared" si="310"/>
        <v>1+120.612901331156i</v>
      </c>
      <c r="R362" s="18">
        <f t="shared" si="321"/>
        <v>120.61704675343023</v>
      </c>
      <c r="S362" s="18">
        <f t="shared" si="322"/>
        <v>1.5625055297373676</v>
      </c>
      <c r="T362" s="18" t="str">
        <f t="shared" si="311"/>
        <v>1+0.173053293214267i</v>
      </c>
      <c r="U362" s="18">
        <f t="shared" si="323"/>
        <v>1.014863262854806</v>
      </c>
      <c r="V362" s="18">
        <f t="shared" si="324"/>
        <v>0.17135618369567321</v>
      </c>
      <c r="W362" s="32" t="str">
        <f t="shared" si="312"/>
        <v>1-0.0777203843488927i</v>
      </c>
      <c r="X362" s="18">
        <f t="shared" si="325"/>
        <v>1.0030156819029998</v>
      </c>
      <c r="Y362" s="18">
        <f t="shared" si="326"/>
        <v>-7.7564460162572124E-2</v>
      </c>
      <c r="Z362" s="32" t="str">
        <f t="shared" si="313"/>
        <v>0.999241422424971+0.0424181209874333i</v>
      </c>
      <c r="AA362" s="18">
        <f t="shared" si="327"/>
        <v>1.0001413486492716</v>
      </c>
      <c r="AB362" s="18">
        <f t="shared" si="328"/>
        <v>4.2424851467693224E-2</v>
      </c>
      <c r="AC362" s="68" t="str">
        <f t="shared" si="329"/>
        <v>0.010643573677464-0.178199112997884i</v>
      </c>
      <c r="AD362" s="66">
        <f t="shared" si="330"/>
        <v>-14.96642336005651</v>
      </c>
      <c r="AE362" s="63">
        <f t="shared" si="331"/>
        <v>-86.581867343667795</v>
      </c>
      <c r="AF362" s="51" t="e">
        <f t="shared" si="332"/>
        <v>#NUM!</v>
      </c>
      <c r="AG362" s="51" t="str">
        <f t="shared" si="314"/>
        <v>1-74.1656970918288i</v>
      </c>
      <c r="AH362" s="51">
        <f t="shared" si="333"/>
        <v>74.172438446615075</v>
      </c>
      <c r="AI362" s="51">
        <f t="shared" si="334"/>
        <v>-1.5573138214612301</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-0.000133283554228113</v>
      </c>
      <c r="AT362" s="32" t="str">
        <f t="shared" si="318"/>
        <v>0.0105735562153917i</v>
      </c>
      <c r="AU362" s="32">
        <f t="shared" si="342"/>
        <v>1.0573556215391701E-2</v>
      </c>
      <c r="AV362" s="32">
        <f t="shared" si="343"/>
        <v>1.5707963267948966</v>
      </c>
      <c r="AW362" s="32" t="str">
        <f t="shared" si="319"/>
        <v>1+1.84870793887592i</v>
      </c>
      <c r="AX362" s="32">
        <f t="shared" si="344"/>
        <v>2.1018375396930309</v>
      </c>
      <c r="AY362" s="32">
        <f t="shared" si="345"/>
        <v>1.0749523390501929</v>
      </c>
      <c r="AZ362" s="32" t="str">
        <f t="shared" si="320"/>
        <v>1+27.5502573330045i</v>
      </c>
      <c r="BA362" s="32">
        <f t="shared" si="346"/>
        <v>27.568400010061669</v>
      </c>
      <c r="BB362" s="32">
        <f t="shared" si="347"/>
        <v>1.5345149530839945</v>
      </c>
      <c r="BC362" s="60" t="str">
        <f t="shared" si="348"/>
        <v>-0.0733358792163244+0.148181988888274i</v>
      </c>
      <c r="BD362" s="51">
        <f t="shared" si="349"/>
        <v>-15.632641920048878</v>
      </c>
      <c r="BE362" s="63">
        <f t="shared" si="350"/>
        <v>116.33099820613644</v>
      </c>
      <c r="BF362" s="60" t="str">
        <f t="shared" si="351"/>
        <v>0.0256253431485122+0.0146455745436745i</v>
      </c>
      <c r="BG362" s="66">
        <f t="shared" si="352"/>
        <v>-30.599065280105378</v>
      </c>
      <c r="BH362" s="63">
        <f t="shared" si="353"/>
        <v>29.749130862468711</v>
      </c>
      <c r="BI362" s="60" t="e">
        <f t="shared" si="306"/>
        <v>#NUM!</v>
      </c>
      <c r="BJ362" s="66" t="e">
        <f t="shared" si="354"/>
        <v>#NUM!</v>
      </c>
      <c r="BK362" s="63" t="e">
        <f t="shared" si="307"/>
        <v>#NUM!</v>
      </c>
      <c r="BL362" s="51">
        <f t="shared" si="355"/>
        <v>-30.599065280105378</v>
      </c>
      <c r="BM362" s="63">
        <f t="shared" si="356"/>
        <v>29.749130862468711</v>
      </c>
    </row>
    <row r="363" spans="14:65" x14ac:dyDescent="0.3">
      <c r="N363" s="11">
        <v>45</v>
      </c>
      <c r="O363" s="52">
        <f t="shared" si="308"/>
        <v>28183.829312644593</v>
      </c>
      <c r="P363" s="50" t="str">
        <f t="shared" si="309"/>
        <v>21.1560044893378</v>
      </c>
      <c r="Q363" s="18" t="str">
        <f t="shared" si="310"/>
        <v>1+123.422336710822i</v>
      </c>
      <c r="R363" s="18">
        <f t="shared" si="321"/>
        <v>123.42638777489813</v>
      </c>
      <c r="S363" s="18">
        <f t="shared" si="322"/>
        <v>1.5626942429638875</v>
      </c>
      <c r="T363" s="18" t="str">
        <f t="shared" si="311"/>
        <v>1+0.177084222237266i</v>
      </c>
      <c r="U363" s="18">
        <f t="shared" si="323"/>
        <v>1.0155583792994756</v>
      </c>
      <c r="V363" s="18">
        <f t="shared" si="324"/>
        <v>0.1752672378797136</v>
      </c>
      <c r="W363" s="32" t="str">
        <f t="shared" si="312"/>
        <v>1-0.0795307246615887i</v>
      </c>
      <c r="X363" s="18">
        <f t="shared" si="325"/>
        <v>1.0031575829176578</v>
      </c>
      <c r="Y363" s="18">
        <f t="shared" si="326"/>
        <v>-7.9363677275669731E-2</v>
      </c>
      <c r="Z363" s="32" t="str">
        <f t="shared" si="313"/>
        <v>0.999205671765276+0.0434061659521577i</v>
      </c>
      <c r="AA363" s="18">
        <f t="shared" si="327"/>
        <v>1.0001480239097424</v>
      </c>
      <c r="AB363" s="18">
        <f t="shared" si="328"/>
        <v>4.3413377487527507E-2</v>
      </c>
      <c r="AC363" s="68" t="str">
        <f t="shared" si="329"/>
        <v>0.0105727223322082-0.174276037489899i</v>
      </c>
      <c r="AD363" s="66">
        <f t="shared" si="330"/>
        <v>-15.159291910419393</v>
      </c>
      <c r="AE363" s="63">
        <f t="shared" si="331"/>
        <v>-86.528318832776776</v>
      </c>
      <c r="AF363" s="51" t="e">
        <f t="shared" si="332"/>
        <v>#NUM!</v>
      </c>
      <c r="AG363" s="51" t="str">
        <f t="shared" si="314"/>
        <v>1-75.8932381016855i</v>
      </c>
      <c r="AH363" s="51">
        <f t="shared" si="333"/>
        <v>75.89982601797665</v>
      </c>
      <c r="AI363" s="51">
        <f t="shared" si="334"/>
        <v>-1.5576206848207936</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-0.000133283554228113</v>
      </c>
      <c r="AT363" s="32" t="str">
        <f t="shared" si="318"/>
        <v>0.0108198459786969i</v>
      </c>
      <c r="AU363" s="32">
        <f t="shared" si="342"/>
        <v>1.0819845978696899E-2</v>
      </c>
      <c r="AV363" s="32">
        <f t="shared" si="343"/>
        <v>1.5707963267948966</v>
      </c>
      <c r="AW363" s="32" t="str">
        <f t="shared" si="319"/>
        <v>1+1.89176987862552i</v>
      </c>
      <c r="AX363" s="32">
        <f t="shared" si="344"/>
        <v>2.1398115042392902</v>
      </c>
      <c r="AY363" s="32">
        <f t="shared" si="345"/>
        <v>1.0845270475784743</v>
      </c>
      <c r="AZ363" s="32" t="str">
        <f t="shared" si="320"/>
        <v>1+28.191985264395i</v>
      </c>
      <c r="BA363" s="32">
        <f t="shared" si="346"/>
        <v>28.209715226280906</v>
      </c>
      <c r="BB363" s="32">
        <f t="shared" si="347"/>
        <v>1.5353401179497483</v>
      </c>
      <c r="BC363" s="60" t="str">
        <f t="shared" si="348"/>
        <v>-0.070756078616348+0.146172651853969i</v>
      </c>
      <c r="BD363" s="51">
        <f t="shared" si="349"/>
        <v>-15.788426585036543</v>
      </c>
      <c r="BE363" s="63">
        <f t="shared" si="350"/>
        <v>115.82968628160819</v>
      </c>
      <c r="BF363" s="60" t="str">
        <f t="shared" si="351"/>
        <v>0.0247263061819737+0.0138765318701955i</v>
      </c>
      <c r="BG363" s="66">
        <f t="shared" si="352"/>
        <v>-30.947718495455938</v>
      </c>
      <c r="BH363" s="63">
        <f t="shared" si="353"/>
        <v>29.301367448831527</v>
      </c>
      <c r="BI363" s="60" t="e">
        <f t="shared" si="306"/>
        <v>#NUM!</v>
      </c>
      <c r="BJ363" s="66" t="e">
        <f t="shared" si="354"/>
        <v>#NUM!</v>
      </c>
      <c r="BK363" s="63" t="e">
        <f t="shared" si="307"/>
        <v>#NUM!</v>
      </c>
      <c r="BL363" s="51">
        <f t="shared" si="355"/>
        <v>-30.947718495455938</v>
      </c>
      <c r="BM363" s="63">
        <f t="shared" si="356"/>
        <v>29.301367448831527</v>
      </c>
    </row>
    <row r="364" spans="14:65" x14ac:dyDescent="0.3">
      <c r="N364" s="11">
        <v>46</v>
      </c>
      <c r="O364" s="52">
        <f t="shared" si="308"/>
        <v>28840.315031266062</v>
      </c>
      <c r="P364" s="50" t="str">
        <f t="shared" si="309"/>
        <v>21.1560044893378</v>
      </c>
      <c r="Q364" s="18" t="str">
        <f t="shared" si="310"/>
        <v>1+126.297212247099i</v>
      </c>
      <c r="R364" s="18">
        <f t="shared" si="321"/>
        <v>126.30117110062271</v>
      </c>
      <c r="S364" s="18">
        <f t="shared" si="322"/>
        <v>1.5628786611105616</v>
      </c>
      <c r="T364" s="18" t="str">
        <f t="shared" si="311"/>
        <v>1+0.181209043658881i</v>
      </c>
      <c r="U364" s="18">
        <f t="shared" si="323"/>
        <v>1.0162857459906471</v>
      </c>
      <c r="V364" s="18">
        <f t="shared" si="324"/>
        <v>0.17926379090092892</v>
      </c>
      <c r="W364" s="32" t="str">
        <f t="shared" si="312"/>
        <v>1-0.0813832332172134i</v>
      </c>
      <c r="X364" s="18">
        <f t="shared" si="325"/>
        <v>1.0033061500104978</v>
      </c>
      <c r="Y364" s="18">
        <f t="shared" si="326"/>
        <v>-8.1204270559096153E-2</v>
      </c>
      <c r="Z364" s="32" t="str">
        <f t="shared" si="313"/>
        <v>0.999168236228897+0.0444172254406182i</v>
      </c>
      <c r="AA364" s="18">
        <f t="shared" si="327"/>
        <v>1.0001550150874652</v>
      </c>
      <c r="AB364" s="18">
        <f t="shared" si="328"/>
        <v>4.4424952398709333E-2</v>
      </c>
      <c r="AC364" s="68" t="str">
        <f t="shared" si="329"/>
        <v>0.0105045587397588-0.170445305413033i</v>
      </c>
      <c r="AD364" s="66">
        <f t="shared" si="330"/>
        <v>-15.351834703970979</v>
      </c>
      <c r="AE364" s="63">
        <f t="shared" si="331"/>
        <v>-86.473316793543418</v>
      </c>
      <c r="AF364" s="51" t="e">
        <f t="shared" si="332"/>
        <v>#NUM!</v>
      </c>
      <c r="AG364" s="51" t="str">
        <f t="shared" si="314"/>
        <v>1-77.6610187109491i</v>
      </c>
      <c r="AH364" s="51">
        <f t="shared" si="333"/>
        <v>77.667456680532453</v>
      </c>
      <c r="AI364" s="51">
        <f t="shared" si="334"/>
        <v>-1.5579205655153785</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-0.000133283554228113</v>
      </c>
      <c r="AT364" s="32" t="str">
        <f t="shared" si="318"/>
        <v>0.0110718725675577i</v>
      </c>
      <c r="AU364" s="32">
        <f t="shared" si="342"/>
        <v>1.10718725675577E-2</v>
      </c>
      <c r="AV364" s="32">
        <f t="shared" si="343"/>
        <v>1.5707963267948966</v>
      </c>
      <c r="AW364" s="32" t="str">
        <f t="shared" si="319"/>
        <v>1+1.9358348598053i</v>
      </c>
      <c r="AX364" s="32">
        <f t="shared" si="344"/>
        <v>2.1788658986815603</v>
      </c>
      <c r="AY364" s="32">
        <f t="shared" si="345"/>
        <v>1.0939784016857474</v>
      </c>
      <c r="AZ364" s="32" t="str">
        <f t="shared" si="320"/>
        <v>1+28.8486609595375i</v>
      </c>
      <c r="BA364" s="32">
        <f t="shared" si="346"/>
        <v>28.865987583284639</v>
      </c>
      <c r="BB364" s="32">
        <f t="shared" si="347"/>
        <v>1.536146546448421</v>
      </c>
      <c r="BC364" s="60" t="str">
        <f t="shared" si="348"/>
        <v>-0.0682423208539325+0.144143895438804i</v>
      </c>
      <c r="BD364" s="51">
        <f t="shared" si="349"/>
        <v>-15.94577189073248</v>
      </c>
      <c r="BE364" s="63">
        <f t="shared" si="350"/>
        <v>115.3343685300308</v>
      </c>
      <c r="BF364" s="60" t="str">
        <f t="shared" si="351"/>
        <v>0.0238517948135436+0.0131457512366573i</v>
      </c>
      <c r="BG364" s="66">
        <f t="shared" si="352"/>
        <v>-31.297606594703467</v>
      </c>
      <c r="BH364" s="63">
        <f t="shared" si="353"/>
        <v>28.86105173648745</v>
      </c>
      <c r="BI364" s="60" t="e">
        <f t="shared" si="306"/>
        <v>#NUM!</v>
      </c>
      <c r="BJ364" s="66" t="e">
        <f t="shared" si="354"/>
        <v>#NUM!</v>
      </c>
      <c r="BK364" s="63" t="e">
        <f t="shared" si="307"/>
        <v>#NUM!</v>
      </c>
      <c r="BL364" s="51">
        <f t="shared" si="355"/>
        <v>-31.297606594703467</v>
      </c>
      <c r="BM364" s="63">
        <f t="shared" si="356"/>
        <v>28.86105173648745</v>
      </c>
    </row>
    <row r="365" spans="14:65" x14ac:dyDescent="0.3">
      <c r="N365" s="11">
        <v>47</v>
      </c>
      <c r="O365" s="52">
        <f t="shared" si="308"/>
        <v>29512.092266663854</v>
      </c>
      <c r="P365" s="50" t="str">
        <f t="shared" si="309"/>
        <v>21.1560044893378</v>
      </c>
      <c r="Q365" s="18" t="str">
        <f t="shared" si="310"/>
        <v>1+129.239052237052i</v>
      </c>
      <c r="R365" s="18">
        <f t="shared" si="321"/>
        <v>129.24292097879655</v>
      </c>
      <c r="S365" s="18">
        <f t="shared" si="322"/>
        <v>1.5630588819081268</v>
      </c>
      <c r="T365" s="18" t="str">
        <f t="shared" si="311"/>
        <v>1+0.185429944514031i</v>
      </c>
      <c r="U365" s="18">
        <f t="shared" si="323"/>
        <v>1.0170468348716672</v>
      </c>
      <c r="V365" s="18">
        <f t="shared" si="324"/>
        <v>0.18334745085456702</v>
      </c>
      <c r="W365" s="32" t="str">
        <f t="shared" si="312"/>
        <v>1-0.0832788922403252i</v>
      </c>
      <c r="X365" s="18">
        <f t="shared" si="325"/>
        <v>1.0034616952792845</v>
      </c>
      <c r="Y365" s="18">
        <f t="shared" si="326"/>
        <v>-8.3087166007707436E-2</v>
      </c>
      <c r="Z365" s="32" t="str">
        <f t="shared" si="313"/>
        <v>0.999129036410044+0.0454518355299392i</v>
      </c>
      <c r="AA365" s="18">
        <f t="shared" si="327"/>
        <v>1.0001623371986688</v>
      </c>
      <c r="AB365" s="18">
        <f t="shared" si="328"/>
        <v>4.5460114731781492E-2</v>
      </c>
      <c r="AC365" s="68" t="str">
        <f t="shared" si="329"/>
        <v>0.0104389383855406-0.166704887965867i</v>
      </c>
      <c r="AD365" s="66">
        <f t="shared" si="330"/>
        <v>-15.544037182937377</v>
      </c>
      <c r="AE365" s="63">
        <f t="shared" si="331"/>
        <v>-86.416858599580081</v>
      </c>
      <c r="AF365" s="51" t="e">
        <f t="shared" si="332"/>
        <v>#NUM!</v>
      </c>
      <c r="AG365" s="51" t="str">
        <f t="shared" si="314"/>
        <v>1-79.4699762202991i</v>
      </c>
      <c r="AH365" s="51">
        <f t="shared" si="333"/>
        <v>79.476267655539189</v>
      </c>
      <c r="AI365" s="51">
        <f t="shared" si="334"/>
        <v>-1.558213622329832</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-0.000133283554228113</v>
      </c>
      <c r="AT365" s="32" t="str">
        <f t="shared" si="318"/>
        <v>0.0113297696098073i</v>
      </c>
      <c r="AU365" s="32">
        <f t="shared" si="342"/>
        <v>1.13297696098073E-2</v>
      </c>
      <c r="AV365" s="32">
        <f t="shared" si="343"/>
        <v>1.5707963267948966</v>
      </c>
      <c r="AW365" s="32" t="str">
        <f t="shared" si="319"/>
        <v>1+1.98092624625157i</v>
      </c>
      <c r="AX365" s="32">
        <f t="shared" si="344"/>
        <v>2.2190242885305098</v>
      </c>
      <c r="AY365" s="32">
        <f t="shared" si="345"/>
        <v>1.1033046575711232</v>
      </c>
      <c r="AZ365" s="32" t="str">
        <f t="shared" si="320"/>
        <v>1+29.5206325965782i</v>
      </c>
      <c r="BA365" s="32">
        <f t="shared" si="346"/>
        <v>29.537565046939047</v>
      </c>
      <c r="BB365" s="32">
        <f t="shared" si="347"/>
        <v>1.5369346619611433</v>
      </c>
      <c r="BC365" s="60" t="str">
        <f t="shared" si="348"/>
        <v>-0.065794665032887+0.142098391584371i</v>
      </c>
      <c r="BD365" s="51">
        <f t="shared" si="349"/>
        <v>-16.104637560602278</v>
      </c>
      <c r="BE365" s="63">
        <f t="shared" si="350"/>
        <v>114.84516912178745</v>
      </c>
      <c r="BF365" s="60" t="str">
        <f t="shared" si="351"/>
        <v>0.0230016699948269+0.0124516486174928i</v>
      </c>
      <c r="BG365" s="66">
        <f t="shared" si="352"/>
        <v>-31.648674743539654</v>
      </c>
      <c r="BH365" s="63">
        <f t="shared" si="353"/>
        <v>28.42831052220728</v>
      </c>
      <c r="BI365" s="60" t="e">
        <f t="shared" si="306"/>
        <v>#NUM!</v>
      </c>
      <c r="BJ365" s="66" t="e">
        <f t="shared" si="354"/>
        <v>#NUM!</v>
      </c>
      <c r="BK365" s="63" t="e">
        <f t="shared" si="307"/>
        <v>#NUM!</v>
      </c>
      <c r="BL365" s="51">
        <f t="shared" si="355"/>
        <v>-31.648674743539654</v>
      </c>
      <c r="BM365" s="63">
        <f t="shared" si="356"/>
        <v>28.42831052220728</v>
      </c>
    </row>
    <row r="366" spans="14:65" x14ac:dyDescent="0.3">
      <c r="N366" s="11">
        <v>48</v>
      </c>
      <c r="O366" s="52">
        <f t="shared" si="308"/>
        <v>30199.517204020212</v>
      </c>
      <c r="P366" s="50" t="str">
        <f t="shared" si="309"/>
        <v>21.1560044893378</v>
      </c>
      <c r="Q366" s="18" t="str">
        <f t="shared" si="310"/>
        <v>1+132.249416483182i</v>
      </c>
      <c r="R366" s="18">
        <f t="shared" si="321"/>
        <v>132.25319716415979</v>
      </c>
      <c r="S366" s="18">
        <f t="shared" si="322"/>
        <v>1.5632350008651807</v>
      </c>
      <c r="T366" s="18" t="str">
        <f t="shared" si="311"/>
        <v>1+0.189749162780217i</v>
      </c>
      <c r="U366" s="18">
        <f t="shared" si="323"/>
        <v>1.0178431828016501</v>
      </c>
      <c r="V366" s="18">
        <f t="shared" si="324"/>
        <v>0.18751983788165191</v>
      </c>
      <c r="W366" s="32" t="str">
        <f t="shared" si="312"/>
        <v>1-0.0852187068344289i</v>
      </c>
      <c r="X366" s="18">
        <f t="shared" si="325"/>
        <v>1.0036245453328312</v>
      </c>
      <c r="Y366" s="18">
        <f t="shared" si="326"/>
        <v>-8.5013308524496747E-2</v>
      </c>
      <c r="Z366" s="32" t="str">
        <f t="shared" si="313"/>
        <v>0.999087989160644+0.0465105447840842i</v>
      </c>
      <c r="AA366" s="18">
        <f t="shared" si="327"/>
        <v>1.0001700059795693</v>
      </c>
      <c r="AB366" s="18">
        <f t="shared" si="328"/>
        <v>4.6519415679040083E-2</v>
      </c>
      <c r="AC366" s="68" t="str">
        <f t="shared" si="329"/>
        <v>0.0103757221468291-0.163052803957378i</v>
      </c>
      <c r="AD366" s="66">
        <f t="shared" si="330"/>
        <v>-15.735884184057703</v>
      </c>
      <c r="AE366" s="63">
        <f t="shared" si="331"/>
        <v>-86.358942615829292</v>
      </c>
      <c r="AF366" s="51" t="e">
        <f t="shared" si="332"/>
        <v>#NUM!</v>
      </c>
      <c r="AG366" s="51" t="str">
        <f t="shared" si="314"/>
        <v>1-81.3210697629503i</v>
      </c>
      <c r="AH366" s="51">
        <f t="shared" si="333"/>
        <v>81.327217998592758</v>
      </c>
      <c r="AI366" s="51">
        <f t="shared" si="334"/>
        <v>-1.5585000104452935</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-0.000133283554228113</v>
      </c>
      <c r="AT366" s="32" t="str">
        <f t="shared" si="318"/>
        <v>0.0115936738458713i</v>
      </c>
      <c r="AU366" s="32">
        <f t="shared" si="342"/>
        <v>1.1593673845871301E-2</v>
      </c>
      <c r="AV366" s="32">
        <f t="shared" si="343"/>
        <v>1.5707963267948966</v>
      </c>
      <c r="AW366" s="32" t="str">
        <f t="shared" si="319"/>
        <v>1+2.02706794601425i</v>
      </c>
      <c r="AX366" s="32">
        <f t="shared" si="344"/>
        <v>2.2603106993859119</v>
      </c>
      <c r="AY366" s="32">
        <f t="shared" si="345"/>
        <v>1.1125042697232366</v>
      </c>
      <c r="AZ366" s="32" t="str">
        <f t="shared" si="320"/>
        <v>1+30.2082564637733i</v>
      </c>
      <c r="BA366" s="32">
        <f t="shared" si="346"/>
        <v>30.22480369797464</v>
      </c>
      <c r="BB366" s="32">
        <f t="shared" si="347"/>
        <v>1.537704878438801</v>
      </c>
      <c r="BC366" s="60" t="str">
        <f t="shared" si="348"/>
        <v>-0.0634130307614339+0.140038753150443i</v>
      </c>
      <c r="BD366" s="51">
        <f t="shared" si="349"/>
        <v>-16.264983301813373</v>
      </c>
      <c r="BE366" s="63">
        <f t="shared" si="350"/>
        <v>114.36220032579538</v>
      </c>
      <c r="BF366" s="60" t="str">
        <f t="shared" si="351"/>
        <v>0.0221757553762059+0.0117926756655646i</v>
      </c>
      <c r="BG366" s="66">
        <f t="shared" si="352"/>
        <v>-32.000867485871069</v>
      </c>
      <c r="BH366" s="63">
        <f t="shared" si="353"/>
        <v>28.003257709965968</v>
      </c>
      <c r="BI366" s="60" t="e">
        <f t="shared" si="306"/>
        <v>#NUM!</v>
      </c>
      <c r="BJ366" s="66" t="e">
        <f t="shared" si="354"/>
        <v>#NUM!</v>
      </c>
      <c r="BK366" s="63" t="e">
        <f t="shared" si="307"/>
        <v>#NUM!</v>
      </c>
      <c r="BL366" s="51">
        <f t="shared" si="355"/>
        <v>-32.000867485871069</v>
      </c>
      <c r="BM366" s="63">
        <f t="shared" si="356"/>
        <v>28.003257709965968</v>
      </c>
    </row>
    <row r="367" spans="14:65" x14ac:dyDescent="0.3">
      <c r="N367" s="11">
        <v>49</v>
      </c>
      <c r="O367" s="52">
        <f t="shared" si="308"/>
        <v>30902.954325135954</v>
      </c>
      <c r="P367" s="50" t="str">
        <f t="shared" si="309"/>
        <v>21.1560044893378</v>
      </c>
      <c r="Q367" s="18" t="str">
        <f t="shared" si="310"/>
        <v>1+135.329901120459i</v>
      </c>
      <c r="R367" s="18">
        <f t="shared" si="321"/>
        <v>135.33359574500787</v>
      </c>
      <c r="S367" s="18">
        <f t="shared" si="322"/>
        <v>1.5634071113185977</v>
      </c>
      <c r="T367" s="18" t="str">
        <f t="shared" si="311"/>
        <v>1+0.194168988564136i</v>
      </c>
      <c r="U367" s="18">
        <f t="shared" si="323"/>
        <v>1.0186763942096722</v>
      </c>
      <c r="V367" s="18">
        <f t="shared" si="324"/>
        <v>0.19178258286333849</v>
      </c>
      <c r="W367" s="32" t="str">
        <f t="shared" si="312"/>
        <v>1-0.087203705514899i</v>
      </c>
      <c r="X367" s="18">
        <f t="shared" si="325"/>
        <v>1.0037950419560404</v>
      </c>
      <c r="Y367" s="18">
        <f t="shared" si="326"/>
        <v>-8.6983662175645293E-2</v>
      </c>
      <c r="Z367" s="32" t="str">
        <f t="shared" si="313"/>
        <v>0.999045007413979+0.0475939145447135i</v>
      </c>
      <c r="AA367" s="18">
        <f t="shared" si="327"/>
        <v>1.0001780379214926</v>
      </c>
      <c r="AB367" s="18">
        <f t="shared" si="328"/>
        <v>4.760341939783419E-2</v>
      </c>
      <c r="AC367" s="68" t="str">
        <f t="shared" si="329"/>
        <v>0.0103147759982231-0.159487118766141i</v>
      </c>
      <c r="AD367" s="66">
        <f t="shared" si="330"/>
        <v>-15.927359916911708</v>
      </c>
      <c r="AE367" s="63">
        <f t="shared" si="331"/>
        <v>-86.299568308251352</v>
      </c>
      <c r="AF367" s="51" t="e">
        <f t="shared" si="332"/>
        <v>#NUM!</v>
      </c>
      <c r="AG367" s="51" t="str">
        <f t="shared" si="314"/>
        <v>1-83.2152808132013i</v>
      </c>
      <c r="AH367" s="51">
        <f t="shared" si="333"/>
        <v>83.221289108135963</v>
      </c>
      <c r="AI367" s="51">
        <f t="shared" si="334"/>
        <v>-1.5587798815205127</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-0.000133283554228113</v>
      </c>
      <c r="AT367" s="32" t="str">
        <f t="shared" si="318"/>
        <v>0.0118637252012687i</v>
      </c>
      <c r="AU367" s="32">
        <f t="shared" si="342"/>
        <v>1.18637252012687E-2</v>
      </c>
      <c r="AV367" s="32">
        <f t="shared" si="343"/>
        <v>1.5707963267948966</v>
      </c>
      <c r="AW367" s="32" t="str">
        <f t="shared" si="319"/>
        <v>1+2.07428442403332i</v>
      </c>
      <c r="AX367" s="32">
        <f t="shared" si="344"/>
        <v>2.3027496328926516</v>
      </c>
      <c r="AY367" s="32">
        <f t="shared" si="345"/>
        <v>1.121575886240596</v>
      </c>
      <c r="AZ367" s="32" t="str">
        <f t="shared" si="320"/>
        <v>1+30.911897148399i</v>
      </c>
      <c r="BA367" s="32">
        <f t="shared" si="346"/>
        <v>30.928067920793211</v>
      </c>
      <c r="BB367" s="32">
        <f t="shared" si="347"/>
        <v>1.5384576006029316</v>
      </c>
      <c r="BC367" s="60" t="str">
        <f t="shared" si="348"/>
        <v>-0.0610972057537924+0.137967527212224i</v>
      </c>
      <c r="BD367" s="51">
        <f t="shared" si="349"/>
        <v>-16.426768890052635</v>
      </c>
      <c r="BE367" s="63">
        <f t="shared" si="350"/>
        <v>113.88556278914011</v>
      </c>
      <c r="BF367" s="60" t="str">
        <f t="shared" si="351"/>
        <v>0.021373839406899+0.0111673214485573i</v>
      </c>
      <c r="BG367" s="66">
        <f t="shared" si="352"/>
        <v>-32.354128806964354</v>
      </c>
      <c r="BH367" s="63">
        <f t="shared" si="353"/>
        <v>27.58599448088885</v>
      </c>
      <c r="BI367" s="60" t="e">
        <f t="shared" si="306"/>
        <v>#NUM!</v>
      </c>
      <c r="BJ367" s="66" t="e">
        <f t="shared" si="354"/>
        <v>#NUM!</v>
      </c>
      <c r="BK367" s="63" t="e">
        <f t="shared" si="307"/>
        <v>#NUM!</v>
      </c>
      <c r="BL367" s="51">
        <f t="shared" si="355"/>
        <v>-32.354128806964354</v>
      </c>
      <c r="BM367" s="63">
        <f t="shared" si="356"/>
        <v>27.58599448088885</v>
      </c>
    </row>
    <row r="368" spans="14:65" x14ac:dyDescent="0.3">
      <c r="N368" s="11">
        <v>50</v>
      </c>
      <c r="O368" s="52">
        <f t="shared" si="308"/>
        <v>31622.77660168384</v>
      </c>
      <c r="P368" s="50" t="str">
        <f t="shared" si="309"/>
        <v>21.1560044893378</v>
      </c>
      <c r="Q368" s="18" t="str">
        <f t="shared" si="310"/>
        <v>1+138.482139462613i</v>
      </c>
      <c r="R368" s="18">
        <f t="shared" si="321"/>
        <v>138.48574998945776</v>
      </c>
      <c r="S368" s="18">
        <f t="shared" si="322"/>
        <v>1.5635753044828089</v>
      </c>
      <c r="T368" s="18" t="str">
        <f t="shared" si="311"/>
        <v>1+0.198691765315922i</v>
      </c>
      <c r="U368" s="18">
        <f t="shared" si="323"/>
        <v>1.0195481438384151</v>
      </c>
      <c r="V368" s="18">
        <f t="shared" si="324"/>
        <v>0.19613732599725292</v>
      </c>
      <c r="W368" s="32" t="str">
        <f t="shared" si="312"/>
        <v>1-0.0892349407543106i</v>
      </c>
      <c r="X368" s="18">
        <f t="shared" si="325"/>
        <v>1.0039735428045031</v>
      </c>
      <c r="Y368" s="18">
        <f t="shared" si="326"/>
        <v>-8.8999210438841958E-2</v>
      </c>
      <c r="Z368" s="32" t="str">
        <f t="shared" si="313"/>
        <v>0.999+0.0487025192288144i</v>
      </c>
      <c r="AA368" s="18">
        <f t="shared" si="327"/>
        <v>1.000186450307758</v>
      </c>
      <c r="AB368" s="18">
        <f t="shared" si="328"/>
        <v>4.8712703321520293E-2</v>
      </c>
      <c r="AC368" s="68" t="str">
        <f t="shared" si="329"/>
        <v>0.0102559707279094-0.156005943322955i</v>
      </c>
      <c r="AD368" s="66">
        <f t="shared" si="330"/>
        <v>-16.118447941826449</v>
      </c>
      <c r="AE368" s="63">
        <f t="shared" si="331"/>
        <v>-86.238736360261768</v>
      </c>
      <c r="AF368" s="51" t="e">
        <f t="shared" si="332"/>
        <v>#NUM!</v>
      </c>
      <c r="AG368" s="51" t="str">
        <f t="shared" si="314"/>
        <v>1-85.1536137068238i</v>
      </c>
      <c r="AH368" s="51">
        <f t="shared" si="333"/>
        <v>85.159485245807886</v>
      </c>
      <c r="AI368" s="51">
        <f t="shared" si="334"/>
        <v>-1.559053383771364</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-0.000133283554228113</v>
      </c>
      <c r="AT368" s="32" t="str">
        <f t="shared" si="318"/>
        <v>0.0121400668608029i</v>
      </c>
      <c r="AU368" s="32">
        <f t="shared" si="342"/>
        <v>1.2140066860802899E-2</v>
      </c>
      <c r="AV368" s="32">
        <f t="shared" si="343"/>
        <v>1.5707963267948966</v>
      </c>
      <c r="AW368" s="32" t="str">
        <f t="shared" si="319"/>
        <v>1+2.12260071511042i</v>
      </c>
      <c r="AX368" s="32">
        <f t="shared" si="344"/>
        <v>2.3463660830712811</v>
      </c>
      <c r="AY368" s="32">
        <f t="shared" si="345"/>
        <v>1.1305183437085278</v>
      </c>
      <c r="AZ368" s="32" t="str">
        <f t="shared" si="320"/>
        <v>1+31.6319277300601i</v>
      </c>
      <c r="BA368" s="32">
        <f t="shared" si="346"/>
        <v>31.647730596675412</v>
      </c>
      <c r="BB368" s="32">
        <f t="shared" si="347"/>
        <v>1.5391932241429565</v>
      </c>
      <c r="BC368" s="60" t="str">
        <f t="shared" si="348"/>
        <v>-0.0588468536463095+0.135887189132124i</v>
      </c>
      <c r="BD368" s="51">
        <f t="shared" si="349"/>
        <v>-16.589954249536433</v>
      </c>
      <c r="BE368" s="63">
        <f t="shared" si="350"/>
        <v>113.41534584190627</v>
      </c>
      <c r="BF368" s="60" t="str">
        <f t="shared" si="351"/>
        <v>0.0205956775176357+0.0105741139487173i</v>
      </c>
      <c r="BG368" s="66">
        <f t="shared" si="352"/>
        <v>-32.708402191362879</v>
      </c>
      <c r="BH368" s="63">
        <f t="shared" si="353"/>
        <v>27.176609481644409</v>
      </c>
      <c r="BI368" s="60" t="e">
        <f t="shared" si="306"/>
        <v>#NUM!</v>
      </c>
      <c r="BJ368" s="66" t="e">
        <f t="shared" si="354"/>
        <v>#NUM!</v>
      </c>
      <c r="BK368" s="63" t="e">
        <f t="shared" si="307"/>
        <v>#NUM!</v>
      </c>
      <c r="BL368" s="51">
        <f t="shared" si="355"/>
        <v>-32.708402191362879</v>
      </c>
      <c r="BM368" s="63">
        <f t="shared" si="356"/>
        <v>27.176609481644409</v>
      </c>
    </row>
    <row r="369" spans="14:65" x14ac:dyDescent="0.3">
      <c r="N369" s="11">
        <v>51</v>
      </c>
      <c r="O369" s="52">
        <f t="shared" si="308"/>
        <v>32359.365692962871</v>
      </c>
      <c r="P369" s="50" t="str">
        <f t="shared" si="309"/>
        <v>21.1560044893378</v>
      </c>
      <c r="Q369" s="18" t="str">
        <f t="shared" si="310"/>
        <v>1+141.707802868137i</v>
      </c>
      <c r="R369" s="18">
        <f t="shared" si="321"/>
        <v>141.71133121142705</v>
      </c>
      <c r="S369" s="18">
        <f t="shared" si="322"/>
        <v>1.5637396694979704</v>
      </c>
      <c r="T369" s="18" t="str">
        <f t="shared" si="311"/>
        <v>1+0.203319891071675i</v>
      </c>
      <c r="U369" s="18">
        <f t="shared" si="323"/>
        <v>1.0204601795785067</v>
      </c>
      <c r="V369" s="18">
        <f t="shared" si="324"/>
        <v>0.2005857152495954</v>
      </c>
      <c r="W369" s="32" t="str">
        <f t="shared" si="312"/>
        <v>1-0.0913134895404742i</v>
      </c>
      <c r="X369" s="18">
        <f t="shared" si="325"/>
        <v>1.0041604221298799</v>
      </c>
      <c r="Y369" s="18">
        <f t="shared" si="326"/>
        <v>-9.1060956443886967E-2</v>
      </c>
      <c r="Z369" s="32" t="str">
        <f t="shared" si="313"/>
        <v>0.998952871451949+0.0498369466332644i</v>
      </c>
      <c r="AA369" s="18">
        <f t="shared" si="327"/>
        <v>1.0001952612524321</v>
      </c>
      <c r="AB369" s="18">
        <f t="shared" si="328"/>
        <v>4.9847858478292754E-2</v>
      </c>
      <c r="AC369" s="68" t="str">
        <f t="shared" si="329"/>
        <v>0.0101991816641266-0.15260743311639i</v>
      </c>
      <c r="AD369" s="66">
        <f t="shared" si="330"/>
        <v>-16.309131147389071</v>
      </c>
      <c r="AE369" s="63">
        <f t="shared" si="331"/>
        <v>-86.176448796232123</v>
      </c>
      <c r="AF369" s="51" t="e">
        <f t="shared" si="332"/>
        <v>#NUM!</v>
      </c>
      <c r="AG369" s="51" t="str">
        <f t="shared" si="314"/>
        <v>1-87.1370961735751i</v>
      </c>
      <c r="AH369" s="51">
        <f t="shared" si="333"/>
        <v>87.142834068917438</v>
      </c>
      <c r="AI369" s="51">
        <f t="shared" si="334"/>
        <v>-1.5593206620485955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-0.000133283554228113</v>
      </c>
      <c r="AT369" s="32" t="str">
        <f t="shared" si="318"/>
        <v>0.0124228453444794i</v>
      </c>
      <c r="AU369" s="32">
        <f t="shared" si="342"/>
        <v>1.24228453444794E-2</v>
      </c>
      <c r="AV369" s="32">
        <f t="shared" si="343"/>
        <v>1.5707963267948966</v>
      </c>
      <c r="AW369" s="32" t="str">
        <f t="shared" si="319"/>
        <v>1+2.1720424371826i</v>
      </c>
      <c r="AX369" s="32">
        <f t="shared" si="344"/>
        <v>2.3911855530096635</v>
      </c>
      <c r="AY369" s="32">
        <f t="shared" si="345"/>
        <v>1.1393306616872094</v>
      </c>
      <c r="AZ369" s="32" t="str">
        <f t="shared" si="320"/>
        <v>1+32.3687299785017i</v>
      </c>
      <c r="BA369" s="32">
        <f t="shared" si="346"/>
        <v>32.384173301493348</v>
      </c>
      <c r="BB369" s="32">
        <f t="shared" si="347"/>
        <v>1.5399121359097785</v>
      </c>
      <c r="BC369" s="60" t="str">
        <f t="shared" si="348"/>
        <v>-0.056661521955714+0.13380013739223i</v>
      </c>
      <c r="BD369" s="51">
        <f t="shared" si="349"/>
        <v>-16.754499528102752</v>
      </c>
      <c r="BE369" s="63">
        <f t="shared" si="350"/>
        <v>112.95162782408168</v>
      </c>
      <c r="BF369" s="60" t="str">
        <f t="shared" si="351"/>
        <v>0.0198409943622563+0.0100116213300779i</v>
      </c>
      <c r="BG369" s="66">
        <f t="shared" si="352"/>
        <v>-33.063630675491837</v>
      </c>
      <c r="BH369" s="63">
        <f t="shared" si="353"/>
        <v>26.775179027849489</v>
      </c>
      <c r="BI369" s="60" t="e">
        <f t="shared" si="306"/>
        <v>#NUM!</v>
      </c>
      <c r="BJ369" s="66" t="e">
        <f t="shared" si="354"/>
        <v>#NUM!</v>
      </c>
      <c r="BK369" s="63" t="e">
        <f t="shared" si="307"/>
        <v>#NUM!</v>
      </c>
      <c r="BL369" s="51">
        <f t="shared" si="355"/>
        <v>-33.063630675491837</v>
      </c>
      <c r="BM369" s="63">
        <f t="shared" si="356"/>
        <v>26.775179027849489</v>
      </c>
    </row>
    <row r="370" spans="14:65" x14ac:dyDescent="0.3">
      <c r="N370" s="11">
        <v>52</v>
      </c>
      <c r="O370" s="52">
        <f t="shared" si="308"/>
        <v>33113.11214825909</v>
      </c>
      <c r="P370" s="50" t="str">
        <f t="shared" si="309"/>
        <v>21.1560044893378</v>
      </c>
      <c r="Q370" s="18" t="str">
        <f t="shared" si="310"/>
        <v>1+145.008601626467i</v>
      </c>
      <c r="R370" s="18">
        <f t="shared" si="321"/>
        <v>145.01204965679028</v>
      </c>
      <c r="S370" s="18">
        <f t="shared" si="322"/>
        <v>1.5639002934770447</v>
      </c>
      <c r="T370" s="18" t="str">
        <f t="shared" si="311"/>
        <v>1+0.208055819724931i</v>
      </c>
      <c r="U370" s="18">
        <f t="shared" si="323"/>
        <v>1.0214143253946526</v>
      </c>
      <c r="V370" s="18">
        <f t="shared" si="324"/>
        <v>0.20512940467664134</v>
      </c>
      <c r="W370" s="32" t="str">
        <f t="shared" si="312"/>
        <v>1-0.093440453947469i</v>
      </c>
      <c r="X370" s="18">
        <f t="shared" si="325"/>
        <v>1.0043560715373354</v>
      </c>
      <c r="Y370" s="18">
        <f t="shared" si="326"/>
        <v>-9.3169923204511118E-2</v>
      </c>
      <c r="Z370" s="32" t="str">
        <f t="shared" si="313"/>
        <v>0.998903521803857+0.0509977982464893i</v>
      </c>
      <c r="AA370" s="18">
        <f t="shared" si="327"/>
        <v>1.000204489741042</v>
      </c>
      <c r="AB370" s="18">
        <f t="shared" si="328"/>
        <v>5.1009489818119758E-2</v>
      </c>
      <c r="AC370" s="68" t="str">
        <f t="shared" si="329"/>
        <v>0.0101442884112489-0.149289787220757i</v>
      </c>
      <c r="AD370" s="66">
        <f t="shared" si="330"/>
        <v>-16.499391727597402</v>
      </c>
      <c r="AE370" s="63">
        <f t="shared" si="331"/>
        <v>-86.112709112373082</v>
      </c>
      <c r="AF370" s="51" t="e">
        <f t="shared" si="332"/>
        <v>#NUM!</v>
      </c>
      <c r="AG370" s="51" t="str">
        <f t="shared" si="314"/>
        <v>1-89.1667798821134i</v>
      </c>
      <c r="AH370" s="51">
        <f t="shared" si="333"/>
        <v>89.172387175320495</v>
      </c>
      <c r="AI370" s="51">
        <f t="shared" si="334"/>
        <v>-1.5595818579138501</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-0.000133283554228113</v>
      </c>
      <c r="AT370" s="32" t="str">
        <f t="shared" si="318"/>
        <v>0.0127122105851933i</v>
      </c>
      <c r="AU370" s="32">
        <f t="shared" si="342"/>
        <v>1.27122105851933E-2</v>
      </c>
      <c r="AV370" s="32">
        <f t="shared" si="343"/>
        <v>1.5707963267948966</v>
      </c>
      <c r="AW370" s="32" t="str">
        <f t="shared" si="319"/>
        <v>1+2.22263580490537i</v>
      </c>
      <c r="AX370" s="32">
        <f t="shared" si="344"/>
        <v>2.4372340719035055</v>
      </c>
      <c r="AY370" s="32">
        <f t="shared" si="345"/>
        <v>1.1480120368640805</v>
      </c>
      <c r="AZ370" s="32" t="str">
        <f t="shared" si="320"/>
        <v>1+33.1226945560287i</v>
      </c>
      <c r="BA370" s="32">
        <f t="shared" si="346"/>
        <v>33.137786508032988</v>
      </c>
      <c r="BB370" s="32">
        <f t="shared" si="347"/>
        <v>1.5406147141057676</v>
      </c>
      <c r="BC370" s="60" t="str">
        <f t="shared" si="348"/>
        <v>-0.0545406501117589+0.131708689167457i</v>
      </c>
      <c r="BD370" s="51">
        <f t="shared" si="349"/>
        <v>-16.92036516732378</v>
      </c>
      <c r="BE370" s="63">
        <f t="shared" si="350"/>
        <v>112.49447643148547</v>
      </c>
      <c r="BF370" s="60" t="str">
        <f t="shared" si="351"/>
        <v>0.0191094860960638+0.00947845297924846i</v>
      </c>
      <c r="BG370" s="66">
        <f t="shared" si="352"/>
        <v>-33.419756894921171</v>
      </c>
      <c r="BH370" s="63">
        <f t="shared" si="353"/>
        <v>26.381767319112356</v>
      </c>
      <c r="BI370" s="60" t="e">
        <f t="shared" ref="BI370:BI433" si="357">IMPRODUCT(AP370,BC370)</f>
        <v>#NUM!</v>
      </c>
      <c r="BJ370" s="66" t="e">
        <f t="shared" si="354"/>
        <v>#NUM!</v>
      </c>
      <c r="BK370" s="63" t="e">
        <f t="shared" ref="BK370:BK433" si="358">(180/PI())*IMARGUMENT(BI370)</f>
        <v>#NUM!</v>
      </c>
      <c r="BL370" s="51">
        <f t="shared" si="355"/>
        <v>-33.419756894921171</v>
      </c>
      <c r="BM370" s="63">
        <f t="shared" si="356"/>
        <v>26.381767319112356</v>
      </c>
    </row>
    <row r="371" spans="14:65" x14ac:dyDescent="0.3">
      <c r="N371" s="11">
        <v>53</v>
      </c>
      <c r="O371" s="52">
        <f t="shared" si="308"/>
        <v>33884.41561392029</v>
      </c>
      <c r="P371" s="50" t="str">
        <f t="shared" si="309"/>
        <v>21.1560044893378</v>
      </c>
      <c r="Q371" s="18" t="str">
        <f t="shared" si="310"/>
        <v>1+148.386285864796i</v>
      </c>
      <c r="R371" s="18">
        <f t="shared" si="321"/>
        <v>148.38965541016989</v>
      </c>
      <c r="S371" s="18">
        <f t="shared" si="322"/>
        <v>1.5640572615518198</v>
      </c>
      <c r="T371" s="18" t="str">
        <f t="shared" si="311"/>
        <v>1+0.212902062327751i</v>
      </c>
      <c r="U371" s="18">
        <f t="shared" si="323"/>
        <v>1.0224124843444595</v>
      </c>
      <c r="V371" s="18">
        <f t="shared" si="324"/>
        <v>0.20977005260919301</v>
      </c>
      <c r="W371" s="32" t="str">
        <f t="shared" si="312"/>
        <v>1-0.0956169617199781i</v>
      </c>
      <c r="X371" s="18">
        <f t="shared" si="325"/>
        <v>1.0045609007763341</v>
      </c>
      <c r="Y371" s="18">
        <f t="shared" si="326"/>
        <v>-9.5327153840266243E-2</v>
      </c>
      <c r="Z371" s="32" t="str">
        <f t="shared" si="313"/>
        <v>0.998851846378503+0.0521856895673805i</v>
      </c>
      <c r="AA371" s="18">
        <f t="shared" si="327"/>
        <v>1.0002141556733577</v>
      </c>
      <c r="AB371" s="18">
        <f t="shared" si="328"/>
        <v>5.2198216548019247E-2</v>
      </c>
      <c r="AC371" s="68" t="str">
        <f t="shared" si="329"/>
        <v>0.0100911745949384-0.146051247346035i</v>
      </c>
      <c r="AD371" s="66">
        <f t="shared" si="330"/>
        <v>-16.689211158683133</v>
      </c>
      <c r="AE371" s="63">
        <f t="shared" si="331"/>
        <v>-86.047522415317388</v>
      </c>
      <c r="AF371" s="51" t="e">
        <f t="shared" si="332"/>
        <v>#NUM!</v>
      </c>
      <c r="AG371" s="51" t="str">
        <f t="shared" si="314"/>
        <v>1-91.2437409976077i</v>
      </c>
      <c r="AH371" s="51">
        <f t="shared" si="333"/>
        <v>91.249220660992592</v>
      </c>
      <c r="AI371" s="51">
        <f t="shared" si="334"/>
        <v>-1.559837109713994</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-0.000133283554228113</v>
      </c>
      <c r="AT371" s="32" t="str">
        <f t="shared" si="318"/>
        <v>0.0130083160082256i</v>
      </c>
      <c r="AU371" s="32">
        <f t="shared" si="342"/>
        <v>1.30083160082256E-2</v>
      </c>
      <c r="AV371" s="32">
        <f t="shared" si="343"/>
        <v>1.5707963267948966</v>
      </c>
      <c r="AW371" s="32" t="str">
        <f t="shared" si="319"/>
        <v>1+2.27440764355197i</v>
      </c>
      <c r="AX371" s="32">
        <f t="shared" si="344"/>
        <v>2.4845382124345816</v>
      </c>
      <c r="AY371" s="32">
        <f t="shared" si="345"/>
        <v>1.1565618369222366</v>
      </c>
      <c r="AZ371" s="32" t="str">
        <f t="shared" si="320"/>
        <v>1+33.8942212246403i</v>
      </c>
      <c r="BA371" s="32">
        <f t="shared" si="346"/>
        <v>33.908969793033478</v>
      </c>
      <c r="BB371" s="32">
        <f t="shared" si="347"/>
        <v>1.5413013284711643</v>
      </c>
      <c r="BC371" s="60" t="str">
        <f t="shared" si="348"/>
        <v>-0.0524835775016496+0.129615076614174i</v>
      </c>
      <c r="BD371" s="51">
        <f t="shared" si="349"/>
        <v>-17.08751196761192</v>
      </c>
      <c r="BE371" s="63">
        <f t="shared" si="350"/>
        <v>112.04394907776266</v>
      </c>
      <c r="BF371" s="60" t="str">
        <f t="shared" si="351"/>
        <v>0.0184008226704159+0.00897326032754817i</v>
      </c>
      <c r="BG371" s="66">
        <f t="shared" si="352"/>
        <v>-33.776723126295046</v>
      </c>
      <c r="BH371" s="63">
        <f t="shared" si="353"/>
        <v>25.996426662445248</v>
      </c>
      <c r="BI371" s="60" t="e">
        <f t="shared" si="357"/>
        <v>#NUM!</v>
      </c>
      <c r="BJ371" s="66" t="e">
        <f t="shared" si="354"/>
        <v>#NUM!</v>
      </c>
      <c r="BK371" s="63" t="e">
        <f t="shared" si="358"/>
        <v>#NUM!</v>
      </c>
      <c r="BL371" s="51">
        <f t="shared" si="355"/>
        <v>-33.776723126295046</v>
      </c>
      <c r="BM371" s="63">
        <f t="shared" si="356"/>
        <v>25.996426662445248</v>
      </c>
    </row>
    <row r="372" spans="14:65" x14ac:dyDescent="0.3">
      <c r="N372" s="11">
        <v>54</v>
      </c>
      <c r="O372" s="52">
        <f t="shared" si="308"/>
        <v>34673.685045253202</v>
      </c>
      <c r="P372" s="50" t="str">
        <f t="shared" si="309"/>
        <v>21.1560044893378</v>
      </c>
      <c r="Q372" s="18" t="str">
        <f t="shared" si="310"/>
        <v>1+151.842646476014i</v>
      </c>
      <c r="R372" s="18">
        <f t="shared" si="321"/>
        <v>151.8459393228537</v>
      </c>
      <c r="S372" s="18">
        <f t="shared" si="322"/>
        <v>1.5642106569178884</v>
      </c>
      <c r="T372" s="18" t="str">
        <f t="shared" si="311"/>
        <v>1+0.217861188422107i</v>
      </c>
      <c r="U372" s="18">
        <f t="shared" si="323"/>
        <v>1.0234566416906448</v>
      </c>
      <c r="V372" s="18">
        <f t="shared" si="324"/>
        <v>0.21450931969345316</v>
      </c>
      <c r="W372" s="32" t="str">
        <f t="shared" si="312"/>
        <v>1-0.0978441668712303i</v>
      </c>
      <c r="X372" s="18">
        <f t="shared" si="325"/>
        <v>1.0047753385661518</v>
      </c>
      <c r="Y372" s="18">
        <f t="shared" si="326"/>
        <v>-9.7533711787251565E-2</v>
      </c>
      <c r="Z372" s="32" t="str">
        <f t="shared" si="313"/>
        <v>0.998797735565383+0.0534012504316391i</v>
      </c>
      <c r="AA372" s="18">
        <f t="shared" si="327"/>
        <v>1.0002242799083609</v>
      </c>
      <c r="AB372" s="18">
        <f t="shared" si="328"/>
        <v>5.3414672475918377E-2</v>
      </c>
      <c r="AC372" s="68" t="str">
        <f t="shared" si="329"/>
        <v>0.0100397276158256-0.142890096909237i</v>
      </c>
      <c r="AD372" s="66">
        <f t="shared" si="330"/>
        <v>-16.878570175651063</v>
      </c>
      <c r="AE372" s="63">
        <f t="shared" si="331"/>
        <v>-85.980895568722261</v>
      </c>
      <c r="AF372" s="51" t="e">
        <f t="shared" si="332"/>
        <v>#NUM!</v>
      </c>
      <c r="AG372" s="51" t="str">
        <f t="shared" si="314"/>
        <v>1-93.3690807523317i</v>
      </c>
      <c r="AH372" s="51">
        <f t="shared" si="333"/>
        <v>93.37443569058631</v>
      </c>
      <c r="AI372" s="51">
        <f t="shared" si="334"/>
        <v>-1.5600865526537895</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-0.000133283554228113</v>
      </c>
      <c r="AT372" s="32" t="str">
        <f t="shared" si="318"/>
        <v>0.0133113186125908i</v>
      </c>
      <c r="AU372" s="32">
        <f t="shared" si="342"/>
        <v>1.33113186125908E-2</v>
      </c>
      <c r="AV372" s="32">
        <f t="shared" si="343"/>
        <v>1.5707963267948966</v>
      </c>
      <c r="AW372" s="32" t="str">
        <f t="shared" si="319"/>
        <v>1+2.3273854032365i</v>
      </c>
      <c r="AX372" s="32">
        <f t="shared" si="344"/>
        <v>2.5331251084773379</v>
      </c>
      <c r="AY372" s="32">
        <f t="shared" si="345"/>
        <v>1.1649795941745591</v>
      </c>
      <c r="AZ372" s="32" t="str">
        <f t="shared" si="320"/>
        <v>1+34.6837190579878i</v>
      </c>
      <c r="BA372" s="32">
        <f t="shared" si="346"/>
        <v>34.698132049051665</v>
      </c>
      <c r="BB372" s="32">
        <f t="shared" si="347"/>
        <v>1.5419723404669359</v>
      </c>
      <c r="BC372" s="60" t="str">
        <f t="shared" si="348"/>
        <v>-0.0504895514689805+0.12752144384458i</v>
      </c>
      <c r="BD372" s="51">
        <f t="shared" si="349"/>
        <v>-17.255901148332896</v>
      </c>
      <c r="BE372" s="63">
        <f t="shared" si="350"/>
        <v>111.60009326959933</v>
      </c>
      <c r="BF372" s="60" t="str">
        <f t="shared" si="351"/>
        <v>0.0177146501247641+0.00849473746368292i</v>
      </c>
      <c r="BG372" s="66">
        <f t="shared" si="352"/>
        <v>-34.134471323983952</v>
      </c>
      <c r="BH372" s="63">
        <f t="shared" si="353"/>
        <v>25.619197700877081</v>
      </c>
      <c r="BI372" s="60" t="e">
        <f t="shared" si="357"/>
        <v>#NUM!</v>
      </c>
      <c r="BJ372" s="66" t="e">
        <f t="shared" si="354"/>
        <v>#NUM!</v>
      </c>
      <c r="BK372" s="63" t="e">
        <f t="shared" si="358"/>
        <v>#NUM!</v>
      </c>
      <c r="BL372" s="51">
        <f t="shared" si="355"/>
        <v>-34.134471323983952</v>
      </c>
      <c r="BM372" s="63">
        <f t="shared" si="356"/>
        <v>25.619197700877081</v>
      </c>
    </row>
    <row r="373" spans="14:65" x14ac:dyDescent="0.3">
      <c r="N373" s="11">
        <v>55</v>
      </c>
      <c r="O373" s="52">
        <f t="shared" si="308"/>
        <v>35481.33892335758</v>
      </c>
      <c r="P373" s="50" t="str">
        <f t="shared" si="309"/>
        <v>21.1560044893378</v>
      </c>
      <c r="Q373" s="18" t="str">
        <f t="shared" si="310"/>
        <v>1+155.37951606827i</v>
      </c>
      <c r="R373" s="18">
        <f t="shared" si="321"/>
        <v>155.38273396233501</v>
      </c>
      <c r="S373" s="18">
        <f t="shared" si="322"/>
        <v>1.5643605608786124</v>
      </c>
      <c r="T373" s="18" t="str">
        <f t="shared" si="311"/>
        <v>1+0.2229358274023i</v>
      </c>
      <c r="U373" s="18">
        <f t="shared" si="323"/>
        <v>1.024548868107104</v>
      </c>
      <c r="V373" s="18">
        <f t="shared" si="324"/>
        <v>0.21934886678179702</v>
      </c>
      <c r="W373" s="32" t="str">
        <f t="shared" si="312"/>
        <v>1-0.100123250294879i</v>
      </c>
      <c r="X373" s="18">
        <f t="shared" si="325"/>
        <v>1.0049998334575041</v>
      </c>
      <c r="Y373" s="18">
        <f t="shared" si="326"/>
        <v>-9.9790680996372227E-2</v>
      </c>
      <c r="Z373" s="32" t="str">
        <f t="shared" si="313"/>
        <v>0.998741074588206+0.0546451253457261i</v>
      </c>
      <c r="AA373" s="18">
        <f t="shared" si="327"/>
        <v>1.0002348843115074</v>
      </c>
      <c r="AB373" s="18">
        <f t="shared" si="328"/>
        <v>5.4659506363357639E-2</v>
      </c>
      <c r="AC373" s="68" t="str">
        <f t="shared" si="329"/>
        <v>0.00998983841120398-0.139804660126768i</v>
      </c>
      <c r="AD373" s="66">
        <f t="shared" si="330"/>
        <v>-17.06744874857954</v>
      </c>
      <c r="AE373" s="63">
        <f t="shared" si="331"/>
        <v>-85.912837348205827</v>
      </c>
      <c r="AF373" s="51" t="e">
        <f t="shared" si="332"/>
        <v>#NUM!</v>
      </c>
      <c r="AG373" s="51" t="str">
        <f t="shared" si="314"/>
        <v>1-95.5439260295573i</v>
      </c>
      <c r="AH373" s="51">
        <f t="shared" si="333"/>
        <v>95.549159081289247</v>
      </c>
      <c r="AI373" s="51">
        <f t="shared" si="334"/>
        <v>-1.5603303188669477</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-0.000133283554228113</v>
      </c>
      <c r="AT373" s="32" t="str">
        <f t="shared" si="318"/>
        <v>0.0136213790542805i</v>
      </c>
      <c r="AU373" s="32">
        <f t="shared" si="342"/>
        <v>1.36213790542805E-2</v>
      </c>
      <c r="AV373" s="32">
        <f t="shared" si="343"/>
        <v>1.5707963267948966</v>
      </c>
      <c r="AW373" s="32" t="str">
        <f t="shared" si="319"/>
        <v>1+2.38159717346844i</v>
      </c>
      <c r="AX373" s="32">
        <f t="shared" si="344"/>
        <v>2.583022473125788</v>
      </c>
      <c r="AY373" s="32">
        <f t="shared" si="345"/>
        <v>1.1732649990110326</v>
      </c>
      <c r="AZ373" s="32" t="str">
        <f t="shared" si="320"/>
        <v>1+35.4916066582735i</v>
      </c>
      <c r="BA373" s="32">
        <f t="shared" si="346"/>
        <v>35.505691701269583</v>
      </c>
      <c r="BB373" s="32">
        <f t="shared" si="347"/>
        <v>1.5426281034541183</v>
      </c>
      <c r="BC373" s="60" t="str">
        <f t="shared" si="348"/>
        <v>-0.0485577352154151+0.125429844553452i</v>
      </c>
      <c r="BD373" s="51">
        <f t="shared" si="349"/>
        <v>-17.42549440297185</v>
      </c>
      <c r="BE373" s="63">
        <f t="shared" si="350"/>
        <v>111.16294699243861</v>
      </c>
      <c r="BF373" s="60" t="str">
        <f t="shared" si="351"/>
        <v>0.0170505928591327+0.00804162154734812i</v>
      </c>
      <c r="BG373" s="66">
        <f t="shared" si="352"/>
        <v>-34.492943151551373</v>
      </c>
      <c r="BH373" s="63">
        <f t="shared" si="353"/>
        <v>25.250109644232754</v>
      </c>
      <c r="BI373" s="60" t="e">
        <f t="shared" si="357"/>
        <v>#NUM!</v>
      </c>
      <c r="BJ373" s="66" t="e">
        <f t="shared" si="354"/>
        <v>#NUM!</v>
      </c>
      <c r="BK373" s="63" t="e">
        <f t="shared" si="358"/>
        <v>#NUM!</v>
      </c>
      <c r="BL373" s="51">
        <f t="shared" si="355"/>
        <v>-34.492943151551373</v>
      </c>
      <c r="BM373" s="63">
        <f t="shared" si="356"/>
        <v>25.250109644232754</v>
      </c>
    </row>
    <row r="374" spans="14:65" x14ac:dyDescent="0.3">
      <c r="N374" s="11">
        <v>56</v>
      </c>
      <c r="O374" s="52">
        <f t="shared" si="308"/>
        <v>36307.805477010232</v>
      </c>
      <c r="P374" s="50" t="str">
        <f t="shared" si="309"/>
        <v>21.1560044893378</v>
      </c>
      <c r="Q374" s="18" t="str">
        <f t="shared" si="310"/>
        <v>1+158.998769936635i</v>
      </c>
      <c r="R374" s="18">
        <f t="shared" si="321"/>
        <v>159.00191458395395</v>
      </c>
      <c r="S374" s="18">
        <f t="shared" si="322"/>
        <v>1.5645070528880922</v>
      </c>
      <c r="T374" s="18" t="str">
        <f t="shared" si="311"/>
        <v>1+0.228128669909085i</v>
      </c>
      <c r="U374" s="18">
        <f t="shared" si="323"/>
        <v>1.0256913229790376</v>
      </c>
      <c r="V374" s="18">
        <f t="shared" si="324"/>
        <v>0.22429035266685068</v>
      </c>
      <c r="W374" s="32" t="str">
        <f t="shared" si="312"/>
        <v>1-0.102455420391122i</v>
      </c>
      <c r="X374" s="18">
        <f t="shared" si="325"/>
        <v>1.0052348547317296</v>
      </c>
      <c r="Y374" s="18">
        <f t="shared" si="326"/>
        <v>-0.10209916611769755</v>
      </c>
      <c r="Z374" s="32" t="str">
        <f t="shared" si="313"/>
        <v>0.998681743261444+0.0559179738285849i</v>
      </c>
      <c r="AA374" s="18">
        <f t="shared" si="327"/>
        <v>1.0002459918044215</v>
      </c>
      <c r="AB374" s="18">
        <f t="shared" si="328"/>
        <v>5.593338228729143E-2</v>
      </c>
      <c r="AC374" s="68" t="str">
        <f t="shared" si="329"/>
        <v>0.00994140122423521-0.136793301127311i</v>
      </c>
      <c r="AD374" s="66">
        <f t="shared" si="330"/>
        <v>-17.255826058734328</v>
      </c>
      <c r="AE374" s="63">
        <f t="shared" si="331"/>
        <v>-85.843358604929733</v>
      </c>
      <c r="AF374" s="51" t="e">
        <f t="shared" si="332"/>
        <v>#NUM!</v>
      </c>
      <c r="AG374" s="51" t="str">
        <f t="shared" si="314"/>
        <v>1-97.7694299610366i</v>
      </c>
      <c r="AH374" s="51">
        <f t="shared" si="333"/>
        <v>97.774543900271098</v>
      </c>
      <c r="AI374" s="51">
        <f t="shared" si="334"/>
        <v>-1.560568537485594</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-0.000133283554228113</v>
      </c>
      <c r="AT374" s="32" t="str">
        <f t="shared" si="318"/>
        <v>0.0139386617314451i</v>
      </c>
      <c r="AU374" s="32">
        <f t="shared" si="342"/>
        <v>1.39386617314451E-2</v>
      </c>
      <c r="AV374" s="32">
        <f t="shared" si="343"/>
        <v>1.5707963267948966</v>
      </c>
      <c r="AW374" s="32" t="str">
        <f t="shared" si="319"/>
        <v>1+2.4370716980459i</v>
      </c>
      <c r="AX374" s="32">
        <f t="shared" si="344"/>
        <v>2.6342586170337046</v>
      </c>
      <c r="AY374" s="32">
        <f t="shared" si="345"/>
        <v>1.1814178932041752</v>
      </c>
      <c r="AZ374" s="32" t="str">
        <f t="shared" si="320"/>
        <v>1+36.3183123781962i</v>
      </c>
      <c r="BA374" s="32">
        <f t="shared" si="346"/>
        <v>36.33207692935045</v>
      </c>
      <c r="BB374" s="32">
        <f t="shared" si="347"/>
        <v>1.5432689628696794</v>
      </c>
      <c r="BC374" s="60" t="str">
        <f t="shared" si="348"/>
        <v>-0.0466872155589204+0.123342240260967i</v>
      </c>
      <c r="BD374" s="51">
        <f t="shared" si="349"/>
        <v>-17.596253949428494</v>
      </c>
      <c r="BE374" s="63">
        <f t="shared" si="350"/>
        <v>110.73253910412772</v>
      </c>
      <c r="BF374" s="60" t="str">
        <f t="shared" si="351"/>
        <v>0.016408255871822+0.00761269303507737i</v>
      </c>
      <c r="BG374" s="66">
        <f t="shared" si="352"/>
        <v>-34.852080008162829</v>
      </c>
      <c r="BH374" s="63">
        <f t="shared" si="353"/>
        <v>24.889180499198027</v>
      </c>
      <c r="BI374" s="60" t="e">
        <f t="shared" si="357"/>
        <v>#NUM!</v>
      </c>
      <c r="BJ374" s="66" t="e">
        <f t="shared" si="354"/>
        <v>#NUM!</v>
      </c>
      <c r="BK374" s="63" t="e">
        <f t="shared" si="358"/>
        <v>#NUM!</v>
      </c>
      <c r="BL374" s="51">
        <f t="shared" si="355"/>
        <v>-34.852080008162829</v>
      </c>
      <c r="BM374" s="63">
        <f t="shared" si="356"/>
        <v>24.889180499198027</v>
      </c>
    </row>
    <row r="375" spans="14:65" x14ac:dyDescent="0.3">
      <c r="N375" s="11">
        <v>57</v>
      </c>
      <c r="O375" s="52">
        <f t="shared" si="308"/>
        <v>37153.522909717351</v>
      </c>
      <c r="P375" s="50" t="str">
        <f t="shared" si="309"/>
        <v>21.1560044893378</v>
      </c>
      <c r="Q375" s="18" t="str">
        <f t="shared" si="310"/>
        <v>1+162.702327057419i</v>
      </c>
      <c r="R375" s="18">
        <f t="shared" si="321"/>
        <v>162.70540012519356</v>
      </c>
      <c r="S375" s="18">
        <f t="shared" si="322"/>
        <v>1.5646502105931663</v>
      </c>
      <c r="T375" s="18" t="str">
        <f t="shared" si="311"/>
        <v>1+0.233442469256296i</v>
      </c>
      <c r="U375" s="18">
        <f t="shared" si="323"/>
        <v>1.026886257797073</v>
      </c>
      <c r="V375" s="18">
        <f t="shared" si="324"/>
        <v>0.22933543165242593</v>
      </c>
      <c r="W375" s="32" t="str">
        <f t="shared" si="312"/>
        <v>1-0.104841913707413i</v>
      </c>
      <c r="X375" s="18">
        <f t="shared" si="325"/>
        <v>1.0054808933390194</v>
      </c>
      <c r="Y375" s="18">
        <f t="shared" si="326"/>
        <v>-0.10446029266942768</v>
      </c>
      <c r="Z375" s="32" t="str">
        <f t="shared" si="313"/>
        <v>0.998619615735397+0.0572204707613295i</v>
      </c>
      <c r="AA375" s="18">
        <f t="shared" si="327"/>
        <v>1.0002576264171446</v>
      </c>
      <c r="AB375" s="18">
        <f t="shared" si="328"/>
        <v>5.7236980011272545E-2</v>
      </c>
      <c r="AC375" s="68" t="str">
        <f t="shared" si="329"/>
        <v>0.00989431338018151-0.13385442308474i</v>
      </c>
      <c r="AD375" s="66">
        <f t="shared" si="330"/>
        <v>-17.443680474557077</v>
      </c>
      <c r="AE375" s="63">
        <f t="shared" si="331"/>
        <v>-85.772472438129071</v>
      </c>
      <c r="AF375" s="51" t="e">
        <f t="shared" si="332"/>
        <v>#NUM!</v>
      </c>
      <c r="AG375" s="51" t="str">
        <f t="shared" si="314"/>
        <v>1-100.046772538413i</v>
      </c>
      <c r="AH375" s="51">
        <f t="shared" si="333"/>
        <v>100.05177007606088</v>
      </c>
      <c r="AI375" s="51">
        <f t="shared" si="334"/>
        <v>-1.5608013347081835</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-0.000133283554228113</v>
      </c>
      <c r="AT375" s="32" t="str">
        <f t="shared" si="318"/>
        <v>0.0142633348715597i</v>
      </c>
      <c r="AU375" s="32">
        <f t="shared" si="342"/>
        <v>1.42633348715597E-2</v>
      </c>
      <c r="AV375" s="32">
        <f t="shared" si="343"/>
        <v>1.5707963267948966</v>
      </c>
      <c r="AW375" s="32" t="str">
        <f t="shared" si="319"/>
        <v>1+2.49383839029613i</v>
      </c>
      <c r="AX375" s="32">
        <f t="shared" si="344"/>
        <v>2.6868624670635439</v>
      </c>
      <c r="AY375" s="32">
        <f t="shared" si="345"/>
        <v>1.1894382631150004</v>
      </c>
      <c r="AZ375" s="32" t="str">
        <f t="shared" si="320"/>
        <v>1+37.1642745480716i</v>
      </c>
      <c r="BA375" s="32">
        <f t="shared" si="346"/>
        <v>37.177725894471315</v>
      </c>
      <c r="BB375" s="32">
        <f t="shared" si="347"/>
        <v>1.5438952563989474</v>
      </c>
      <c r="BC375" s="60" t="str">
        <f t="shared" si="348"/>
        <v>-0.0448770105078736+0.121260499133113i</v>
      </c>
      <c r="BD375" s="51">
        <f t="shared" si="349"/>
        <v>-17.768142575543806</v>
      </c>
      <c r="BE375" s="63">
        <f t="shared" si="350"/>
        <v>110.30888973406714</v>
      </c>
      <c r="BF375" s="60" t="str">
        <f t="shared" si="351"/>
        <v>0.0157872269488999+0.00720677573035948i</v>
      </c>
      <c r="BG375" s="66">
        <f t="shared" si="352"/>
        <v>-35.211823050100861</v>
      </c>
      <c r="BH375" s="63">
        <f t="shared" si="353"/>
        <v>24.536417295937998</v>
      </c>
      <c r="BI375" s="60" t="e">
        <f t="shared" si="357"/>
        <v>#NUM!</v>
      </c>
      <c r="BJ375" s="66" t="e">
        <f t="shared" si="354"/>
        <v>#NUM!</v>
      </c>
      <c r="BK375" s="63" t="e">
        <f t="shared" si="358"/>
        <v>#NUM!</v>
      </c>
      <c r="BL375" s="51">
        <f t="shared" si="355"/>
        <v>-35.211823050100861</v>
      </c>
      <c r="BM375" s="63">
        <f t="shared" si="356"/>
        <v>24.536417295937998</v>
      </c>
    </row>
    <row r="376" spans="14:65" x14ac:dyDescent="0.3">
      <c r="N376" s="11">
        <v>58</v>
      </c>
      <c r="O376" s="52">
        <f t="shared" si="308"/>
        <v>38018.939632056143</v>
      </c>
      <c r="P376" s="50" t="str">
        <f t="shared" si="309"/>
        <v>21.1560044893378</v>
      </c>
      <c r="Q376" s="18" t="str">
        <f t="shared" si="310"/>
        <v>1+166.492151105628i</v>
      </c>
      <c r="R376" s="18">
        <f t="shared" si="321"/>
        <v>166.49515422311629</v>
      </c>
      <c r="S376" s="18">
        <f t="shared" si="322"/>
        <v>1.5647901098744599</v>
      </c>
      <c r="T376" s="18" t="str">
        <f t="shared" si="311"/>
        <v>1+0.238880042890683i</v>
      </c>
      <c r="U376" s="18">
        <f t="shared" si="323"/>
        <v>1.0281360196449956</v>
      </c>
      <c r="V376" s="18">
        <f t="shared" si="324"/>
        <v>0.23448575095486229</v>
      </c>
      <c r="W376" s="32" t="str">
        <f t="shared" si="312"/>
        <v>1-0.1072839955941i</v>
      </c>
      <c r="X376" s="18">
        <f t="shared" si="325"/>
        <v>1.0057384628772208</v>
      </c>
      <c r="Y376" s="18">
        <f t="shared" si="326"/>
        <v>-0.10687520718984989</v>
      </c>
      <c r="Z376" s="32" t="str">
        <f t="shared" si="313"/>
        <v>0.998554560229254+0.0585533067450743i</v>
      </c>
      <c r="AA376" s="18">
        <f t="shared" si="327"/>
        <v>1.0002698133430907</v>
      </c>
      <c r="AB376" s="18">
        <f t="shared" si="328"/>
        <v>5.8570995366294364E-2</v>
      </c>
      <c r="AC376" s="68" t="str">
        <f t="shared" si="329"/>
        <v>0.00984847506919487-0.130986467370642i</v>
      </c>
      <c r="AD376" s="66">
        <f t="shared" si="330"/>
        <v>-17.630989527591371</v>
      </c>
      <c r="AE376" s="63">
        <f t="shared" si="331"/>
        <v>-85.700194376883204</v>
      </c>
      <c r="AF376" s="51" t="e">
        <f t="shared" si="332"/>
        <v>#NUM!</v>
      </c>
      <c r="AG376" s="51" t="str">
        <f t="shared" si="314"/>
        <v>1-102.377161238864i</v>
      </c>
      <c r="AH376" s="51">
        <f t="shared" si="333"/>
        <v>102.38204502415627</v>
      </c>
      <c r="AI376" s="51">
        <f t="shared" si="334"/>
        <v>-1.5610288338658966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-0.000133283554228113</v>
      </c>
      <c r="AT376" s="32" t="str">
        <f t="shared" si="318"/>
        <v>0.0145955706206207i</v>
      </c>
      <c r="AU376" s="32">
        <f t="shared" si="342"/>
        <v>1.4595570620620699E-2</v>
      </c>
      <c r="AV376" s="32">
        <f t="shared" si="343"/>
        <v>1.5707963267948966</v>
      </c>
      <c r="AW376" s="32" t="str">
        <f t="shared" si="319"/>
        <v>1+2.55192734867074i</v>
      </c>
      <c r="AX376" s="32">
        <f t="shared" si="344"/>
        <v>2.7408635852398184</v>
      </c>
      <c r="AY376" s="32">
        <f t="shared" si="345"/>
        <v>1.1973262328389449</v>
      </c>
      <c r="AZ376" s="32" t="str">
        <f t="shared" si="320"/>
        <v>1+38.0299417082396i</v>
      </c>
      <c r="BA376" s="32">
        <f t="shared" si="346"/>
        <v>38.043086971644428</v>
      </c>
      <c r="BB376" s="32">
        <f t="shared" si="347"/>
        <v>1.5445073141446393</v>
      </c>
      <c r="BC376" s="60" t="str">
        <f t="shared" si="348"/>
        <v>-0.0431260766157988+0.119186395339637i</v>
      </c>
      <c r="BD376" s="51">
        <f t="shared" si="349"/>
        <v>-17.941123679985594</v>
      </c>
      <c r="BE376" s="63">
        <f t="shared" si="350"/>
        <v>109.8920106856046</v>
      </c>
      <c r="BF376" s="60" t="str">
        <f t="shared" si="351"/>
        <v>0.0151870787937969+0.00682273667054876i</v>
      </c>
      <c r="BG376" s="66">
        <f t="shared" si="352"/>
        <v>-35.572113207576976</v>
      </c>
      <c r="BH376" s="63">
        <f t="shared" si="353"/>
        <v>24.191816308721457</v>
      </c>
      <c r="BI376" s="60" t="e">
        <f t="shared" si="357"/>
        <v>#NUM!</v>
      </c>
      <c r="BJ376" s="66" t="e">
        <f t="shared" si="354"/>
        <v>#NUM!</v>
      </c>
      <c r="BK376" s="63" t="e">
        <f t="shared" si="358"/>
        <v>#NUM!</v>
      </c>
      <c r="BL376" s="51">
        <f t="shared" si="355"/>
        <v>-35.572113207576976</v>
      </c>
      <c r="BM376" s="63">
        <f t="shared" si="356"/>
        <v>24.191816308721457</v>
      </c>
    </row>
    <row r="377" spans="14:65" x14ac:dyDescent="0.3">
      <c r="N377" s="11">
        <v>59</v>
      </c>
      <c r="O377" s="52">
        <f t="shared" si="308"/>
        <v>38904.514499428085</v>
      </c>
      <c r="P377" s="50" t="str">
        <f t="shared" si="309"/>
        <v>21.1560044893378</v>
      </c>
      <c r="Q377" s="18" t="str">
        <f t="shared" si="310"/>
        <v>1+170.370251496137i</v>
      </c>
      <c r="R377" s="18">
        <f t="shared" si="321"/>
        <v>170.37318625551669</v>
      </c>
      <c r="S377" s="18">
        <f t="shared" si="322"/>
        <v>1.5649268248865069</v>
      </c>
      <c r="T377" s="18" t="str">
        <f t="shared" si="311"/>
        <v>1+0.244444273885762i</v>
      </c>
      <c r="U377" s="18">
        <f t="shared" si="323"/>
        <v>1.0294430547803688</v>
      </c>
      <c r="V377" s="18">
        <f t="shared" si="324"/>
        <v>0.23974294792854348</v>
      </c>
      <c r="W377" s="32" t="str">
        <f t="shared" si="312"/>
        <v>1-0.109782960875322i</v>
      </c>
      <c r="X377" s="18">
        <f t="shared" si="325"/>
        <v>1.0060081006127894</v>
      </c>
      <c r="Y377" s="18">
        <f t="shared" si="326"/>
        <v>-0.1093450773705444</v>
      </c>
      <c r="Z377" s="32" t="str">
        <f t="shared" si="313"/>
        <v>0.998486438751564+0.0599171884670999i</v>
      </c>
      <c r="AA377" s="18">
        <f t="shared" si="327"/>
        <v>1.0002825789968466</v>
      </c>
      <c r="AB377" s="18">
        <f t="shared" si="328"/>
        <v>5.9936140641592181E-2</v>
      </c>
      <c r="AC377" s="68" t="str">
        <f t="shared" si="329"/>
        <v>0.00980378913520783-0.128187912725969i</v>
      </c>
      <c r="AD377" s="66">
        <f t="shared" si="330"/>
        <v>-17.817729888420487</v>
      </c>
      <c r="AE377" s="63">
        <f t="shared" si="331"/>
        <v>-85.626542571404499</v>
      </c>
      <c r="AF377" s="51" t="e">
        <f t="shared" si="332"/>
        <v>#NUM!</v>
      </c>
      <c r="AG377" s="51" t="str">
        <f t="shared" si="314"/>
        <v>1-104.761831665327i</v>
      </c>
      <c r="AH377" s="51">
        <f t="shared" si="333"/>
        <v>104.76660428721698</v>
      </c>
      <c r="AI377" s="51">
        <f t="shared" si="334"/>
        <v>-1.5612511554875486</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-0.000133283554228113</v>
      </c>
      <c r="AT377" s="32" t="str">
        <f t="shared" si="318"/>
        <v>0.01493554513442i</v>
      </c>
      <c r="AU377" s="32">
        <f t="shared" si="342"/>
        <v>1.4935545134419999E-2</v>
      </c>
      <c r="AV377" s="32">
        <f t="shared" si="343"/>
        <v>1.5707963267948966</v>
      </c>
      <c r="AW377" s="32" t="str">
        <f t="shared" si="319"/>
        <v>1+2.61136937270438i</v>
      </c>
      <c r="AX377" s="32">
        <f t="shared" si="344"/>
        <v>2.7962921880051206</v>
      </c>
      <c r="AY377" s="32">
        <f t="shared" si="345"/>
        <v>1.2050820573284837</v>
      </c>
      <c r="AZ377" s="32" t="str">
        <f t="shared" si="320"/>
        <v>1+38.9157728468872i</v>
      </c>
      <c r="BA377" s="32">
        <f t="shared" si="346"/>
        <v>38.928618987456041</v>
      </c>
      <c r="BB377" s="32">
        <f t="shared" si="347"/>
        <v>1.5451054587925364</v>
      </c>
      <c r="BC377" s="60" t="str">
        <f t="shared" si="348"/>
        <v>-0.041433316086735+0.117121608908596i</v>
      </c>
      <c r="BD377" s="51">
        <f t="shared" si="349"/>
        <v>-18.115161308638296</v>
      </c>
      <c r="BE377" s="63">
        <f t="shared" si="350"/>
        <v>109.48190583957268</v>
      </c>
      <c r="BF377" s="60" t="str">
        <f t="shared" si="351"/>
        <v>0.0146073710870134+0.00645948586339003i</v>
      </c>
      <c r="BG377" s="66">
        <f t="shared" si="352"/>
        <v>-35.932891197058787</v>
      </c>
      <c r="BH377" s="63">
        <f t="shared" si="353"/>
        <v>23.855363268168205</v>
      </c>
      <c r="BI377" s="60" t="e">
        <f t="shared" si="357"/>
        <v>#NUM!</v>
      </c>
      <c r="BJ377" s="66" t="e">
        <f t="shared" si="354"/>
        <v>#NUM!</v>
      </c>
      <c r="BK377" s="63" t="e">
        <f t="shared" si="358"/>
        <v>#NUM!</v>
      </c>
      <c r="BL377" s="51">
        <f t="shared" si="355"/>
        <v>-35.932891197058787</v>
      </c>
      <c r="BM377" s="63">
        <f t="shared" si="356"/>
        <v>23.855363268168205</v>
      </c>
    </row>
    <row r="378" spans="14:65" x14ac:dyDescent="0.3">
      <c r="N378" s="11">
        <v>60</v>
      </c>
      <c r="O378" s="52">
        <f t="shared" si="308"/>
        <v>39810.717055349742</v>
      </c>
      <c r="P378" s="50" t="str">
        <f t="shared" si="309"/>
        <v>21.1560044893378</v>
      </c>
      <c r="Q378" s="18" t="str">
        <f t="shared" si="310"/>
        <v>1+174.338684449107i</v>
      </c>
      <c r="R378" s="18">
        <f t="shared" si="321"/>
        <v>174.3415524063191</v>
      </c>
      <c r="S378" s="18">
        <f t="shared" si="322"/>
        <v>1.5650604280969618</v>
      </c>
      <c r="T378" s="18" t="str">
        <f t="shared" si="311"/>
        <v>1+0.250138112470457i</v>
      </c>
      <c r="U378" s="18">
        <f t="shared" si="323"/>
        <v>1.0308099123069603</v>
      </c>
      <c r="V378" s="18">
        <f t="shared" si="324"/>
        <v>0.24510864710952476</v>
      </c>
      <c r="W378" s="32" t="str">
        <f t="shared" si="312"/>
        <v>1-0.112340134535548i</v>
      </c>
      <c r="X378" s="18">
        <f t="shared" si="325"/>
        <v>1.0062903685455133</v>
      </c>
      <c r="Y378" s="18">
        <f t="shared" si="326"/>
        <v>-0.11187109216902841</v>
      </c>
      <c r="Z378" s="32" t="str">
        <f t="shared" si="313"/>
        <v>0.998415106807539+0.0613128390755484i</v>
      </c>
      <c r="AA378" s="18">
        <f t="shared" si="327"/>
        <v>1.0002959510749874</v>
      </c>
      <c r="AB378" s="18">
        <f t="shared" si="328"/>
        <v>6.133314498570959E-2</v>
      </c>
      <c r="AC378" s="68" t="str">
        <f t="shared" si="329"/>
        <v>0.00976016087048226-0.12545727445138i</v>
      </c>
      <c r="AD378" s="66">
        <f t="shared" si="330"/>
        <v>-18.003877342696057</v>
      </c>
      <c r="AE378" s="63">
        <f t="shared" si="331"/>
        <v>-85.551537994105985</v>
      </c>
      <c r="AF378" s="51" t="e">
        <f t="shared" si="332"/>
        <v>#NUM!</v>
      </c>
      <c r="AG378" s="51" t="str">
        <f t="shared" si="314"/>
        <v>1-107.202048201625i</v>
      </c>
      <c r="AH378" s="51">
        <f t="shared" si="333"/>
        <v>107.20671219015874</v>
      </c>
      <c r="AI378" s="51">
        <f t="shared" si="334"/>
        <v>-1.561468417363046</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-0.000133283554228113</v>
      </c>
      <c r="AT378" s="32" t="str">
        <f t="shared" si="318"/>
        <v>0.0152834386719449i</v>
      </c>
      <c r="AU378" s="32">
        <f t="shared" si="342"/>
        <v>1.5283438671944901E-2</v>
      </c>
      <c r="AV378" s="32">
        <f t="shared" si="343"/>
        <v>1.5707963267948966</v>
      </c>
      <c r="AW378" s="32" t="str">
        <f t="shared" si="319"/>
        <v>1+2.67219597934497i</v>
      </c>
      <c r="AX378" s="32">
        <f t="shared" si="344"/>
        <v>2.8531791657776107</v>
      </c>
      <c r="AY378" s="32">
        <f t="shared" si="345"/>
        <v>1.2127061155261059</v>
      </c>
      <c r="AZ378" s="32" t="str">
        <f t="shared" si="320"/>
        <v>1+39.8222376434092i</v>
      </c>
      <c r="BA378" s="32">
        <f t="shared" si="346"/>
        <v>39.834791463344665</v>
      </c>
      <c r="BB378" s="32">
        <f t="shared" si="347"/>
        <v>1.5456900057738485</v>
      </c>
      <c r="BC378" s="60" t="str">
        <f t="shared" si="348"/>
        <v>-0.0397975836062708+0.115067726036173i</v>
      </c>
      <c r="BD378" s="51">
        <f t="shared" si="349"/>
        <v>-18.29022018666079</v>
      </c>
      <c r="BE378" s="63">
        <f t="shared" si="350"/>
        <v>109.07857155704311</v>
      </c>
      <c r="BF378" s="60" t="str">
        <f t="shared" si="351"/>
        <v>0.0140476524675627+0.00611597588610729i</v>
      </c>
      <c r="BG378" s="66">
        <f t="shared" si="352"/>
        <v>-36.29409752935684</v>
      </c>
      <c r="BH378" s="63">
        <f t="shared" si="353"/>
        <v>23.527033562937124</v>
      </c>
      <c r="BI378" s="60" t="e">
        <f t="shared" si="357"/>
        <v>#NUM!</v>
      </c>
      <c r="BJ378" s="66" t="e">
        <f t="shared" si="354"/>
        <v>#NUM!</v>
      </c>
      <c r="BK378" s="63" t="e">
        <f t="shared" si="358"/>
        <v>#NUM!</v>
      </c>
      <c r="BL378" s="51">
        <f t="shared" si="355"/>
        <v>-36.29409752935684</v>
      </c>
      <c r="BM378" s="63">
        <f t="shared" si="356"/>
        <v>23.527033562937124</v>
      </c>
    </row>
    <row r="379" spans="14:65" x14ac:dyDescent="0.3">
      <c r="N379" s="11">
        <v>61</v>
      </c>
      <c r="O379" s="52">
        <f t="shared" si="308"/>
        <v>40738.027780411358</v>
      </c>
      <c r="P379" s="50" t="str">
        <f t="shared" si="309"/>
        <v>21.1560044893378</v>
      </c>
      <c r="Q379" s="18" t="str">
        <f t="shared" si="310"/>
        <v>1+178.399554080217i</v>
      </c>
      <c r="R379" s="18">
        <f t="shared" si="321"/>
        <v>178.40235675579029</v>
      </c>
      <c r="S379" s="18">
        <f t="shared" si="322"/>
        <v>1.5651909903249255</v>
      </c>
      <c r="T379" s="18" t="str">
        <f t="shared" si="311"/>
        <v>1+0.255964577593354i</v>
      </c>
      <c r="U379" s="18">
        <f t="shared" si="323"/>
        <v>1.0322392479374847</v>
      </c>
      <c r="V379" s="18">
        <f t="shared" si="324"/>
        <v>0.25058445707150573</v>
      </c>
      <c r="W379" s="32" t="str">
        <f t="shared" si="312"/>
        <v>1-0.114956872422104i</v>
      </c>
      <c r="X379" s="18">
        <f t="shared" si="325"/>
        <v>1.0065858545186654</v>
      </c>
      <c r="Y379" s="18">
        <f t="shared" si="326"/>
        <v>-0.11445446189885955</v>
      </c>
      <c r="Z379" s="32" t="str">
        <f t="shared" si="313"/>
        <v>0.998340413092562+0.0627409985628464i</v>
      </c>
      <c r="AA379" s="18">
        <f t="shared" si="327"/>
        <v>1.0003099586200721</v>
      </c>
      <c r="AB379" s="18">
        <f t="shared" si="328"/>
        <v>6.2762754818149399E-2</v>
      </c>
      <c r="AC379" s="68" t="str">
        <f t="shared" si="329"/>
        <v>0.00971749781538688-0.122793103615832i</v>
      </c>
      <c r="AD379" s="66">
        <f t="shared" si="330"/>
        <v>-18.189406767345034</v>
      </c>
      <c r="AE379" s="63">
        <f t="shared" si="331"/>
        <v>-85.475204650685342</v>
      </c>
      <c r="AF379" s="51" t="e">
        <f t="shared" si="332"/>
        <v>#NUM!</v>
      </c>
      <c r="AG379" s="51" t="str">
        <f t="shared" si="314"/>
        <v>1-109.699104682866i</v>
      </c>
      <c r="AH379" s="51">
        <f t="shared" si="333"/>
        <v>109.70366251052144</v>
      </c>
      <c r="AI379" s="51">
        <f t="shared" si="334"/>
        <v>-1.5616807346054213</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-0.000133283554228113</v>
      </c>
      <c r="AT379" s="32" t="str">
        <f t="shared" si="318"/>
        <v>0.015639435690954i</v>
      </c>
      <c r="AU379" s="32">
        <f t="shared" si="342"/>
        <v>1.5639435690953999E-2</v>
      </c>
      <c r="AV379" s="32">
        <f t="shared" si="343"/>
        <v>1.5707963267948966</v>
      </c>
      <c r="AW379" s="32" t="str">
        <f t="shared" si="319"/>
        <v>1+2.73443941966452i</v>
      </c>
      <c r="AX379" s="32">
        <f t="shared" si="344"/>
        <v>2.9115561028108732</v>
      </c>
      <c r="AY379" s="32">
        <f t="shared" si="345"/>
        <v>1.2201989035384977</v>
      </c>
      <c r="AZ379" s="32" t="str">
        <f t="shared" si="320"/>
        <v>1+40.7498167174395i</v>
      </c>
      <c r="BA379" s="32">
        <f t="shared" si="346"/>
        <v>40.76208486455166</v>
      </c>
      <c r="BB379" s="32">
        <f t="shared" si="347"/>
        <v>1.5462612634243125</v>
      </c>
      <c r="BC379" s="60" t="str">
        <f t="shared" si="348"/>
        <v>-0.0382176928780339+0.113026239810565i</v>
      </c>
      <c r="BD379" s="51">
        <f t="shared" si="349"/>
        <v>-18.466265746389077</v>
      </c>
      <c r="BE379" s="63">
        <f t="shared" si="350"/>
        <v>108.68199707953299</v>
      </c>
      <c r="BF379" s="60" t="str">
        <f t="shared" si="351"/>
        <v>0.0135074624293152+0.00579120135997102i</v>
      </c>
      <c r="BG379" s="66">
        <f t="shared" si="352"/>
        <v>-36.655672513734096</v>
      </c>
      <c r="BH379" s="63">
        <f t="shared" si="353"/>
        <v>23.206792428847599</v>
      </c>
      <c r="BI379" s="60" t="e">
        <f t="shared" si="357"/>
        <v>#NUM!</v>
      </c>
      <c r="BJ379" s="66" t="e">
        <f t="shared" si="354"/>
        <v>#NUM!</v>
      </c>
      <c r="BK379" s="63" t="e">
        <f t="shared" si="358"/>
        <v>#NUM!</v>
      </c>
      <c r="BL379" s="51">
        <f t="shared" si="355"/>
        <v>-36.655672513734096</v>
      </c>
      <c r="BM379" s="63">
        <f t="shared" si="356"/>
        <v>23.206792428847599</v>
      </c>
    </row>
    <row r="380" spans="14:65" x14ac:dyDescent="0.3">
      <c r="N380" s="11">
        <v>62</v>
      </c>
      <c r="O380" s="52">
        <f t="shared" si="308"/>
        <v>41686.938347033625</v>
      </c>
      <c r="P380" s="50" t="str">
        <f t="shared" si="309"/>
        <v>21.1560044893378</v>
      </c>
      <c r="Q380" s="18" t="str">
        <f t="shared" si="310"/>
        <v>1+182.555013516298i</v>
      </c>
      <c r="R380" s="18">
        <f t="shared" si="321"/>
        <v>182.55775239615477</v>
      </c>
      <c r="S380" s="18">
        <f t="shared" si="322"/>
        <v>1.5653185807784047</v>
      </c>
      <c r="T380" s="18" t="str">
        <f t="shared" si="311"/>
        <v>1+0.261926758523383i</v>
      </c>
      <c r="U380" s="18">
        <f t="shared" si="323"/>
        <v>1.0337338278447536</v>
      </c>
      <c r="V380" s="18">
        <f t="shared" si="324"/>
        <v>0.2561719670887086</v>
      </c>
      <c r="W380" s="32" t="str">
        <f t="shared" si="312"/>
        <v>1-0.117634561964052i</v>
      </c>
      <c r="X380" s="18">
        <f t="shared" si="325"/>
        <v>1.0068951733762925</v>
      </c>
      <c r="Y380" s="18">
        <f t="shared" si="326"/>
        <v>-0.11709641829510273</v>
      </c>
      <c r="Z380" s="32" t="str">
        <f t="shared" si="313"/>
        <v>0.998262199171251+0.0642024241580577i</v>
      </c>
      <c r="AA380" s="18">
        <f t="shared" si="327"/>
        <v>1.0003246320880006</v>
      </c>
      <c r="AB380" s="18">
        <f t="shared" si="328"/>
        <v>6.4225734251940267E-2</v>
      </c>
      <c r="AC380" s="68" t="str">
        <f t="shared" si="329"/>
        <v>0.00967570956298535-0.120193986282964i</v>
      </c>
      <c r="AD380" s="66">
        <f t="shared" si="330"/>
        <v>-18.374292107051545</v>
      </c>
      <c r="AE380" s="63">
        <f t="shared" si="331"/>
        <v>-85.397569801436035</v>
      </c>
      <c r="AF380" s="51" t="e">
        <f t="shared" si="332"/>
        <v>#NUM!</v>
      </c>
      <c r="AG380" s="51" t="str">
        <f t="shared" si="314"/>
        <v>1-112.25432508145i</v>
      </c>
      <c r="AH380" s="51">
        <f t="shared" si="333"/>
        <v>112.25877916444601</v>
      </c>
      <c r="AI380" s="51">
        <f t="shared" si="334"/>
        <v>-1.561888219711475</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-0.000133283554228113</v>
      </c>
      <c r="AT380" s="32" t="str">
        <f t="shared" si="318"/>
        <v>0.0160037249457787i</v>
      </c>
      <c r="AU380" s="32">
        <f t="shared" si="342"/>
        <v>1.6003724945778699E-2</v>
      </c>
      <c r="AV380" s="32">
        <f t="shared" si="343"/>
        <v>1.5707963267948966</v>
      </c>
      <c r="AW380" s="32" t="str">
        <f t="shared" si="319"/>
        <v>1+2.79813269595896i</v>
      </c>
      <c r="AX380" s="32">
        <f t="shared" si="344"/>
        <v>2.9714552973576027</v>
      </c>
      <c r="AY380" s="32">
        <f t="shared" si="345"/>
        <v>1.2275610278797551</v>
      </c>
      <c r="AZ380" s="32" t="str">
        <f t="shared" si="320"/>
        <v>1+41.6990018836811i</v>
      </c>
      <c r="BA380" s="32">
        <f t="shared" si="346"/>
        <v>41.710990854872286</v>
      </c>
      <c r="BB380" s="32">
        <f t="shared" si="347"/>
        <v>1.5468195331400691</v>
      </c>
      <c r="BC380" s="60" t="str">
        <f t="shared" si="348"/>
        <v>-0.0366924228498982+0.11099855130929i</v>
      </c>
      <c r="BD380" s="51">
        <f t="shared" si="349"/>
        <v>-18.643264151271989</v>
      </c>
      <c r="BE380" s="63">
        <f t="shared" si="350"/>
        <v>108.29216492507125</v>
      </c>
      <c r="BF380" s="60" t="str">
        <f t="shared" si="351"/>
        <v>0.0129863331268398+0.0054841983130902i</v>
      </c>
      <c r="BG380" s="66">
        <f t="shared" si="352"/>
        <v>-37.017556258323545</v>
      </c>
      <c r="BH380" s="63">
        <f t="shared" si="353"/>
        <v>22.894595123635249</v>
      </c>
      <c r="BI380" s="60" t="e">
        <f t="shared" si="357"/>
        <v>#NUM!</v>
      </c>
      <c r="BJ380" s="66" t="e">
        <f t="shared" si="354"/>
        <v>#NUM!</v>
      </c>
      <c r="BK380" s="63" t="e">
        <f t="shared" si="358"/>
        <v>#NUM!</v>
      </c>
      <c r="BL380" s="51">
        <f t="shared" si="355"/>
        <v>-37.017556258323545</v>
      </c>
      <c r="BM380" s="63">
        <f t="shared" si="356"/>
        <v>22.894595123635249</v>
      </c>
    </row>
    <row r="381" spans="14:65" x14ac:dyDescent="0.3">
      <c r="N381" s="11">
        <v>63</v>
      </c>
      <c r="O381" s="52">
        <f t="shared" si="308"/>
        <v>42657.951880159271</v>
      </c>
      <c r="P381" s="50" t="str">
        <f t="shared" si="309"/>
        <v>21.1560044893378</v>
      </c>
      <c r="Q381" s="18" t="str">
        <f t="shared" si="310"/>
        <v>1+186.807266036946i</v>
      </c>
      <c r="R381" s="18">
        <f t="shared" si="321"/>
        <v>186.8099425731894</v>
      </c>
      <c r="S381" s="18">
        <f t="shared" si="322"/>
        <v>1.5654432670909204</v>
      </c>
      <c r="T381" s="18" t="str">
        <f t="shared" si="311"/>
        <v>1+0.268027816487791i</v>
      </c>
      <c r="U381" s="18">
        <f t="shared" si="323"/>
        <v>1.0352965325988555</v>
      </c>
      <c r="V381" s="18">
        <f t="shared" si="324"/>
        <v>0.26187274360068102</v>
      </c>
      <c r="W381" s="32" t="str">
        <f t="shared" si="312"/>
        <v>1-0.12037462290783i</v>
      </c>
      <c r="X381" s="18">
        <f t="shared" si="325"/>
        <v>1.0072189681693859</v>
      </c>
      <c r="Y381" s="18">
        <f t="shared" si="326"/>
        <v>-0.11979821455296684</v>
      </c>
      <c r="Z381" s="32" t="str">
        <f t="shared" si="313"/>
        <v>0.99818029914139+0.065697890728377i</v>
      </c>
      <c r="AA381" s="18">
        <f t="shared" si="327"/>
        <v>1.0003400034189138</v>
      </c>
      <c r="AB381" s="18">
        <f t="shared" si="328"/>
        <v>6.5722865527468949E-2</v>
      </c>
      <c r="AC381" s="68" t="str">
        <f t="shared" si="329"/>
        <v>0.00963470756802405-0.117658542754859i</v>
      </c>
      <c r="AD381" s="66">
        <f t="shared" si="330"/>
        <v>-18.558506351116101</v>
      </c>
      <c r="AE381" s="63">
        <f t="shared" si="331"/>
        <v>-85.318664192967574</v>
      </c>
      <c r="AF381" s="51" t="e">
        <f t="shared" si="332"/>
        <v>#NUM!</v>
      </c>
      <c r="AG381" s="51" t="str">
        <f t="shared" si="314"/>
        <v>1-114.869064209053i</v>
      </c>
      <c r="AH381" s="51">
        <f t="shared" si="333"/>
        <v>114.87341690862834</v>
      </c>
      <c r="AI381" s="51">
        <f t="shared" si="334"/>
        <v>-1.5620909826210574</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-0.000133283554228113</v>
      </c>
      <c r="AT381" s="32" t="str">
        <f t="shared" si="318"/>
        <v>0.016376499587404i</v>
      </c>
      <c r="AU381" s="32">
        <f t="shared" si="342"/>
        <v>1.6376499587404E-2</v>
      </c>
      <c r="AV381" s="32">
        <f t="shared" si="343"/>
        <v>1.5707963267948966</v>
      </c>
      <c r="AW381" s="32" t="str">
        <f t="shared" si="319"/>
        <v>1+2.86330957924646i</v>
      </c>
      <c r="AX381" s="32">
        <f t="shared" si="344"/>
        <v>3.0329097821406652</v>
      </c>
      <c r="AY381" s="32">
        <f t="shared" si="345"/>
        <v>1.2347931988087137</v>
      </c>
      <c r="AZ381" s="32" t="str">
        <f t="shared" si="320"/>
        <v>1+42.6702964126728i</v>
      </c>
      <c r="BA381" s="32">
        <f t="shared" si="346"/>
        <v>42.682012557345011</v>
      </c>
      <c r="BB381" s="32">
        <f t="shared" si="347"/>
        <v>1.5473651095303687</v>
      </c>
      <c r="BC381" s="60" t="str">
        <f t="shared" si="348"/>
        <v>-0.035220523618293+0.108985971030186i</v>
      </c>
      <c r="BD381" s="51">
        <f t="shared" si="349"/>
        <v>-18.821182316037294</v>
      </c>
      <c r="BE381" s="63">
        <f t="shared" si="350"/>
        <v>107.9090512786907</v>
      </c>
      <c r="BF381" s="60" t="str">
        <f t="shared" si="351"/>
        <v>0.01248379108668+0.00519404344388443i</v>
      </c>
      <c r="BG381" s="66">
        <f t="shared" si="352"/>
        <v>-37.37968866715341</v>
      </c>
      <c r="BH381" s="63">
        <f t="shared" si="353"/>
        <v>22.590387085723179</v>
      </c>
      <c r="BI381" s="60" t="e">
        <f t="shared" si="357"/>
        <v>#NUM!</v>
      </c>
      <c r="BJ381" s="66" t="e">
        <f t="shared" si="354"/>
        <v>#NUM!</v>
      </c>
      <c r="BK381" s="63" t="e">
        <f t="shared" si="358"/>
        <v>#NUM!</v>
      </c>
      <c r="BL381" s="51">
        <f t="shared" si="355"/>
        <v>-37.37968866715341</v>
      </c>
      <c r="BM381" s="63">
        <f t="shared" si="356"/>
        <v>22.590387085723179</v>
      </c>
    </row>
    <row r="382" spans="14:65" x14ac:dyDescent="0.3">
      <c r="N382" s="11">
        <v>64</v>
      </c>
      <c r="O382" s="52">
        <f t="shared" si="308"/>
        <v>43651.583224016598</v>
      </c>
      <c r="P382" s="50" t="str">
        <f t="shared" si="309"/>
        <v>21.1560044893378</v>
      </c>
      <c r="Q382" s="18" t="str">
        <f t="shared" si="310"/>
        <v>1+191.158566242733i</v>
      </c>
      <c r="R382" s="18">
        <f t="shared" si="321"/>
        <v>191.16118185441661</v>
      </c>
      <c r="S382" s="18">
        <f t="shared" si="322"/>
        <v>1.5655651153572889</v>
      </c>
      <c r="T382" s="18" t="str">
        <f t="shared" si="311"/>
        <v>1+0.274270986348268i</v>
      </c>
      <c r="U382" s="18">
        <f t="shared" si="323"/>
        <v>1.036930361187506</v>
      </c>
      <c r="V382" s="18">
        <f t="shared" si="324"/>
        <v>0.26768832647453805</v>
      </c>
      <c r="W382" s="32" t="str">
        <f t="shared" si="312"/>
        <v>1-0.123178508070021i</v>
      </c>
      <c r="X382" s="18">
        <f t="shared" si="325"/>
        <v>1.0075579114127169</v>
      </c>
      <c r="Y382" s="18">
        <f t="shared" si="326"/>
        <v>-0.1225611253372292</v>
      </c>
      <c r="Z382" s="32" t="str">
        <f t="shared" si="313"/>
        <v>0.998094539282037+0.0672281911899748i</v>
      </c>
      <c r="AA382" s="18">
        <f t="shared" si="327"/>
        <v>1.0003561061118673</v>
      </c>
      <c r="AB382" s="18">
        <f t="shared" si="328"/>
        <v>6.7254949457934157E-2</v>
      </c>
      <c r="AC382" s="68" t="str">
        <f t="shared" si="329"/>
        <v>0.00959440495992333-0.11518542683273i</v>
      </c>
      <c r="AD382" s="66">
        <f t="shared" si="330"/>
        <v>-18.742021510806161</v>
      </c>
      <c r="AE382" s="63">
        <f t="shared" si="331"/>
        <v>-85.238522300475793</v>
      </c>
      <c r="AF382" s="51" t="e">
        <f t="shared" si="332"/>
        <v>#NUM!</v>
      </c>
      <c r="AG382" s="51" t="str">
        <f t="shared" si="314"/>
        <v>1-117.544708434972i</v>
      </c>
      <c r="AH382" s="51">
        <f t="shared" si="333"/>
        <v>117.54896205863569</v>
      </c>
      <c r="AI382" s="51">
        <f t="shared" si="334"/>
        <v>-1.56228913077502</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-0.000133283554228113</v>
      </c>
      <c r="AT382" s="32" t="str">
        <f t="shared" si="318"/>
        <v>0.0167579572658792i</v>
      </c>
      <c r="AU382" s="32">
        <f t="shared" si="342"/>
        <v>1.6757957265879201E-2</v>
      </c>
      <c r="AV382" s="32">
        <f t="shared" si="343"/>
        <v>1.5707963267948966</v>
      </c>
      <c r="AW382" s="32" t="str">
        <f t="shared" si="319"/>
        <v>1+2.93000462717325i</v>
      </c>
      <c r="AX382" s="32">
        <f t="shared" si="344"/>
        <v>3.0959533451356558</v>
      </c>
      <c r="AY382" s="32">
        <f t="shared" si="345"/>
        <v>1.2418962237826059</v>
      </c>
      <c r="AZ382" s="32" t="str">
        <f t="shared" si="320"/>
        <v>1+43.6642152976306i</v>
      </c>
      <c r="BA382" s="32">
        <f t="shared" si="346"/>
        <v>43.675664821017179</v>
      </c>
      <c r="BB382" s="32">
        <f t="shared" si="347"/>
        <v>1.5478982805671477</v>
      </c>
      <c r="BC382" s="60" t="str">
        <f t="shared" si="348"/>
        <v>-0.0338007220028261+0.106989720617646i</v>
      </c>
      <c r="BD382" s="51">
        <f t="shared" si="349"/>
        <v>-18.999987923288735</v>
      </c>
      <c r="BE382" s="63">
        <f t="shared" si="350"/>
        <v>107.53262637607675</v>
      </c>
      <c r="BF382" s="60" t="str">
        <f t="shared" si="351"/>
        <v>0.0119993588212252+0.00491985329730473i</v>
      </c>
      <c r="BG382" s="66">
        <f t="shared" si="352"/>
        <v>-37.742009434094882</v>
      </c>
      <c r="BH382" s="63">
        <f t="shared" si="353"/>
        <v>22.294104075600956</v>
      </c>
      <c r="BI382" s="60" t="e">
        <f t="shared" si="357"/>
        <v>#NUM!</v>
      </c>
      <c r="BJ382" s="66" t="e">
        <f t="shared" si="354"/>
        <v>#NUM!</v>
      </c>
      <c r="BK382" s="63" t="e">
        <f t="shared" si="358"/>
        <v>#NUM!</v>
      </c>
      <c r="BL382" s="51">
        <f t="shared" si="355"/>
        <v>-37.742009434094882</v>
      </c>
      <c r="BM382" s="63">
        <f t="shared" si="356"/>
        <v>22.294104075600956</v>
      </c>
    </row>
    <row r="383" spans="14:65" x14ac:dyDescent="0.3">
      <c r="N383" s="11">
        <v>65</v>
      </c>
      <c r="O383" s="52">
        <f t="shared" si="308"/>
        <v>44668.359215096389</v>
      </c>
      <c r="P383" s="50" t="str">
        <f t="shared" si="309"/>
        <v>21.1560044893378</v>
      </c>
      <c r="Q383" s="18" t="str">
        <f t="shared" si="310"/>
        <v>1+195.611221250625i</v>
      </c>
      <c r="R383" s="18">
        <f t="shared" si="321"/>
        <v>195.61377732450481</v>
      </c>
      <c r="S383" s="18">
        <f t="shared" si="322"/>
        <v>1.5656841901685936</v>
      </c>
      <c r="T383" s="18" t="str">
        <f t="shared" si="311"/>
        <v>1+0.280659578316114i</v>
      </c>
      <c r="U383" s="18">
        <f t="shared" si="323"/>
        <v>1.0386384351161759</v>
      </c>
      <c r="V383" s="18">
        <f t="shared" si="324"/>
        <v>0.27362022506078149</v>
      </c>
      <c r="W383" s="32" t="str">
        <f t="shared" si="312"/>
        <v>1-0.126047704107651i</v>
      </c>
      <c r="X383" s="18">
        <f t="shared" si="325"/>
        <v>1.0079127063941649</v>
      </c>
      <c r="Y383" s="18">
        <f t="shared" si="326"/>
        <v>-0.12538644675994279</v>
      </c>
      <c r="Z383" s="32" t="str">
        <f t="shared" si="313"/>
        <v>0.998004737685031+0.0687941369284122i</v>
      </c>
      <c r="AA383" s="18">
        <f t="shared" si="327"/>
        <v>1.0003729753034578</v>
      </c>
      <c r="AB383" s="18">
        <f t="shared" si="328"/>
        <v>6.8822805886800481E-2</v>
      </c>
      <c r="AC383" s="68" t="str">
        <f t="shared" si="329"/>
        <v>0.0095547163593833-0.112773325094118i</v>
      </c>
      <c r="AD383" s="66">
        <f t="shared" si="330"/>
        <v>-18.924808597318098</v>
      </c>
      <c r="AE383" s="63">
        <f t="shared" si="331"/>
        <v>-85.157182580664383</v>
      </c>
      <c r="AF383" s="51" t="e">
        <f t="shared" si="332"/>
        <v>#NUM!</v>
      </c>
      <c r="AG383" s="51" t="str">
        <f t="shared" si="314"/>
        <v>1-120.282676421192i</v>
      </c>
      <c r="AH383" s="51">
        <f t="shared" si="333"/>
        <v>120.28683322394508</v>
      </c>
      <c r="AI383" s="51">
        <f t="shared" si="334"/>
        <v>-1.5624827691718621</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-0.000133283554228113</v>
      </c>
      <c r="AT383" s="32" t="str">
        <f t="shared" si="318"/>
        <v>0.0171483002351145i</v>
      </c>
      <c r="AU383" s="32">
        <f t="shared" si="342"/>
        <v>1.7148300235114499E-2</v>
      </c>
      <c r="AV383" s="32">
        <f t="shared" si="343"/>
        <v>1.5707963267948966</v>
      </c>
      <c r="AW383" s="32" t="str">
        <f t="shared" si="319"/>
        <v>1+2.99825320233658i</v>
      </c>
      <c r="AX383" s="32">
        <f t="shared" si="344"/>
        <v>3.1606205506706364</v>
      </c>
      <c r="AY383" s="32">
        <f t="shared" si="345"/>
        <v>1.2488710010466344</v>
      </c>
      <c r="AZ383" s="32" t="str">
        <f t="shared" si="320"/>
        <v>1+44.6812855275036i</v>
      </c>
      <c r="BA383" s="32">
        <f t="shared" si="346"/>
        <v>44.692474493926859</v>
      </c>
      <c r="BB383" s="32">
        <f t="shared" si="347"/>
        <v>1.548419327731531</v>
      </c>
      <c r="BC383" s="60" t="str">
        <f t="shared" si="348"/>
        <v>-0.0324317267868577+0.105010934847089i</v>
      </c>
      <c r="BD383" s="51">
        <f t="shared" si="349"/>
        <v>-19.179649436742217</v>
      </c>
      <c r="BE383" s="63">
        <f t="shared" si="350"/>
        <v>107.16285487925066</v>
      </c>
      <c r="BF383" s="60" t="str">
        <f t="shared" si="351"/>
        <v>0.0115325563434546+0.00466078336539553i</v>
      </c>
      <c r="BG383" s="66">
        <f t="shared" si="352"/>
        <v>-38.104458034060301</v>
      </c>
      <c r="BH383" s="63">
        <f t="shared" si="353"/>
        <v>22.005672298586216</v>
      </c>
      <c r="BI383" s="60" t="e">
        <f t="shared" si="357"/>
        <v>#NUM!</v>
      </c>
      <c r="BJ383" s="66" t="e">
        <f t="shared" si="354"/>
        <v>#NUM!</v>
      </c>
      <c r="BK383" s="63" t="e">
        <f t="shared" si="358"/>
        <v>#NUM!</v>
      </c>
      <c r="BL383" s="51">
        <f t="shared" si="355"/>
        <v>-38.104458034060301</v>
      </c>
      <c r="BM383" s="63">
        <f t="shared" si="356"/>
        <v>22.005672298586216</v>
      </c>
    </row>
    <row r="384" spans="14:65" x14ac:dyDescent="0.3">
      <c r="N384" s="11">
        <v>66</v>
      </c>
      <c r="O384" s="52">
        <f t="shared" ref="O384:O418" si="359">10^(4+(N384/100))</f>
        <v>45708.818961487581</v>
      </c>
      <c r="P384" s="50" t="str">
        <f t="shared" si="309"/>
        <v>21.1560044893378</v>
      </c>
      <c r="Q384" s="18" t="str">
        <f t="shared" si="310"/>
        <v>1+200.167591917244i</v>
      </c>
      <c r="R384" s="18">
        <f t="shared" si="321"/>
        <v>200.17008980851347</v>
      </c>
      <c r="S384" s="18">
        <f t="shared" si="322"/>
        <v>1.5658005546463605</v>
      </c>
      <c r="T384" s="18" t="str">
        <f t="shared" si="311"/>
        <v>1+0.28719697970735i</v>
      </c>
      <c r="U384" s="18">
        <f t="shared" si="323"/>
        <v>1.0404240025840541</v>
      </c>
      <c r="V384" s="18">
        <f t="shared" si="324"/>
        <v>0.279669914039545</v>
      </c>
      <c r="W384" s="32" t="str">
        <f t="shared" si="312"/>
        <v>1-0.128983732306437i</v>
      </c>
      <c r="X384" s="18">
        <f t="shared" si="325"/>
        <v>1.0082840885383932</v>
      </c>
      <c r="Y384" s="18">
        <f t="shared" si="326"/>
        <v>-0.12827549632378099</v>
      </c>
      <c r="Z384" s="32" t="str">
        <f t="shared" si="313"/>
        <v>0.997910703869146+0.0703965582288466i</v>
      </c>
      <c r="AA384" s="18">
        <f t="shared" si="327"/>
        <v>1.0003906478506692</v>
      </c>
      <c r="AB384" s="18">
        <f t="shared" si="328"/>
        <v>7.0427274157639136E-2</v>
      </c>
      <c r="AC384" s="68" t="str">
        <f t="shared" si="329"/>
        <v>0.00951555769821963-0.110420956186159i</v>
      </c>
      <c r="AD384" s="66">
        <f t="shared" si="330"/>
        <v>-19.106837600482134</v>
      </c>
      <c r="AE384" s="63">
        <f t="shared" si="331"/>
        <v>-85.074687735369423</v>
      </c>
      <c r="AF384" s="51" t="e">
        <f t="shared" si="332"/>
        <v>#NUM!</v>
      </c>
      <c r="AG384" s="51" t="str">
        <f t="shared" si="314"/>
        <v>1-123.084419874579i</v>
      </c>
      <c r="AH384" s="51">
        <f t="shared" si="333"/>
        <v>123.08848206010852</v>
      </c>
      <c r="AI384" s="51">
        <f t="shared" si="334"/>
        <v>-1.5626720004231065</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-0.000133283554228113</v>
      </c>
      <c r="AT384" s="32" t="str">
        <f t="shared" si="318"/>
        <v>0.0175477354601191i</v>
      </c>
      <c r="AU384" s="32">
        <f t="shared" si="342"/>
        <v>1.7547735460119101E-2</v>
      </c>
      <c r="AV384" s="32">
        <f t="shared" si="343"/>
        <v>1.5707963267948966</v>
      </c>
      <c r="AW384" s="32" t="str">
        <f t="shared" si="319"/>
        <v>1+3.06809149103434i</v>
      </c>
      <c r="AX384" s="32">
        <f t="shared" si="344"/>
        <v>3.2269467608495375</v>
      </c>
      <c r="AY384" s="32">
        <f t="shared" si="345"/>
        <v>1.2557185133764481</v>
      </c>
      <c r="AZ384" s="32" t="str">
        <f t="shared" si="320"/>
        <v>1+45.7220463663898i</v>
      </c>
      <c r="BA384" s="32">
        <f t="shared" si="346"/>
        <v>45.732980702446</v>
      </c>
      <c r="BB384" s="32">
        <f t="shared" si="347"/>
        <v>1.5489285261572998</v>
      </c>
      <c r="BC384" s="60" t="str">
        <f t="shared" si="348"/>
        <v>-0.0311122336228028+0.103050663832423i</v>
      </c>
      <c r="BD384" s="51">
        <f t="shared" si="349"/>
        <v>-19.360136111307142</v>
      </c>
      <c r="BE384" s="63">
        <f t="shared" si="350"/>
        <v>106.79969624331974</v>
      </c>
      <c r="BF384" s="60" t="str">
        <f t="shared" si="351"/>
        <v>0.0110829025818363+0.00441602712325431i</v>
      </c>
      <c r="BG384" s="66">
        <f t="shared" si="352"/>
        <v>-38.466973711789279</v>
      </c>
      <c r="BH384" s="63">
        <f t="shared" si="353"/>
        <v>21.725008507950349</v>
      </c>
      <c r="BI384" s="60" t="e">
        <f t="shared" si="357"/>
        <v>#NUM!</v>
      </c>
      <c r="BJ384" s="66" t="e">
        <f t="shared" si="354"/>
        <v>#NUM!</v>
      </c>
      <c r="BK384" s="63" t="e">
        <f t="shared" si="358"/>
        <v>#NUM!</v>
      </c>
      <c r="BL384" s="51">
        <f t="shared" si="355"/>
        <v>-38.466973711789279</v>
      </c>
      <c r="BM384" s="63">
        <f t="shared" si="356"/>
        <v>21.725008507950349</v>
      </c>
    </row>
    <row r="385" spans="14:65" x14ac:dyDescent="0.3">
      <c r="N385" s="11">
        <v>67</v>
      </c>
      <c r="O385" s="52">
        <f t="shared" si="359"/>
        <v>46773.514128719893</v>
      </c>
      <c r="P385" s="50" t="str">
        <f t="shared" si="309"/>
        <v>21.1560044893378</v>
      </c>
      <c r="Q385" s="18" t="str">
        <f t="shared" si="310"/>
        <v>1+204.83009409063i</v>
      </c>
      <c r="R385" s="18">
        <f t="shared" si="321"/>
        <v>204.83253512363785</v>
      </c>
      <c r="S385" s="18">
        <f t="shared" si="322"/>
        <v>1.5659142704759639</v>
      </c>
      <c r="T385" s="18" t="str">
        <f t="shared" si="311"/>
        <v>1+0.29388665673873i</v>
      </c>
      <c r="U385" s="18">
        <f t="shared" si="323"/>
        <v>1.0422904427313282</v>
      </c>
      <c r="V385" s="18">
        <f t="shared" si="324"/>
        <v>0.28583882905497482</v>
      </c>
      <c r="W385" s="32" t="str">
        <f t="shared" si="312"/>
        <v>1-0.131988149387394i</v>
      </c>
      <c r="X385" s="18">
        <f t="shared" si="325"/>
        <v>1.0086728268267708</v>
      </c>
      <c r="Y385" s="18">
        <f t="shared" si="326"/>
        <v>-0.13122961282819595</v>
      </c>
      <c r="Z385" s="32" t="str">
        <f t="shared" si="313"/>
        <v>0.99781223837605+0.0720363047162629i</v>
      </c>
      <c r="AA385" s="18">
        <f t="shared" si="327"/>
        <v>1.0004091624181566</v>
      </c>
      <c r="AB385" s="18">
        <f t="shared" si="328"/>
        <v>7.2069213596771403E-2</v>
      </c>
      <c r="AC385" s="68" t="str">
        <f t="shared" si="329"/>
        <v>0.00947684604205903-0.108127070134507i</v>
      </c>
      <c r="AD385" s="66">
        <f t="shared" si="330"/>
        <v>-19.288077468348767</v>
      </c>
      <c r="AE385" s="63">
        <f t="shared" si="331"/>
        <v>-84.991084985881869</v>
      </c>
      <c r="AF385" s="51" t="e">
        <f t="shared" si="332"/>
        <v>#NUM!</v>
      </c>
      <c r="AG385" s="51" t="str">
        <f t="shared" si="314"/>
        <v>1-125.951424316599i</v>
      </c>
      <c r="AH385" s="51">
        <f t="shared" si="333"/>
        <v>125.95539403844508</v>
      </c>
      <c r="AI385" s="51">
        <f t="shared" si="334"/>
        <v>-1.5628569248074278</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-0.000133283554228113</v>
      </c>
      <c r="AT385" s="32" t="str">
        <f t="shared" si="318"/>
        <v>0.0179564747267364i</v>
      </c>
      <c r="AU385" s="32">
        <f t="shared" si="342"/>
        <v>1.79564747267364E-2</v>
      </c>
      <c r="AV385" s="32">
        <f t="shared" si="343"/>
        <v>1.5707963267948966</v>
      </c>
      <c r="AW385" s="32" t="str">
        <f t="shared" si="319"/>
        <v>1+3.13955652245166i</v>
      </c>
      <c r="AX385" s="32">
        <f t="shared" si="344"/>
        <v>3.2949681573072542</v>
      </c>
      <c r="AY385" s="32">
        <f t="shared" si="345"/>
        <v>1.2624398219881172</v>
      </c>
      <c r="AZ385" s="32" t="str">
        <f t="shared" si="320"/>
        <v>1+46.7870496394625i</v>
      </c>
      <c r="BA385" s="32">
        <f t="shared" si="346"/>
        <v>46.797735137135945</v>
      </c>
      <c r="BB385" s="32">
        <f t="shared" si="347"/>
        <v>1.5494261447713817</v>
      </c>
      <c r="BC385" s="60" t="str">
        <f t="shared" si="348"/>
        <v>-0.0298409296036781+0.101109875423085i</v>
      </c>
      <c r="BD385" s="51">
        <f t="shared" si="349"/>
        <v>-19.5414180002225</v>
      </c>
      <c r="BE385" s="63">
        <f t="shared" si="350"/>
        <v>106.44310507346022</v>
      </c>
      <c r="BF385" s="60" t="str">
        <f t="shared" si="351"/>
        <v>0.0106499166955572+0.00418481501085213i</v>
      </c>
      <c r="BG385" s="66">
        <f t="shared" si="352"/>
        <v>-38.82949546857126</v>
      </c>
      <c r="BH385" s="63">
        <f t="shared" si="353"/>
        <v>21.452020087578333</v>
      </c>
      <c r="BI385" s="60" t="e">
        <f t="shared" si="357"/>
        <v>#NUM!</v>
      </c>
      <c r="BJ385" s="66" t="e">
        <f t="shared" si="354"/>
        <v>#NUM!</v>
      </c>
      <c r="BK385" s="63" t="e">
        <f t="shared" si="358"/>
        <v>#NUM!</v>
      </c>
      <c r="BL385" s="51">
        <f t="shared" si="355"/>
        <v>-38.82949546857126</v>
      </c>
      <c r="BM385" s="63">
        <f t="shared" si="356"/>
        <v>21.452020087578333</v>
      </c>
    </row>
    <row r="386" spans="14:65" x14ac:dyDescent="0.3">
      <c r="N386" s="11">
        <v>68</v>
      </c>
      <c r="O386" s="52">
        <f t="shared" si="359"/>
        <v>47863.009232263823</v>
      </c>
      <c r="P386" s="50" t="str">
        <f t="shared" si="309"/>
        <v>21.1560044893378</v>
      </c>
      <c r="Q386" s="18" t="str">
        <f t="shared" si="310"/>
        <v>1+209.601199891149i</v>
      </c>
      <c r="R386" s="18">
        <f t="shared" si="321"/>
        <v>209.60358536010162</v>
      </c>
      <c r="S386" s="18">
        <f t="shared" si="322"/>
        <v>1.5660253979392711</v>
      </c>
      <c r="T386" s="18" t="str">
        <f t="shared" si="311"/>
        <v>1+0.300732156365561i</v>
      </c>
      <c r="U386" s="18">
        <f t="shared" si="323"/>
        <v>1.0442412699526293</v>
      </c>
      <c r="V386" s="18">
        <f t="shared" si="324"/>
        <v>0.29212836213633675</v>
      </c>
      <c r="W386" s="32" t="str">
        <f t="shared" si="312"/>
        <v>1-0.135062548332225i</v>
      </c>
      <c r="X386" s="18">
        <f t="shared" si="325"/>
        <v>1.0090797252754584</v>
      </c>
      <c r="Y386" s="18">
        <f t="shared" si="326"/>
        <v>-0.13425015623540748</v>
      </c>
      <c r="Z386" s="32" t="str">
        <f t="shared" si="313"/>
        <v>0.997709132347232+0.0737142458059527i</v>
      </c>
      <c r="AA386" s="18">
        <f t="shared" si="327"/>
        <v>1.0004285595702509</v>
      </c>
      <c r="AB386" s="18">
        <f t="shared" si="328"/>
        <v>7.3749504009127193E-2</v>
      </c>
      <c r="AC386" s="68" t="str">
        <f t="shared" si="329"/>
        <v>0.00943849941552597-0.105890447667478i</v>
      </c>
      <c r="AD386" s="66">
        <f t="shared" si="330"/>
        <v>-19.468496087806372</v>
      </c>
      <c r="AE386" s="63">
        <f t="shared" si="331"/>
        <v>-84.906426357900969</v>
      </c>
      <c r="AF386" s="51" t="e">
        <f t="shared" si="332"/>
        <v>#NUM!</v>
      </c>
      <c r="AG386" s="51" t="str">
        <f t="shared" si="314"/>
        <v>1-128.885209870955i</v>
      </c>
      <c r="AH386" s="51">
        <f t="shared" si="333"/>
        <v>128.88908923365128</v>
      </c>
      <c r="AI386" s="51">
        <f t="shared" si="334"/>
        <v>-1.5630376403235622</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-0.000133283554228113</v>
      </c>
      <c r="AT386" s="32" t="str">
        <f t="shared" si="318"/>
        <v>0.0183747347539358i</v>
      </c>
      <c r="AU386" s="32">
        <f t="shared" si="342"/>
        <v>1.8374734753935799E-2</v>
      </c>
      <c r="AV386" s="32">
        <f t="shared" si="343"/>
        <v>1.5707963267948966</v>
      </c>
      <c r="AW386" s="32" t="str">
        <f t="shared" si="319"/>
        <v>1+3.21268618829411i</v>
      </c>
      <c r="AX386" s="32">
        <f t="shared" si="344"/>
        <v>3.3647217633046176</v>
      </c>
      <c r="AY386" s="32">
        <f t="shared" si="345"/>
        <v>1.2690360606278202</v>
      </c>
      <c r="AZ386" s="32" t="str">
        <f t="shared" si="320"/>
        <v>1+47.8768600255536i</v>
      </c>
      <c r="BA386" s="32">
        <f t="shared" si="346"/>
        <v>47.887302345261126</v>
      </c>
      <c r="BB386" s="32">
        <f t="shared" si="347"/>
        <v>1.5499124464314082</v>
      </c>
      <c r="BC386" s="60" t="str">
        <f t="shared" si="348"/>
        <v>-0.0286164975048672+0.0991894577592837i</v>
      </c>
      <c r="BD386" s="51">
        <f t="shared" si="349"/>
        <v>-19.723465959451119</v>
      </c>
      <c r="BE386" s="63">
        <f t="shared" si="350"/>
        <v>106.09303147143385</v>
      </c>
      <c r="BF386" s="60" t="str">
        <f t="shared" si="351"/>
        <v>0.0102331192910509+0.00396641337055299i</v>
      </c>
      <c r="BG386" s="66">
        <f t="shared" si="352"/>
        <v>-39.191962047257462</v>
      </c>
      <c r="BH386" s="63">
        <f t="shared" si="353"/>
        <v>21.186605113532806</v>
      </c>
      <c r="BI386" s="60" t="e">
        <f t="shared" si="357"/>
        <v>#NUM!</v>
      </c>
      <c r="BJ386" s="66" t="e">
        <f t="shared" si="354"/>
        <v>#NUM!</v>
      </c>
      <c r="BK386" s="63" t="e">
        <f t="shared" si="358"/>
        <v>#NUM!</v>
      </c>
      <c r="BL386" s="51">
        <f t="shared" si="355"/>
        <v>-39.191962047257462</v>
      </c>
      <c r="BM386" s="63">
        <f t="shared" si="356"/>
        <v>21.186605113532806</v>
      </c>
    </row>
    <row r="387" spans="14:65" x14ac:dyDescent="0.3">
      <c r="N387" s="11">
        <v>69</v>
      </c>
      <c r="O387" s="52">
        <f t="shared" si="359"/>
        <v>48977.881936844598</v>
      </c>
      <c r="P387" s="50" t="str">
        <f t="shared" si="309"/>
        <v>21.1560044893378</v>
      </c>
      <c r="Q387" s="18" t="str">
        <f t="shared" si="310"/>
        <v>1+214.48343902225i</v>
      </c>
      <c r="R387" s="18">
        <f t="shared" si="321"/>
        <v>214.48577019189696</v>
      </c>
      <c r="S387" s="18">
        <f t="shared" si="322"/>
        <v>1.5661339959465488</v>
      </c>
      <c r="T387" s="18" t="str">
        <f t="shared" si="311"/>
        <v>1+0.307737108162358i</v>
      </c>
      <c r="U387" s="18">
        <f t="shared" si="323"/>
        <v>1.0462801382708795</v>
      </c>
      <c r="V387" s="18">
        <f t="shared" si="324"/>
        <v>0.29853985690560442</v>
      </c>
      <c r="W387" s="32" t="str">
        <f t="shared" si="312"/>
        <v>1-0.138208559227947i</v>
      </c>
      <c r="X387" s="18">
        <f t="shared" si="325"/>
        <v>1.0095056244736158</v>
      </c>
      <c r="Y387" s="18">
        <f t="shared" si="326"/>
        <v>-0.13733850749308907</v>
      </c>
      <c r="Z387" s="32" t="str">
        <f t="shared" si="313"/>
        <v>0.997601167080981+0.0754312711644922i</v>
      </c>
      <c r="AA387" s="18">
        <f t="shared" si="327"/>
        <v>1.0004488818679476</v>
      </c>
      <c r="AB387" s="18">
        <f t="shared" si="328"/>
        <v>7.5469046187774891E-2</v>
      </c>
      <c r="AC387" s="68" t="str">
        <f t="shared" si="329"/>
        <v>0.0094004366295588-0.103709899555005i</v>
      </c>
      <c r="AD387" s="66">
        <f t="shared" si="330"/>
        <v>-19.648060266386899</v>
      </c>
      <c r="AE387" s="63">
        <f t="shared" si="331"/>
        <v>-84.820768976982578</v>
      </c>
      <c r="AF387" s="51" t="e">
        <f t="shared" si="332"/>
        <v>#NUM!</v>
      </c>
      <c r="AG387" s="51" t="str">
        <f t="shared" si="314"/>
        <v>1-131.887332069582i</v>
      </c>
      <c r="AH387" s="51">
        <f t="shared" si="333"/>
        <v>131.89112312977014</v>
      </c>
      <c r="AI387" s="51">
        <f t="shared" si="334"/>
        <v>-1.5632142427420266</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-0.000133283554228113</v>
      </c>
      <c r="AT387" s="32" t="str">
        <f t="shared" si="318"/>
        <v>0.0188027373087201i</v>
      </c>
      <c r="AU387" s="32">
        <f t="shared" si="342"/>
        <v>1.8802737308720101E-2</v>
      </c>
      <c r="AV387" s="32">
        <f t="shared" si="343"/>
        <v>1.5707963267948966</v>
      </c>
      <c r="AW387" s="32" t="str">
        <f t="shared" si="319"/>
        <v>1+3.28751926287852i</v>
      </c>
      <c r="AX387" s="32">
        <f t="shared" si="344"/>
        <v>3.4362454661734114</v>
      </c>
      <c r="AY387" s="32">
        <f t="shared" si="345"/>
        <v>1.2755084298514072</v>
      </c>
      <c r="AZ387" s="32" t="str">
        <f t="shared" si="320"/>
        <v>1+48.9920553565555i</v>
      </c>
      <c r="BA387" s="32">
        <f t="shared" si="346"/>
        <v>49.002260030123082</v>
      </c>
      <c r="BB387" s="32">
        <f t="shared" si="347"/>
        <v>1.5503876880603875</v>
      </c>
      <c r="BC387" s="60" t="str">
        <f t="shared" si="348"/>
        <v>-0.0274376197021668+0.097290221956078i</v>
      </c>
      <c r="BD387" s="51">
        <f t="shared" si="349"/>
        <v>-19.906251649537275</v>
      </c>
      <c r="BE387" s="63">
        <f t="shared" si="350"/>
        <v>105.74942137106129</v>
      </c>
      <c r="BF387" s="60" t="str">
        <f t="shared" si="351"/>
        <v>0.00983203354147284+0.00376012334951397i</v>
      </c>
      <c r="BG387" s="66">
        <f t="shared" si="352"/>
        <v>-39.554311915924174</v>
      </c>
      <c r="BH387" s="63">
        <f t="shared" si="353"/>
        <v>20.928652394078739</v>
      </c>
      <c r="BI387" s="60" t="e">
        <f t="shared" si="357"/>
        <v>#NUM!</v>
      </c>
      <c r="BJ387" s="66" t="e">
        <f t="shared" si="354"/>
        <v>#NUM!</v>
      </c>
      <c r="BK387" s="63" t="e">
        <f t="shared" si="358"/>
        <v>#NUM!</v>
      </c>
      <c r="BL387" s="51">
        <f t="shared" si="355"/>
        <v>-39.554311915924174</v>
      </c>
      <c r="BM387" s="63">
        <f t="shared" si="356"/>
        <v>20.928652394078739</v>
      </c>
    </row>
    <row r="388" spans="14:65" x14ac:dyDescent="0.3">
      <c r="N388" s="11">
        <v>70</v>
      </c>
      <c r="O388" s="52">
        <f t="shared" si="359"/>
        <v>50118.723362727294</v>
      </c>
      <c r="P388" s="50" t="str">
        <f t="shared" si="309"/>
        <v>21.1560044893378</v>
      </c>
      <c r="Q388" s="18" t="str">
        <f t="shared" si="310"/>
        <v>1+219.479400111745i</v>
      </c>
      <c r="R388" s="18">
        <f t="shared" si="321"/>
        <v>219.48167821804958</v>
      </c>
      <c r="S388" s="18">
        <f t="shared" si="322"/>
        <v>1.5662401220676461</v>
      </c>
      <c r="T388" s="18" t="str">
        <f t="shared" si="311"/>
        <v>1+0.314905226247286i</v>
      </c>
      <c r="U388" s="18">
        <f t="shared" si="323"/>
        <v>1.048410845765082</v>
      </c>
      <c r="V388" s="18">
        <f t="shared" si="324"/>
        <v>0.30507460357239852</v>
      </c>
      <c r="W388" s="32" t="str">
        <f t="shared" si="312"/>
        <v>1-0.141427850131178i</v>
      </c>
      <c r="X388" s="18">
        <f t="shared" si="325"/>
        <v>1.0099514031837011</v>
      </c>
      <c r="Y388" s="18">
        <f t="shared" si="326"/>
        <v>-0.1404960683104042</v>
      </c>
      <c r="Z388" s="32" t="str">
        <f t="shared" si="313"/>
        <v>0.99748811356849+0.0771882911814544i</v>
      </c>
      <c r="AA388" s="18">
        <f t="shared" si="327"/>
        <v>1.0004701739711872</v>
      </c>
      <c r="AB388" s="18">
        <f t="shared" si="328"/>
        <v>7.7228762437575246E-2</v>
      </c>
      <c r="AC388" s="68" t="str">
        <f t="shared" si="329"/>
        <v>0.0093625771105021-0.10158426596197i</v>
      </c>
      <c r="AD388" s="66">
        <f t="shared" si="330"/>
        <v>-19.826735715427468</v>
      </c>
      <c r="AE388" s="63">
        <f t="shared" si="331"/>
        <v>-84.734175374265249</v>
      </c>
      <c r="AF388" s="51" t="e">
        <f t="shared" si="332"/>
        <v>#NUM!</v>
      </c>
      <c r="AG388" s="51" t="str">
        <f t="shared" si="314"/>
        <v>1-134.959382677408i</v>
      </c>
      <c r="AH388" s="51">
        <f t="shared" si="333"/>
        <v>134.96308744492717</v>
      </c>
      <c r="AI388" s="51">
        <f t="shared" si="334"/>
        <v>-1.563386825655672</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-0.000133283554228113</v>
      </c>
      <c r="AT388" s="32" t="str">
        <f t="shared" si="318"/>
        <v>0.0192407093237092i</v>
      </c>
      <c r="AU388" s="32">
        <f t="shared" si="342"/>
        <v>1.92407093237092E-2</v>
      </c>
      <c r="AV388" s="32">
        <f t="shared" si="343"/>
        <v>1.5707963267948966</v>
      </c>
      <c r="AW388" s="32" t="str">
        <f t="shared" si="319"/>
        <v>1+3.36409542369159i</v>
      </c>
      <c r="AX388" s="32">
        <f t="shared" si="344"/>
        <v>3.5095780401214474</v>
      </c>
      <c r="AY388" s="32">
        <f t="shared" si="345"/>
        <v>1.2818581915018921</v>
      </c>
      <c r="AZ388" s="32" t="str">
        <f t="shared" si="320"/>
        <v>1+50.1332269237941i</v>
      </c>
      <c r="BA388" s="32">
        <f t="shared" si="346"/>
        <v>50.143199357366832</v>
      </c>
      <c r="BB388" s="32">
        <f t="shared" si="347"/>
        <v>1.5508521207785457</v>
      </c>
      <c r="BC388" s="60" t="str">
        <f t="shared" si="348"/>
        <v>-0.0263029817740047+0.0954129048890862i</v>
      </c>
      <c r="BD388" s="51">
        <f t="shared" si="349"/>
        <v>-20.089747535124101</v>
      </c>
      <c r="BE388" s="63">
        <f t="shared" si="350"/>
        <v>105.41221686219286</v>
      </c>
      <c r="BF388" s="60" t="str">
        <f t="shared" si="351"/>
        <v>0.00944618621136183+0.00356527977548442i</v>
      </c>
      <c r="BG388" s="66">
        <f t="shared" si="352"/>
        <v>-39.916483250551565</v>
      </c>
      <c r="BH388" s="63">
        <f t="shared" si="353"/>
        <v>20.678041487927636</v>
      </c>
      <c r="BI388" s="60" t="e">
        <f t="shared" si="357"/>
        <v>#NUM!</v>
      </c>
      <c r="BJ388" s="66" t="e">
        <f t="shared" si="354"/>
        <v>#NUM!</v>
      </c>
      <c r="BK388" s="63" t="e">
        <f t="shared" si="358"/>
        <v>#NUM!</v>
      </c>
      <c r="BL388" s="51">
        <f t="shared" si="355"/>
        <v>-39.916483250551565</v>
      </c>
      <c r="BM388" s="63">
        <f t="shared" si="356"/>
        <v>20.678041487927636</v>
      </c>
    </row>
    <row r="389" spans="14:65" x14ac:dyDescent="0.3">
      <c r="N389" s="11">
        <v>71</v>
      </c>
      <c r="O389" s="52">
        <f t="shared" si="359"/>
        <v>51286.138399136544</v>
      </c>
      <c r="P389" s="50" t="str">
        <f t="shared" si="309"/>
        <v>21.1560044893378</v>
      </c>
      <c r="Q389" s="18" t="str">
        <f t="shared" si="310"/>
        <v>1+224.591732084333i</v>
      </c>
      <c r="R389" s="18">
        <f t="shared" si="321"/>
        <v>224.5939583351271</v>
      </c>
      <c r="S389" s="18">
        <f t="shared" si="322"/>
        <v>1.5663438325624695</v>
      </c>
      <c r="T389" s="18" t="str">
        <f t="shared" si="311"/>
        <v>1+0.322240311251434i</v>
      </c>
      <c r="U389" s="18">
        <f t="shared" si="323"/>
        <v>1.0506373390449346</v>
      </c>
      <c r="V389" s="18">
        <f t="shared" si="324"/>
        <v>0.31173383371855518</v>
      </c>
      <c r="W389" s="32" t="str">
        <f t="shared" si="312"/>
        <v>1-0.144722127952567i</v>
      </c>
      <c r="X389" s="18">
        <f t="shared" si="325"/>
        <v>1.0104179800058584</v>
      </c>
      <c r="Y389" s="18">
        <f t="shared" si="326"/>
        <v>-0.14372426088391163</v>
      </c>
      <c r="Z389" s="32" t="str">
        <f t="shared" si="313"/>
        <v>0.997369732008105+0.0789862374521088i</v>
      </c>
      <c r="AA389" s="18">
        <f t="shared" si="327"/>
        <v>1.0004924827467523</v>
      </c>
      <c r="AB389" s="18">
        <f t="shared" si="328"/>
        <v>7.9029597113444663E-2</v>
      </c>
      <c r="AC389" s="68" t="str">
        <f t="shared" si="329"/>
        <v>0.00932484073062192-0.0995124158154987i</v>
      </c>
      <c r="AD389" s="66">
        <f t="shared" si="330"/>
        <v>-20.004487034763162</v>
      </c>
      <c r="AE389" s="63">
        <f t="shared" si="331"/>
        <v>-84.646713802174347</v>
      </c>
      <c r="AF389" s="51" t="e">
        <f t="shared" si="332"/>
        <v>#NUM!</v>
      </c>
      <c r="AG389" s="51" t="str">
        <f t="shared" si="314"/>
        <v>1-138.102990536329i</v>
      </c>
      <c r="AH389" s="51">
        <f t="shared" si="333"/>
        <v>138.10661097528018</v>
      </c>
      <c r="AI389" s="51">
        <f t="shared" si="334"/>
        <v>-1.5635554805290972</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-0.000133283554228113</v>
      </c>
      <c r="AT389" s="32" t="str">
        <f t="shared" si="318"/>
        <v>0.0196888830174626i</v>
      </c>
      <c r="AU389" s="32">
        <f t="shared" si="342"/>
        <v>1.9688883017462602E-2</v>
      </c>
      <c r="AV389" s="32">
        <f t="shared" si="343"/>
        <v>1.5707963267948966</v>
      </c>
      <c r="AW389" s="32" t="str">
        <f t="shared" si="319"/>
        <v>1+3.44245527242737i</v>
      </c>
      <c r="AX389" s="32">
        <f t="shared" si="344"/>
        <v>3.5847591694091525</v>
      </c>
      <c r="AY389" s="32">
        <f t="shared" si="345"/>
        <v>1.2880866633911288</v>
      </c>
      <c r="AZ389" s="32" t="str">
        <f t="shared" si="320"/>
        <v>1+51.3009797915395i</v>
      </c>
      <c r="BA389" s="32">
        <f t="shared" si="346"/>
        <v>51.310725268426516</v>
      </c>
      <c r="BB389" s="32">
        <f t="shared" si="347"/>
        <v>1.5513059900323813</v>
      </c>
      <c r="BC389" s="60" t="str">
        <f t="shared" si="348"/>
        <v>-0.0252112757972197+0.093558172056708i</v>
      </c>
      <c r="BD389" s="51">
        <f t="shared" si="349"/>
        <v>-20.273926882324751</v>
      </c>
      <c r="BE389" s="63">
        <f t="shared" si="350"/>
        <v>105.08135650281922</v>
      </c>
      <c r="BF389" s="60" t="str">
        <f t="shared" si="351"/>
        <v>0.00907510858922024+0.00338125001384907i</v>
      </c>
      <c r="BG389" s="66">
        <f t="shared" si="352"/>
        <v>-40.27841391708791</v>
      </c>
      <c r="BH389" s="63">
        <f t="shared" si="353"/>
        <v>20.434642700644876</v>
      </c>
      <c r="BI389" s="60" t="e">
        <f t="shared" si="357"/>
        <v>#NUM!</v>
      </c>
      <c r="BJ389" s="66" t="e">
        <f t="shared" si="354"/>
        <v>#NUM!</v>
      </c>
      <c r="BK389" s="63" t="e">
        <f t="shared" si="358"/>
        <v>#NUM!</v>
      </c>
      <c r="BL389" s="51">
        <f t="shared" si="355"/>
        <v>-40.27841391708791</v>
      </c>
      <c r="BM389" s="63">
        <f t="shared" si="356"/>
        <v>20.434642700644876</v>
      </c>
    </row>
    <row r="390" spans="14:65" x14ac:dyDescent="0.3">
      <c r="N390" s="11">
        <v>72</v>
      </c>
      <c r="O390" s="52">
        <f t="shared" si="359"/>
        <v>52480.746024977314</v>
      </c>
      <c r="P390" s="50" t="str">
        <f t="shared" si="309"/>
        <v>21.1560044893378</v>
      </c>
      <c r="Q390" s="18" t="str">
        <f t="shared" si="310"/>
        <v>1+229.823145566094i</v>
      </c>
      <c r="R390" s="18">
        <f t="shared" si="321"/>
        <v>229.82532114171849</v>
      </c>
      <c r="S390" s="18">
        <f t="shared" si="322"/>
        <v>1.566445182410767</v>
      </c>
      <c r="T390" s="18" t="str">
        <f t="shared" si="311"/>
        <v>1+0.329746252333961i</v>
      </c>
      <c r="U390" s="18">
        <f t="shared" si="323"/>
        <v>1.0529637177644311</v>
      </c>
      <c r="V390" s="18">
        <f t="shared" si="324"/>
        <v>0.31851871487606248</v>
      </c>
      <c r="W390" s="32" t="str">
        <f t="shared" si="312"/>
        <v>1-0.14809313936182i</v>
      </c>
      <c r="X390" s="18">
        <f t="shared" si="325"/>
        <v>1.0109063151083979</v>
      </c>
      <c r="Y390" s="18">
        <f t="shared" si="326"/>
        <v>-0.14702452756963363</v>
      </c>
      <c r="Z390" s="32" t="str">
        <f t="shared" si="313"/>
        <v>0.997245771296662+0.0808260632713665i</v>
      </c>
      <c r="AA390" s="18">
        <f t="shared" si="327"/>
        <v>1.0005158573820914</v>
      </c>
      <c r="AB390" s="18">
        <f t="shared" si="328"/>
        <v>8.0872517173735198E-2</v>
      </c>
      <c r="AC390" s="68" t="str">
        <f t="shared" si="329"/>
        <v>0.00928714763969912-0.0974932461857944i</v>
      </c>
      <c r="AD390" s="66">
        <f t="shared" si="330"/>
        <v>-20.1812776991353</v>
      </c>
      <c r="AE390" s="63">
        <f t="shared" si="331"/>
        <v>-84.558458559707205</v>
      </c>
      <c r="AF390" s="51" t="e">
        <f t="shared" si="332"/>
        <v>#NUM!</v>
      </c>
      <c r="AG390" s="51" t="str">
        <f t="shared" si="314"/>
        <v>1-141.319822428841i</v>
      </c>
      <c r="AH390" s="51">
        <f t="shared" si="333"/>
        <v>141.32336045862749</v>
      </c>
      <c r="AI390" s="51">
        <f t="shared" si="334"/>
        <v>-1.5637202967469483</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-0.000133283554228113</v>
      </c>
      <c r="AT390" s="32" t="str">
        <f t="shared" si="318"/>
        <v>0.020147496017605i</v>
      </c>
      <c r="AU390" s="32">
        <f t="shared" si="342"/>
        <v>2.0147496017605002E-2</v>
      </c>
      <c r="AV390" s="32">
        <f t="shared" si="343"/>
        <v>1.5707963267948966</v>
      </c>
      <c r="AW390" s="32" t="str">
        <f t="shared" si="319"/>
        <v>1+3.52264035651485i</v>
      </c>
      <c r="AX390" s="32">
        <f t="shared" si="344"/>
        <v>3.6618294719097815</v>
      </c>
      <c r="AY390" s="32">
        <f t="shared" si="345"/>
        <v>1.2941952141902153</v>
      </c>
      <c r="AZ390" s="32" t="str">
        <f t="shared" si="320"/>
        <v>1+52.4959331178189i</v>
      </c>
      <c r="BA390" s="32">
        <f t="shared" si="346"/>
        <v>52.505456801274612</v>
      </c>
      <c r="BB390" s="32">
        <f t="shared" si="347"/>
        <v>1.5517495357209843</v>
      </c>
      <c r="BC390" s="60" t="str">
        <f t="shared" si="348"/>
        <v>-0.024161203347059+0.0917266204958611i</v>
      </c>
      <c r="BD390" s="51">
        <f t="shared" si="349"/>
        <v>-20.458763754133926</v>
      </c>
      <c r="BE390" s="63">
        <f t="shared" si="350"/>
        <v>104.75677561906845</v>
      </c>
      <c r="BF390" s="60" t="str">
        <f t="shared" si="351"/>
        <v>0.00871833733115699+0.00320743281309558i</v>
      </c>
      <c r="BG390" s="66">
        <f t="shared" si="352"/>
        <v>-40.640041453269227</v>
      </c>
      <c r="BH390" s="63">
        <f t="shared" si="353"/>
        <v>20.198317059361262</v>
      </c>
      <c r="BI390" s="60" t="e">
        <f t="shared" si="357"/>
        <v>#NUM!</v>
      </c>
      <c r="BJ390" s="66" t="e">
        <f t="shared" si="354"/>
        <v>#NUM!</v>
      </c>
      <c r="BK390" s="63" t="e">
        <f t="shared" si="358"/>
        <v>#NUM!</v>
      </c>
      <c r="BL390" s="51">
        <f t="shared" si="355"/>
        <v>-40.640041453269227</v>
      </c>
      <c r="BM390" s="63">
        <f t="shared" si="356"/>
        <v>20.198317059361262</v>
      </c>
    </row>
    <row r="391" spans="14:65" x14ac:dyDescent="0.3">
      <c r="N391" s="11">
        <v>73</v>
      </c>
      <c r="O391" s="52">
        <f t="shared" si="359"/>
        <v>53703.179637025423</v>
      </c>
      <c r="P391" s="50" t="str">
        <f t="shared" si="309"/>
        <v>21.1560044893378</v>
      </c>
      <c r="Q391" s="18" t="str">
        <f t="shared" si="310"/>
        <v>1+235.176414321704i</v>
      </c>
      <c r="R391" s="18">
        <f t="shared" si="321"/>
        <v>235.17854037563416</v>
      </c>
      <c r="S391" s="18">
        <f t="shared" si="322"/>
        <v>1.5665442253412369</v>
      </c>
      <c r="T391" s="18" t="str">
        <f t="shared" si="311"/>
        <v>1+0.337427029244184i</v>
      </c>
      <c r="U391" s="18">
        <f t="shared" si="323"/>
        <v>1.0553942391658935</v>
      </c>
      <c r="V391" s="18">
        <f t="shared" si="324"/>
        <v>0.32543034490374056</v>
      </c>
      <c r="W391" s="32" t="str">
        <f t="shared" si="312"/>
        <v>1-0.151542671713808i</v>
      </c>
      <c r="X391" s="18">
        <f t="shared" si="325"/>
        <v>1.0114174120263892</v>
      </c>
      <c r="Y391" s="18">
        <f t="shared" si="326"/>
        <v>-0.1503983304974128</v>
      </c>
      <c r="Z391" s="32" t="str">
        <f t="shared" si="313"/>
        <v>0.997115968496873+0.0827087441392303i</v>
      </c>
      <c r="AA391" s="18">
        <f t="shared" si="327"/>
        <v>1.0005403495054788</v>
      </c>
      <c r="AB391" s="18">
        <f t="shared" si="328"/>
        <v>8.2758512749252236E-2</v>
      </c>
      <c r="AC391" s="68" t="str">
        <f t="shared" si="329"/>
        <v>0.00924941809735733-0.0955256816800834i</v>
      </c>
      <c r="AD391" s="66">
        <f t="shared" si="330"/>
        <v>-20.357070046507808</v>
      </c>
      <c r="AE391" s="63">
        <f t="shared" si="331"/>
        <v>-84.469490326800042</v>
      </c>
      <c r="AF391" s="51" t="e">
        <f t="shared" si="332"/>
        <v>#NUM!</v>
      </c>
      <c r="AG391" s="51" t="str">
        <f t="shared" si="314"/>
        <v>1-144.611583961793i</v>
      </c>
      <c r="AH391" s="51">
        <f t="shared" si="333"/>
        <v>144.61504145813706</v>
      </c>
      <c r="AI391" s="51">
        <f t="shared" si="334"/>
        <v>-1.5638813616611276</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-0.000133283554228113</v>
      </c>
      <c r="AT391" s="32" t="str">
        <f t="shared" si="318"/>
        <v>0.0206167914868196i</v>
      </c>
      <c r="AU391" s="32">
        <f t="shared" si="342"/>
        <v>2.0616791486819601E-2</v>
      </c>
      <c r="AV391" s="32">
        <f t="shared" si="343"/>
        <v>1.5707963267948966</v>
      </c>
      <c r="AW391" s="32" t="str">
        <f t="shared" si="319"/>
        <v>1+3.60469319114703i</v>
      </c>
      <c r="AX391" s="32">
        <f t="shared" si="344"/>
        <v>3.7408305230659353</v>
      </c>
      <c r="AY391" s="32">
        <f t="shared" si="345"/>
        <v>1.3001852585315894</v>
      </c>
      <c r="AZ391" s="32" t="str">
        <f t="shared" si="320"/>
        <v>1+53.7187204827033i</v>
      </c>
      <c r="BA391" s="32">
        <f t="shared" si="346"/>
        <v>53.728027418646285</v>
      </c>
      <c r="BB391" s="32">
        <f t="shared" si="347"/>
        <v>1.5521829923196697</v>
      </c>
      <c r="BC391" s="60" t="str">
        <f t="shared" si="348"/>
        <v>-0.0231514782130396+0.0899187817303038i</v>
      </c>
      <c r="BD391" s="51">
        <f t="shared" si="349"/>
        <v>-20.644233004059522</v>
      </c>
      <c r="BE391" s="63">
        <f t="shared" si="350"/>
        <v>104.43840659291821</v>
      </c>
      <c r="BF391" s="60" t="str">
        <f t="shared" si="351"/>
        <v>0.00837541521906564+0.0030432571452308i</v>
      </c>
      <c r="BG391" s="66">
        <f t="shared" si="352"/>
        <v>-41.00130305056733</v>
      </c>
      <c r="BH391" s="63">
        <f t="shared" si="353"/>
        <v>19.968916266118164</v>
      </c>
      <c r="BI391" s="60" t="e">
        <f t="shared" si="357"/>
        <v>#NUM!</v>
      </c>
      <c r="BJ391" s="66" t="e">
        <f t="shared" si="354"/>
        <v>#NUM!</v>
      </c>
      <c r="BK391" s="63" t="e">
        <f t="shared" si="358"/>
        <v>#NUM!</v>
      </c>
      <c r="BL391" s="51">
        <f t="shared" si="355"/>
        <v>-41.00130305056733</v>
      </c>
      <c r="BM391" s="63">
        <f t="shared" si="356"/>
        <v>19.968916266118164</v>
      </c>
    </row>
    <row r="392" spans="14:65" x14ac:dyDescent="0.3">
      <c r="N392" s="11">
        <v>74</v>
      </c>
      <c r="O392" s="52">
        <f t="shared" si="359"/>
        <v>54954.087385762505</v>
      </c>
      <c r="P392" s="50" t="str">
        <f t="shared" si="309"/>
        <v>21.1560044893378</v>
      </c>
      <c r="Q392" s="18" t="str">
        <f t="shared" si="310"/>
        <v>1+240.654376725115i</v>
      </c>
      <c r="R392" s="18">
        <f t="shared" si="321"/>
        <v>240.65645438457193</v>
      </c>
      <c r="S392" s="18">
        <f t="shared" si="322"/>
        <v>1.5666410138599745</v>
      </c>
      <c r="T392" s="18" t="str">
        <f t="shared" si="311"/>
        <v>1+0.345286714431686i</v>
      </c>
      <c r="U392" s="18">
        <f t="shared" si="323"/>
        <v>1.0579333226451602</v>
      </c>
      <c r="V392" s="18">
        <f t="shared" si="324"/>
        <v>0.3324697461698124</v>
      </c>
      <c r="W392" s="32" t="str">
        <f t="shared" si="312"/>
        <v>1-0.155072553996242i</v>
      </c>
      <c r="X392" s="18">
        <f t="shared" si="325"/>
        <v>1.0119523195303806</v>
      </c>
      <c r="Y392" s="18">
        <f t="shared" si="326"/>
        <v>-0.15384715112347719</v>
      </c>
      <c r="Z392" s="32" t="str">
        <f t="shared" si="313"/>
        <v>0.996980048279598+0.0846352782780161i</v>
      </c>
      <c r="AA392" s="18">
        <f t="shared" si="327"/>
        <v>1.000566013312858</v>
      </c>
      <c r="AB392" s="18">
        <f t="shared" si="328"/>
        <v>8.4688597728460172E-2</v>
      </c>
      <c r="AC392" s="68" t="str">
        <f t="shared" si="329"/>
        <v>0.00921157230578511-0.0936086738492502i</v>
      </c>
      <c r="AD392" s="66">
        <f t="shared" si="330"/>
        <v>-20.531825268491136</v>
      </c>
      <c r="AE392" s="63">
        <f t="shared" si="331"/>
        <v>-84.379896507165427</v>
      </c>
      <c r="AF392" s="51" t="e">
        <f t="shared" si="332"/>
        <v>#NUM!</v>
      </c>
      <c r="AG392" s="51" t="str">
        <f t="shared" si="314"/>
        <v>1-147.980020470723i</v>
      </c>
      <c r="AH392" s="51">
        <f t="shared" si="333"/>
        <v>147.98339926665963</v>
      </c>
      <c r="AI392" s="51">
        <f t="shared" si="334"/>
        <v>-1.5640387606369388</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-0.000133283554228113</v>
      </c>
      <c r="AT392" s="32" t="str">
        <f t="shared" si="318"/>
        <v>0.021097018251776i</v>
      </c>
      <c r="AU392" s="32">
        <f t="shared" si="342"/>
        <v>2.1097018251776001E-2</v>
      </c>
      <c r="AV392" s="32">
        <f t="shared" si="343"/>
        <v>1.5707963267948966</v>
      </c>
      <c r="AW392" s="32" t="str">
        <f t="shared" si="319"/>
        <v>1+3.6886572818229i</v>
      </c>
      <c r="AX392" s="32">
        <f t="shared" si="344"/>
        <v>3.8218048802555455</v>
      </c>
      <c r="AY392" s="32">
        <f t="shared" si="345"/>
        <v>1.3060582523243598</v>
      </c>
      <c r="AZ392" s="32" t="str">
        <f t="shared" si="320"/>
        <v>1+54.9699902242388i</v>
      </c>
      <c r="BA392" s="32">
        <f t="shared" si="346"/>
        <v>54.97908534390973</v>
      </c>
      <c r="BB392" s="32">
        <f t="shared" si="347"/>
        <v>1.5526065890009715</v>
      </c>
      <c r="BC392" s="60" t="str">
        <f t="shared" si="348"/>
        <v>-0.02218082884311+0.0881351247326316i</v>
      </c>
      <c r="BD392" s="51">
        <f t="shared" si="349"/>
        <v>-20.830310268146274</v>
      </c>
      <c r="BE392" s="63">
        <f t="shared" si="350"/>
        <v>104.12617913754028</v>
      </c>
      <c r="BF392" s="60" t="str">
        <f t="shared" si="351"/>
        <v>0.00804589183706935+0.00288818104703475i</v>
      </c>
      <c r="BG392" s="66">
        <f t="shared" si="352"/>
        <v>-41.36213553663741</v>
      </c>
      <c r="BH392" s="63">
        <f t="shared" si="353"/>
        <v>19.746282630374836</v>
      </c>
      <c r="BI392" s="60" t="e">
        <f t="shared" si="357"/>
        <v>#NUM!</v>
      </c>
      <c r="BJ392" s="66" t="e">
        <f t="shared" si="354"/>
        <v>#NUM!</v>
      </c>
      <c r="BK392" s="63" t="e">
        <f t="shared" si="358"/>
        <v>#NUM!</v>
      </c>
      <c r="BL392" s="51">
        <f t="shared" si="355"/>
        <v>-41.36213553663741</v>
      </c>
      <c r="BM392" s="63">
        <f t="shared" si="356"/>
        <v>19.746282630374836</v>
      </c>
    </row>
    <row r="393" spans="14:65" x14ac:dyDescent="0.3">
      <c r="N393" s="11">
        <v>75</v>
      </c>
      <c r="O393" s="52">
        <f t="shared" si="359"/>
        <v>56234.132519034953</v>
      </c>
      <c r="P393" s="50" t="str">
        <f t="shared" si="309"/>
        <v>21.1560044893378</v>
      </c>
      <c r="Q393" s="18" t="str">
        <f t="shared" si="310"/>
        <v>1+246.259937264503i</v>
      </c>
      <c r="R393" s="18">
        <f t="shared" si="321"/>
        <v>246.26196763105128</v>
      </c>
      <c r="S393" s="18">
        <f t="shared" si="322"/>
        <v>1.5667355992782757</v>
      </c>
      <c r="T393" s="18" t="str">
        <f t="shared" si="311"/>
        <v>1+0.35332947520559i</v>
      </c>
      <c r="U393" s="18">
        <f t="shared" si="323"/>
        <v>1.0605855543279181</v>
      </c>
      <c r="V393" s="18">
        <f t="shared" si="324"/>
        <v>0.33963785954948184</v>
      </c>
      <c r="W393" s="32" t="str">
        <f t="shared" si="312"/>
        <v>1-0.158684657799434i</v>
      </c>
      <c r="X393" s="18">
        <f t="shared" si="325"/>
        <v>1.0125121335672593</v>
      </c>
      <c r="Y393" s="18">
        <f t="shared" si="326"/>
        <v>-0.15737248971695866</v>
      </c>
      <c r="Z393" s="32" t="str">
        <f t="shared" si="313"/>
        <v>0.996837722339832+0.0866066871616253i</v>
      </c>
      <c r="AA393" s="18">
        <f t="shared" si="327"/>
        <v>1.0005929057018021</v>
      </c>
      <c r="AB393" s="18">
        <f t="shared" si="328"/>
        <v>8.6663810359454446E-2</v>
      </c>
      <c r="AC393" s="68" t="str">
        <f t="shared" si="329"/>
        <v>0.00917353024251395-0.0917412006067352i</v>
      </c>
      <c r="AD393" s="66">
        <f t="shared" si="330"/>
        <v>-20.705503403079987</v>
      </c>
      <c r="AE393" s="63">
        <f t="shared" si="331"/>
        <v>-84.289771578869207</v>
      </c>
      <c r="AF393" s="51" t="e">
        <f t="shared" si="332"/>
        <v>#NUM!</v>
      </c>
      <c r="AG393" s="51" t="str">
        <f t="shared" si="314"/>
        <v>1-151.426917945253i</v>
      </c>
      <c r="AH393" s="51">
        <f t="shared" si="333"/>
        <v>151.43021983210082</v>
      </c>
      <c r="AI393" s="51">
        <f t="shared" si="334"/>
        <v>-1.5641925770981886</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-0.000133283554228113</v>
      </c>
      <c r="AT393" s="32" t="str">
        <f t="shared" si="318"/>
        <v>0.0215884309350616i</v>
      </c>
      <c r="AU393" s="32">
        <f t="shared" si="342"/>
        <v>2.15884309350616E-2</v>
      </c>
      <c r="AV393" s="32">
        <f t="shared" si="343"/>
        <v>1.5707963267948966</v>
      </c>
      <c r="AW393" s="32" t="str">
        <f t="shared" si="319"/>
        <v>1+3.77457714741475i</v>
      </c>
      <c r="AX393" s="32">
        <f t="shared" si="344"/>
        <v>3.9047961075817605</v>
      </c>
      <c r="AY393" s="32">
        <f t="shared" si="345"/>
        <v>1.3118156882831946</v>
      </c>
      <c r="AZ393" s="32" t="str">
        <f t="shared" si="320"/>
        <v>1+56.2504057822051i</v>
      </c>
      <c r="BA393" s="32">
        <f t="shared" si="346"/>
        <v>56.259293904765038</v>
      </c>
      <c r="BB393" s="32">
        <f t="shared" si="347"/>
        <v>1.5530205497530465</v>
      </c>
      <c r="BC393" s="60" t="str">
        <f t="shared" si="348"/>
        <v>-0.0212480005291039+0.0863760588829664i</v>
      </c>
      <c r="BD393" s="51">
        <f t="shared" si="349"/>
        <v>-21.016971955556709</v>
      </c>
      <c r="BE393" s="63">
        <f t="shared" si="350"/>
        <v>103.82002056026018</v>
      </c>
      <c r="BF393" s="60" t="str">
        <f t="shared" si="351"/>
        <v>0.00772932417015471+0.00274169046742459i</v>
      </c>
      <c r="BG393" s="66">
        <f t="shared" si="352"/>
        <v>-41.722475358636693</v>
      </c>
      <c r="BH393" s="63">
        <f t="shared" si="353"/>
        <v>19.53024898139093</v>
      </c>
      <c r="BI393" s="60" t="e">
        <f t="shared" si="357"/>
        <v>#NUM!</v>
      </c>
      <c r="BJ393" s="66" t="e">
        <f t="shared" si="354"/>
        <v>#NUM!</v>
      </c>
      <c r="BK393" s="63" t="e">
        <f t="shared" si="358"/>
        <v>#NUM!</v>
      </c>
      <c r="BL393" s="51">
        <f t="shared" si="355"/>
        <v>-41.722475358636693</v>
      </c>
      <c r="BM393" s="63">
        <f t="shared" si="356"/>
        <v>19.53024898139093</v>
      </c>
    </row>
    <row r="394" spans="14:65" x14ac:dyDescent="0.3">
      <c r="N394" s="11">
        <v>76</v>
      </c>
      <c r="O394" s="52">
        <f t="shared" si="359"/>
        <v>57543.993733715732</v>
      </c>
      <c r="P394" s="50" t="str">
        <f t="shared" si="309"/>
        <v>21.1560044893378</v>
      </c>
      <c r="Q394" s="18" t="str">
        <f t="shared" si="310"/>
        <v>1+251.996068082264i</v>
      </c>
      <c r="R394" s="18">
        <f t="shared" si="321"/>
        <v>251.99805223239531</v>
      </c>
      <c r="S394" s="18">
        <f t="shared" si="322"/>
        <v>1.566828031739808</v>
      </c>
      <c r="T394" s="18" t="str">
        <f t="shared" si="311"/>
        <v>1+0.361559575944117i</v>
      </c>
      <c r="U394" s="18">
        <f t="shared" si="323"/>
        <v>1.0633556916464451</v>
      </c>
      <c r="V394" s="18">
        <f t="shared" si="324"/>
        <v>0.34693553824867168</v>
      </c>
      <c r="W394" s="32" t="str">
        <f t="shared" si="312"/>
        <v>1-0.16238089830863i</v>
      </c>
      <c r="X394" s="18">
        <f t="shared" si="325"/>
        <v>1.0130979992752516</v>
      </c>
      <c r="Y394" s="18">
        <f t="shared" si="326"/>
        <v>-0.16097586477586642</v>
      </c>
      <c r="Z394" s="32" t="str">
        <f t="shared" si="313"/>
        <v>0.996688688785174+0.0886240160571428i</v>
      </c>
      <c r="AA394" s="18">
        <f t="shared" si="327"/>
        <v>1.0006210864130369</v>
      </c>
      <c r="AB394" s="18">
        <f t="shared" si="328"/>
        <v>8.8685213869293844E-2</v>
      </c>
      <c r="AC394" s="68" t="str">
        <f t="shared" si="329"/>
        <v>0.0091352114929181-0.0899222656592588i</v>
      </c>
      <c r="AD394" s="66">
        <f t="shared" si="330"/>
        <v>-20.878063329917214</v>
      </c>
      <c r="AE394" s="63">
        <f t="shared" si="331"/>
        <v>-84.199217451783753</v>
      </c>
      <c r="AF394" s="51" t="e">
        <f t="shared" si="332"/>
        <v>#NUM!</v>
      </c>
      <c r="AG394" s="51" t="str">
        <f t="shared" si="314"/>
        <v>1-154.95410397605i</v>
      </c>
      <c r="AH394" s="51">
        <f t="shared" si="333"/>
        <v>154.95733070436037</v>
      </c>
      <c r="AI394" s="51">
        <f t="shared" si="334"/>
        <v>-1.5643428925712706</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-0.000133283554228113</v>
      </c>
      <c r="AT394" s="32" t="str">
        <f t="shared" si="318"/>
        <v>0.0220912900901855i</v>
      </c>
      <c r="AU394" s="32">
        <f t="shared" si="342"/>
        <v>2.2091290090185501E-2</v>
      </c>
      <c r="AV394" s="32">
        <f t="shared" si="343"/>
        <v>1.5707963267948966</v>
      </c>
      <c r="AW394" s="32" t="str">
        <f t="shared" si="319"/>
        <v>1+3.86249834377259i</v>
      </c>
      <c r="AX394" s="32">
        <f t="shared" si="344"/>
        <v>3.9898488011008637</v>
      </c>
      <c r="AY394" s="32">
        <f t="shared" si="345"/>
        <v>1.3174590916698801</v>
      </c>
      <c r="AZ394" s="32" t="str">
        <f t="shared" si="320"/>
        <v>1+57.5606460498793i</v>
      </c>
      <c r="BA394" s="32">
        <f t="shared" si="346"/>
        <v>57.569331884949698</v>
      </c>
      <c r="BB394" s="32">
        <f t="shared" si="347"/>
        <v>1.5534250934955374</v>
      </c>
      <c r="BC394" s="60" t="str">
        <f t="shared" si="348"/>
        <v>-0.0203517573468798+0.0846419369092343i</v>
      </c>
      <c r="BD394" s="51">
        <f t="shared" si="349"/>
        <v>-21.204195237864699</v>
      </c>
      <c r="BE394" s="63">
        <f t="shared" si="350"/>
        <v>103.51985601318643</v>
      </c>
      <c r="BF394" s="60" t="str">
        <f t="shared" si="351"/>
        <v>0.00742527712905009+0.00260329812561498i</v>
      </c>
      <c r="BG394" s="66">
        <f t="shared" si="352"/>
        <v>-42.082258567781913</v>
      </c>
      <c r="BH394" s="63">
        <f t="shared" si="353"/>
        <v>19.320638561402667</v>
      </c>
      <c r="BI394" s="60" t="e">
        <f t="shared" si="357"/>
        <v>#NUM!</v>
      </c>
      <c r="BJ394" s="66" t="e">
        <f t="shared" si="354"/>
        <v>#NUM!</v>
      </c>
      <c r="BK394" s="63" t="e">
        <f t="shared" si="358"/>
        <v>#NUM!</v>
      </c>
      <c r="BL394" s="51">
        <f t="shared" si="355"/>
        <v>-42.082258567781913</v>
      </c>
      <c r="BM394" s="63">
        <f t="shared" si="356"/>
        <v>19.320638561402667</v>
      </c>
    </row>
    <row r="395" spans="14:65" x14ac:dyDescent="0.3">
      <c r="N395" s="11">
        <v>77</v>
      </c>
      <c r="O395" s="52">
        <f t="shared" si="359"/>
        <v>58884.365535558936</v>
      </c>
      <c r="P395" s="50" t="str">
        <f t="shared" si="309"/>
        <v>21.1560044893378</v>
      </c>
      <c r="Q395" s="18" t="str">
        <f t="shared" si="310"/>
        <v>1+257.865810550884i</v>
      </c>
      <c r="R395" s="18">
        <f t="shared" si="321"/>
        <v>257.86774953658789</v>
      </c>
      <c r="S395" s="18">
        <f t="shared" si="322"/>
        <v>1.5669183602471646</v>
      </c>
      <c r="T395" s="18" t="str">
        <f t="shared" si="311"/>
        <v>1+0.369981380355616i</v>
      </c>
      <c r="U395" s="18">
        <f t="shared" si="323"/>
        <v>1.0662486679053096</v>
      </c>
      <c r="V395" s="18">
        <f t="shared" si="324"/>
        <v>0.35436354146734456</v>
      </c>
      <c r="W395" s="32" t="str">
        <f t="shared" si="312"/>
        <v>1-0.166163235319475i</v>
      </c>
      <c r="X395" s="18">
        <f t="shared" si="325"/>
        <v>1.0137111130750394</v>
      </c>
      <c r="Y395" s="18">
        <f t="shared" si="326"/>
        <v>-0.16465881236787724</v>
      </c>
      <c r="Z395" s="32" t="str">
        <f t="shared" si="313"/>
        <v>0.996532631495475+0.0906883345790513i</v>
      </c>
      <c r="AA395" s="18">
        <f t="shared" si="327"/>
        <v>1.000650618180001</v>
      </c>
      <c r="AB395" s="18">
        <f t="shared" si="328"/>
        <v>9.0753897101323575E-2</v>
      </c>
      <c r="AC395" s="68" t="str">
        <f t="shared" si="329"/>
        <v>0.00909653508209855-0.088150897948934i</v>
      </c>
      <c r="AD395" s="66">
        <f t="shared" si="330"/>
        <v>-21.049462768301069</v>
      </c>
      <c r="AE395" s="63">
        <f t="shared" si="331"/>
        <v>-84.108343830920347</v>
      </c>
      <c r="AF395" s="51" t="e">
        <f t="shared" si="332"/>
        <v>#NUM!</v>
      </c>
      <c r="AG395" s="51" t="str">
        <f t="shared" si="314"/>
        <v>1-158.563448723836i</v>
      </c>
      <c r="AH395" s="51">
        <f t="shared" si="333"/>
        <v>158.56660200432046</v>
      </c>
      <c r="AI395" s="51">
        <f t="shared" si="334"/>
        <v>-1.5644897867282515</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-0.000133283554228113</v>
      </c>
      <c r="AT395" s="32" t="str">
        <f t="shared" si="318"/>
        <v>0.0226058623397281i</v>
      </c>
      <c r="AU395" s="32">
        <f t="shared" si="342"/>
        <v>2.2605862339728101E-2</v>
      </c>
      <c r="AV395" s="32">
        <f t="shared" si="343"/>
        <v>1.5707963267948966</v>
      </c>
      <c r="AW395" s="32" t="str">
        <f t="shared" si="319"/>
        <v>1+3.95246748787851i</v>
      </c>
      <c r="AX395" s="32">
        <f t="shared" si="344"/>
        <v>4.0770086145036109</v>
      </c>
      <c r="AY395" s="32">
        <f t="shared" si="345"/>
        <v>1.3229900162457127</v>
      </c>
      <c r="AZ395" s="32" t="str">
        <f t="shared" si="320"/>
        <v>1+58.9014057339944i</v>
      </c>
      <c r="BA395" s="32">
        <f t="shared" si="346"/>
        <v>58.909893884139947</v>
      </c>
      <c r="BB395" s="32">
        <f t="shared" si="347"/>
        <v>1.55382043419294</v>
      </c>
      <c r="BC395" s="60" t="str">
        <f t="shared" si="348"/>
        <v>-0.0194908838647499+0.0829330577956742i</v>
      </c>
      <c r="BD395" s="51">
        <f t="shared" si="349"/>
        <v>-21.391958037210607</v>
      </c>
      <c r="BE395" s="63">
        <f t="shared" si="350"/>
        <v>103.225608731617</v>
      </c>
      <c r="BF395" s="60" t="str">
        <f t="shared" si="351"/>
        <v>0.00713332400548272+0.00247254238420015i</v>
      </c>
      <c r="BG395" s="66">
        <f t="shared" si="352"/>
        <v>-42.441420805511676</v>
      </c>
      <c r="BH395" s="63">
        <f t="shared" si="353"/>
        <v>19.11726490069664</v>
      </c>
      <c r="BI395" s="60" t="e">
        <f t="shared" si="357"/>
        <v>#NUM!</v>
      </c>
      <c r="BJ395" s="66" t="e">
        <f t="shared" si="354"/>
        <v>#NUM!</v>
      </c>
      <c r="BK395" s="63" t="e">
        <f t="shared" si="358"/>
        <v>#NUM!</v>
      </c>
      <c r="BL395" s="51">
        <f t="shared" si="355"/>
        <v>-42.441420805511676</v>
      </c>
      <c r="BM395" s="63">
        <f t="shared" si="356"/>
        <v>19.11726490069664</v>
      </c>
    </row>
    <row r="396" spans="14:65" x14ac:dyDescent="0.3">
      <c r="N396" s="11">
        <v>78</v>
      </c>
      <c r="O396" s="52">
        <f t="shared" si="359"/>
        <v>60255.95860743591</v>
      </c>
      <c r="P396" s="50" t="str">
        <f t="shared" si="309"/>
        <v>21.1560044893378</v>
      </c>
      <c r="Q396" s="18" t="str">
        <f t="shared" si="310"/>
        <v>1+263.872276885517i</v>
      </c>
      <c r="R396" s="18">
        <f t="shared" si="321"/>
        <v>263.87417173483834</v>
      </c>
      <c r="S396" s="18">
        <f t="shared" si="322"/>
        <v>1.5670066326878163</v>
      </c>
      <c r="T396" s="18" t="str">
        <f t="shared" si="311"/>
        <v>1+0.378599353792263i</v>
      </c>
      <c r="U396" s="18">
        <f t="shared" si="323"/>
        <v>1.0692695968238874</v>
      </c>
      <c r="V396" s="18">
        <f t="shared" si="324"/>
        <v>0.36192252791818275</v>
      </c>
      <c r="W396" s="32" t="str">
        <f t="shared" si="312"/>
        <v>1-0.170033674277117i</v>
      </c>
      <c r="X396" s="18">
        <f t="shared" si="325"/>
        <v>1.0143527248389372</v>
      </c>
      <c r="Y396" s="18">
        <f t="shared" si="326"/>
        <v>-0.16842288539104042</v>
      </c>
      <c r="Z396" s="32" t="str">
        <f t="shared" si="313"/>
        <v>0.996369219452299+0.0928007372563558i</v>
      </c>
      <c r="AA396" s="18">
        <f t="shared" si="327"/>
        <v>1.0006815668869427</v>
      </c>
      <c r="AB396" s="18">
        <f t="shared" si="328"/>
        <v>9.2870975171146217E-2</v>
      </c>
      <c r="AC396" s="68" t="str">
        <f t="shared" si="329"/>
        <v>0.00905741930582097-0.0864261511063356i</v>
      </c>
      <c r="AD396" s="66">
        <f t="shared" si="330"/>
        <v>-21.2196582781548</v>
      </c>
      <c r="AE396" s="63">
        <f t="shared" si="331"/>
        <v>-84.017268584494218</v>
      </c>
      <c r="AF396" s="51" t="e">
        <f t="shared" si="332"/>
        <v>#NUM!</v>
      </c>
      <c r="AG396" s="51" t="str">
        <f t="shared" si="314"/>
        <v>1-162.25686591097i</v>
      </c>
      <c r="AH396" s="51">
        <f t="shared" si="333"/>
        <v>162.25994741540654</v>
      </c>
      <c r="AI396" s="51">
        <f t="shared" si="334"/>
        <v>-1.564633337428986</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-0.000133283554228113</v>
      </c>
      <c r="AT396" s="32" t="str">
        <f t="shared" si="318"/>
        <v>0.0231324205167072i</v>
      </c>
      <c r="AU396" s="32">
        <f t="shared" si="342"/>
        <v>2.3132420516707199E-2</v>
      </c>
      <c r="AV396" s="32">
        <f t="shared" si="343"/>
        <v>1.5707963267948966</v>
      </c>
      <c r="AW396" s="32" t="str">
        <f t="shared" si="319"/>
        <v>1+4.04453228256361i</v>
      </c>
      <c r="AX396" s="32">
        <f t="shared" si="344"/>
        <v>4.1663222852654114</v>
      </c>
      <c r="AY396" s="32">
        <f t="shared" si="345"/>
        <v>1.3284100404319623</v>
      </c>
      <c r="AZ396" s="32" t="str">
        <f t="shared" si="320"/>
        <v>1+60.273395723082i</v>
      </c>
      <c r="BA396" s="32">
        <f t="shared" si="346"/>
        <v>60.28169068623771</v>
      </c>
      <c r="BB396" s="32">
        <f t="shared" si="347"/>
        <v>1.554206780965526</v>
      </c>
      <c r="BC396" s="60" t="str">
        <f t="shared" si="348"/>
        <v>-0.0186641866338901+0.0812496696479126i</v>
      </c>
      <c r="BD396" s="51">
        <f t="shared" si="349"/>
        <v>-21.580239013456076</v>
      </c>
      <c r="BE396" s="63">
        <f t="shared" si="350"/>
        <v>102.93720026038375</v>
      </c>
      <c r="BF396" s="60" t="str">
        <f t="shared" si="351"/>
        <v>0.0068530468619851+0.00234898614075801i</v>
      </c>
      <c r="BG396" s="66">
        <f t="shared" si="352"/>
        <v>-42.799897291610876</v>
      </c>
      <c r="BH396" s="63">
        <f t="shared" si="353"/>
        <v>18.919931675889512</v>
      </c>
      <c r="BI396" s="60" t="e">
        <f t="shared" si="357"/>
        <v>#NUM!</v>
      </c>
      <c r="BJ396" s="66" t="e">
        <f t="shared" si="354"/>
        <v>#NUM!</v>
      </c>
      <c r="BK396" s="63" t="e">
        <f t="shared" si="358"/>
        <v>#NUM!</v>
      </c>
      <c r="BL396" s="51">
        <f t="shared" si="355"/>
        <v>-42.799897291610876</v>
      </c>
      <c r="BM396" s="63">
        <f t="shared" si="356"/>
        <v>18.919931675889512</v>
      </c>
    </row>
    <row r="397" spans="14:65" x14ac:dyDescent="0.3">
      <c r="N397" s="11">
        <v>79</v>
      </c>
      <c r="O397" s="52">
        <f t="shared" si="359"/>
        <v>61659.500186148245</v>
      </c>
      <c r="P397" s="50" t="str">
        <f t="shared" si="309"/>
        <v>21.1560044893378</v>
      </c>
      <c r="Q397" s="18" t="str">
        <f t="shared" si="310"/>
        <v>1+270.018651794116i</v>
      </c>
      <c r="R397" s="18">
        <f t="shared" si="321"/>
        <v>270.02050351170016</v>
      </c>
      <c r="S397" s="18">
        <f t="shared" si="322"/>
        <v>1.5670928958594734</v>
      </c>
      <c r="T397" s="18" t="str">
        <f t="shared" si="311"/>
        <v>1+0.387418065617644i</v>
      </c>
      <c r="U397" s="18">
        <f t="shared" si="323"/>
        <v>1.0724237770428802</v>
      </c>
      <c r="V397" s="18">
        <f t="shared" si="324"/>
        <v>0.36961304921890159</v>
      </c>
      <c r="W397" s="32" t="str">
        <f t="shared" si="312"/>
        <v>1-0.173994267339522i</v>
      </c>
      <c r="X397" s="18">
        <f t="shared" si="325"/>
        <v>1.0150241401400348</v>
      </c>
      <c r="Y397" s="18">
        <f t="shared" si="326"/>
        <v>-0.1722696527493463</v>
      </c>
      <c r="Z397" s="32" t="str">
        <f t="shared" si="313"/>
        <v>0.996198106036794+0.0949623441129162i</v>
      </c>
      <c r="AA397" s="18">
        <f t="shared" si="327"/>
        <v>1.0007140017361182</v>
      </c>
      <c r="AB397" s="18">
        <f t="shared" si="328"/>
        <v>9.5037590141921258E-2</v>
      </c>
      <c r="AC397" s="68" t="str">
        <f t="shared" si="329"/>
        <v>0.00901778156017007-0.084747102914069i</v>
      </c>
      <c r="AD397" s="66">
        <f t="shared" si="330"/>
        <v>-21.388605264181592</v>
      </c>
      <c r="AE397" s="63">
        <f t="shared" si="331"/>
        <v>-83.926118115425851</v>
      </c>
      <c r="AF397" s="51" t="e">
        <f t="shared" si="332"/>
        <v>#NUM!</v>
      </c>
      <c r="AG397" s="51" t="str">
        <f t="shared" si="314"/>
        <v>1-166.036313836133i</v>
      </c>
      <c r="AH397" s="51">
        <f t="shared" si="333"/>
        <v>166.0393251982519</v>
      </c>
      <c r="AI397" s="51">
        <f t="shared" si="334"/>
        <v>-1.5647736207622771</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-0.000133283554228113</v>
      </c>
      <c r="AT397" s="32" t="str">
        <f t="shared" si="318"/>
        <v>0.023671243809238i</v>
      </c>
      <c r="AU397" s="32">
        <f t="shared" si="342"/>
        <v>2.3671243809238001E-2</v>
      </c>
      <c r="AV397" s="32">
        <f t="shared" si="343"/>
        <v>1.5707963267948966</v>
      </c>
      <c r="AW397" s="32" t="str">
        <f t="shared" si="319"/>
        <v>1+4.13874154180062i</v>
      </c>
      <c r="AX397" s="32">
        <f t="shared" si="344"/>
        <v>4.25783766128139</v>
      </c>
      <c r="AY397" s="32">
        <f t="shared" si="345"/>
        <v>1.3337207636748907</v>
      </c>
      <c r="AZ397" s="32" t="str">
        <f t="shared" si="320"/>
        <v>1+61.6773434643945i</v>
      </c>
      <c r="BA397" s="32">
        <f t="shared" si="346"/>
        <v>61.68544963623826</v>
      </c>
      <c r="BB397" s="32">
        <f t="shared" si="347"/>
        <v>1.5545843381978626</v>
      </c>
      <c r="BC397" s="60" t="str">
        <f t="shared" si="348"/>
        <v>-0.0178704954743667+0.0795919725044777i</v>
      </c>
      <c r="BD397" s="51">
        <f t="shared" si="349"/>
        <v>-21.76901755047048</v>
      </c>
      <c r="BE397" s="63">
        <f t="shared" si="350"/>
        <v>102.65455066833944</v>
      </c>
      <c r="BF397" s="60" t="str">
        <f t="shared" si="351"/>
        <v>0.00658403686041088+0.00223221574108i</v>
      </c>
      <c r="BG397" s="66">
        <f t="shared" si="352"/>
        <v>-43.157622814652072</v>
      </c>
      <c r="BH397" s="63">
        <f t="shared" si="353"/>
        <v>18.728432552913564</v>
      </c>
      <c r="BI397" s="60" t="e">
        <f t="shared" si="357"/>
        <v>#NUM!</v>
      </c>
      <c r="BJ397" s="66" t="e">
        <f t="shared" si="354"/>
        <v>#NUM!</v>
      </c>
      <c r="BK397" s="63" t="e">
        <f t="shared" si="358"/>
        <v>#NUM!</v>
      </c>
      <c r="BL397" s="51">
        <f t="shared" si="355"/>
        <v>-43.157622814652072</v>
      </c>
      <c r="BM397" s="63">
        <f t="shared" si="356"/>
        <v>18.728432552913564</v>
      </c>
    </row>
    <row r="398" spans="14:65" x14ac:dyDescent="0.3">
      <c r="N398" s="11">
        <v>80</v>
      </c>
      <c r="O398" s="52">
        <f t="shared" si="359"/>
        <v>63095.734448019342</v>
      </c>
      <c r="P398" s="50" t="str">
        <f t="shared" si="309"/>
        <v>21.1560044893378</v>
      </c>
      <c r="Q398" s="18" t="str">
        <f t="shared" si="310"/>
        <v>1+276.308194166016i</v>
      </c>
      <c r="R398" s="18">
        <f t="shared" si="321"/>
        <v>276.31000373364117</v>
      </c>
      <c r="S398" s="18">
        <f t="shared" si="322"/>
        <v>1.5671771954948737</v>
      </c>
      <c r="T398" s="18" t="str">
        <f t="shared" si="311"/>
        <v>1+0.3964421916295i</v>
      </c>
      <c r="U398" s="18">
        <f t="shared" si="323"/>
        <v>1.0757166965814007</v>
      </c>
      <c r="V398" s="18">
        <f t="shared" si="324"/>
        <v>0.3774355431791242</v>
      </c>
      <c r="W398" s="32" t="str">
        <f t="shared" si="312"/>
        <v>1-0.178047114465557i</v>
      </c>
      <c r="X398" s="18">
        <f t="shared" si="325"/>
        <v>1.0157267225831519</v>
      </c>
      <c r="Y398" s="18">
        <f t="shared" si="326"/>
        <v>-0.17620069843788422</v>
      </c>
      <c r="Z398" s="32" t="str">
        <f t="shared" si="313"/>
        <v>0.996018928294465+0.0971743012613005i</v>
      </c>
      <c r="AA398" s="18">
        <f t="shared" si="327"/>
        <v>1.0007479954246605</v>
      </c>
      <c r="AB398" s="18">
        <f t="shared" si="328"/>
        <v>9.7254911719717022E-2</v>
      </c>
      <c r="AC398" s="68" t="str">
        <f t="shared" si="329"/>
        <v>0.00897753816959006-0.0831128547803816i</v>
      </c>
      <c r="AD398" s="66">
        <f t="shared" si="330"/>
        <v>-21.556257983427262</v>
      </c>
      <c r="AE398" s="63">
        <f t="shared" si="331"/>
        <v>-83.835027734818752</v>
      </c>
      <c r="AF398" s="51" t="e">
        <f t="shared" si="332"/>
        <v>#NUM!</v>
      </c>
      <c r="AG398" s="51" t="str">
        <f t="shared" si="314"/>
        <v>1-169.903796412643i</v>
      </c>
      <c r="AH398" s="51">
        <f t="shared" si="333"/>
        <v>169.90673922899242</v>
      </c>
      <c r="AI398" s="51">
        <f t="shared" si="334"/>
        <v>-1.5649107110861069</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-0.000133283554228113</v>
      </c>
      <c r="AT398" s="32" t="str">
        <f t="shared" si="318"/>
        <v>0.0242226179085624i</v>
      </c>
      <c r="AU398" s="32">
        <f t="shared" si="342"/>
        <v>2.4222617908562401E-2</v>
      </c>
      <c r="AV398" s="32">
        <f t="shared" si="343"/>
        <v>1.5707963267948966</v>
      </c>
      <c r="AW398" s="32" t="str">
        <f t="shared" si="319"/>
        <v>1+4.23514521658581i</v>
      </c>
      <c r="AX398" s="32">
        <f t="shared" si="344"/>
        <v>4.3516037280030071</v>
      </c>
      <c r="AY398" s="32">
        <f t="shared" si="345"/>
        <v>1.3389238030111468</v>
      </c>
      <c r="AZ398" s="32" t="str">
        <f t="shared" si="320"/>
        <v>1+63.113993349608i</v>
      </c>
      <c r="BA398" s="32">
        <f t="shared" si="346"/>
        <v>63.121915025879588</v>
      </c>
      <c r="BB398" s="32">
        <f t="shared" si="347"/>
        <v>1.5549533056449798</v>
      </c>
      <c r="BC398" s="60" t="str">
        <f t="shared" si="348"/>
        <v>-0.0171086645702614+0.0779601210860983i</v>
      </c>
      <c r="BD398" s="51">
        <f t="shared" si="349"/>
        <v>-21.958273741671487</v>
      </c>
      <c r="BE398" s="63">
        <f t="shared" si="350"/>
        <v>102.37757875122888</v>
      </c>
      <c r="BF398" s="60" t="str">
        <f t="shared" si="351"/>
        <v>0.00632589453327962+0.00212183991667071i</v>
      </c>
      <c r="BG398" s="66">
        <f t="shared" si="352"/>
        <v>-43.514531725098749</v>
      </c>
      <c r="BH398" s="63">
        <f t="shared" si="353"/>
        <v>18.542551016410179</v>
      </c>
      <c r="BI398" s="60" t="e">
        <f t="shared" si="357"/>
        <v>#NUM!</v>
      </c>
      <c r="BJ398" s="66" t="e">
        <f t="shared" si="354"/>
        <v>#NUM!</v>
      </c>
      <c r="BK398" s="63" t="e">
        <f t="shared" si="358"/>
        <v>#NUM!</v>
      </c>
      <c r="BL398" s="51">
        <f t="shared" si="355"/>
        <v>-43.514531725098749</v>
      </c>
      <c r="BM398" s="63">
        <f t="shared" si="356"/>
        <v>18.542551016410179</v>
      </c>
    </row>
    <row r="399" spans="14:65" x14ac:dyDescent="0.3">
      <c r="N399" s="11">
        <v>81</v>
      </c>
      <c r="O399" s="52">
        <f t="shared" si="359"/>
        <v>64565.422903465682</v>
      </c>
      <c r="P399" s="50" t="str">
        <f t="shared" si="309"/>
        <v>21.1560044893378</v>
      </c>
      <c r="Q399" s="18" t="str">
        <f t="shared" si="310"/>
        <v>1+282.744238799834i</v>
      </c>
      <c r="R399" s="18">
        <f t="shared" si="321"/>
        <v>282.74600717693181</v>
      </c>
      <c r="S399" s="18">
        <f t="shared" si="322"/>
        <v>1.567259576286004</v>
      </c>
      <c r="T399" s="18" t="str">
        <f t="shared" si="311"/>
        <v>1+0.405676516538892i</v>
      </c>
      <c r="U399" s="18">
        <f t="shared" si="323"/>
        <v>1.0791540372306123</v>
      </c>
      <c r="V399" s="18">
        <f t="shared" si="324"/>
        <v>0.38539032700543663</v>
      </c>
      <c r="W399" s="32" t="str">
        <f t="shared" si="312"/>
        <v>1-0.182194364528414i</v>
      </c>
      <c r="X399" s="18">
        <f t="shared" si="325"/>
        <v>1.0164618962193874</v>
      </c>
      <c r="Y399" s="18">
        <f t="shared" si="326"/>
        <v>-0.18021762053212667</v>
      </c>
      <c r="Z399" s="32" t="str">
        <f t="shared" si="313"/>
        <v>0.995831306165297+0.0994377815104679i</v>
      </c>
      <c r="AA399" s="18">
        <f t="shared" si="327"/>
        <v>1.0007836243317558</v>
      </c>
      <c r="AB399" s="18">
        <f t="shared" si="328"/>
        <v>9.9524137969658685E-2</v>
      </c>
      <c r="AC399" s="68" t="str">
        <f t="shared" si="329"/>
        <v>0.00893660421297439-0.0815225312223659i</v>
      </c>
      <c r="AD399" s="66">
        <f t="shared" si="330"/>
        <v>-21.722569556470074</v>
      </c>
      <c r="AE399" s="63">
        <f t="shared" si="331"/>
        <v>-83.744142035791754</v>
      </c>
      <c r="AF399" s="51" t="e">
        <f t="shared" si="332"/>
        <v>#NUM!</v>
      </c>
      <c r="AG399" s="51" t="str">
        <f t="shared" si="314"/>
        <v>1-173.861364230954i</v>
      </c>
      <c r="AH399" s="51">
        <f t="shared" si="333"/>
        <v>173.86424006174602</v>
      </c>
      <c r="AI399" s="51">
        <f t="shared" si="334"/>
        <v>-1.5650446810669565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-0.000133283554228113</v>
      </c>
      <c r="AT399" s="32" t="str">
        <f t="shared" si="318"/>
        <v>0.0247868351605263i</v>
      </c>
      <c r="AU399" s="32">
        <f t="shared" si="342"/>
        <v>2.4786835160526301E-2</v>
      </c>
      <c r="AV399" s="32">
        <f t="shared" si="343"/>
        <v>1.5707963267948966</v>
      </c>
      <c r="AW399" s="32" t="str">
        <f t="shared" si="319"/>
        <v>1+4.33379442142362i</v>
      </c>
      <c r="AX399" s="32">
        <f t="shared" si="344"/>
        <v>4.4476706360928402</v>
      </c>
      <c r="AY399" s="32">
        <f t="shared" si="345"/>
        <v>1.344020789828773</v>
      </c>
      <c r="AZ399" s="32" t="str">
        <f t="shared" si="320"/>
        <v>1+64.5841071095081i</v>
      </c>
      <c r="BA399" s="32">
        <f t="shared" si="346"/>
        <v>64.591848488276085</v>
      </c>
      <c r="BB399" s="32">
        <f t="shared" si="347"/>
        <v>1.555313878536231</v>
      </c>
      <c r="BC399" s="60" t="str">
        <f t="shared" si="348"/>
        <v>-0.0163775733871304+0.0763542274754855i</v>
      </c>
      <c r="BD399" s="51">
        <f t="shared" si="349"/>
        <v>-22.147988374933433</v>
      </c>
      <c r="BE399" s="63">
        <f t="shared" si="350"/>
        <v>102.10620222322063</v>
      </c>
      <c r="BF399" s="60" t="str">
        <f t="shared" si="351"/>
        <v>0.00607823000200017+0.00201748874873476i</v>
      </c>
      <c r="BG399" s="66">
        <f t="shared" si="352"/>
        <v>-43.870557931403496</v>
      </c>
      <c r="BH399" s="63">
        <f t="shared" si="353"/>
        <v>18.362060187428906</v>
      </c>
      <c r="BI399" s="60" t="e">
        <f t="shared" si="357"/>
        <v>#NUM!</v>
      </c>
      <c r="BJ399" s="66" t="e">
        <f t="shared" si="354"/>
        <v>#NUM!</v>
      </c>
      <c r="BK399" s="63" t="e">
        <f t="shared" si="358"/>
        <v>#NUM!</v>
      </c>
      <c r="BL399" s="51">
        <f t="shared" si="355"/>
        <v>-43.870557931403496</v>
      </c>
      <c r="BM399" s="63">
        <f t="shared" si="356"/>
        <v>18.362060187428906</v>
      </c>
    </row>
    <row r="400" spans="14:65" x14ac:dyDescent="0.3">
      <c r="N400" s="11">
        <v>82</v>
      </c>
      <c r="O400" s="52">
        <f t="shared" si="359"/>
        <v>66069.344800759733</v>
      </c>
      <c r="P400" s="50" t="str">
        <f t="shared" si="309"/>
        <v>21.1560044893378</v>
      </c>
      <c r="Q400" s="18" t="str">
        <f t="shared" si="310"/>
        <v>1+289.330198171627i</v>
      </c>
      <c r="R400" s="18">
        <f t="shared" si="321"/>
        <v>289.33192629579082</v>
      </c>
      <c r="S400" s="18">
        <f t="shared" si="322"/>
        <v>1.567340081907775</v>
      </c>
      <c r="T400" s="18" t="str">
        <f t="shared" si="311"/>
        <v>1+0.415125936507116i</v>
      </c>
      <c r="U400" s="18">
        <f t="shared" si="323"/>
        <v>1.0827416788693922</v>
      </c>
      <c r="V400" s="18">
        <f t="shared" si="324"/>
        <v>0.39347759045109881</v>
      </c>
      <c r="W400" s="32" t="str">
        <f t="shared" si="312"/>
        <v>1-0.186438216454971i</v>
      </c>
      <c r="X400" s="18">
        <f t="shared" si="325"/>
        <v>1.0172311480459644</v>
      </c>
      <c r="Y400" s="18">
        <f t="shared" si="326"/>
        <v>-0.18432203007569953</v>
      </c>
      <c r="Z400" s="32" t="str">
        <f t="shared" si="313"/>
        <v>0.995634841677598+0.101753984987607i</v>
      </c>
      <c r="AA400" s="18">
        <f t="shared" si="327"/>
        <v>1.0008209687167999</v>
      </c>
      <c r="AB400" s="18">
        <f t="shared" si="328"/>
        <v>0.10184649605365981</v>
      </c>
      <c r="AC400" s="68" t="str">
        <f t="shared" si="329"/>
        <v>0.0088948933474708-0.0799752793582627i</v>
      </c>
      <c r="AD400" s="66">
        <f t="shared" si="330"/>
        <v>-21.887491982456417</v>
      </c>
      <c r="AE400" s="63">
        <f t="shared" si="331"/>
        <v>-83.653615265870727</v>
      </c>
      <c r="AF400" s="51" t="e">
        <f t="shared" si="332"/>
        <v>#NUM!</v>
      </c>
      <c r="AG400" s="51" t="str">
        <f t="shared" si="314"/>
        <v>1-177.911115645907i</v>
      </c>
      <c r="AH400" s="51">
        <f t="shared" si="333"/>
        <v>177.9139260158442</v>
      </c>
      <c r="AI400" s="51">
        <f t="shared" si="334"/>
        <v>-1.5651756017182357</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-0.000133283554228113</v>
      </c>
      <c r="AT400" s="32" t="str">
        <f t="shared" si="318"/>
        <v>0.0253641947205848i</v>
      </c>
      <c r="AU400" s="32">
        <f t="shared" si="342"/>
        <v>2.53641947205848E-2</v>
      </c>
      <c r="AV400" s="32">
        <f t="shared" si="343"/>
        <v>1.5707963267948966</v>
      </c>
      <c r="AW400" s="32" t="str">
        <f t="shared" si="319"/>
        <v>1+4.43474146142822i</v>
      </c>
      <c r="AX400" s="32">
        <f t="shared" si="344"/>
        <v>4.5460897296149465</v>
      </c>
      <c r="AY400" s="32">
        <f t="shared" si="345"/>
        <v>1.3490133668186102</v>
      </c>
      <c r="AZ400" s="32" t="str">
        <f t="shared" si="320"/>
        <v>1+66.0884642178693i</v>
      </c>
      <c r="BA400" s="32">
        <f t="shared" si="346"/>
        <v>66.096029401746904</v>
      </c>
      <c r="BB400" s="32">
        <f t="shared" si="347"/>
        <v>1.5556662476768877</v>
      </c>
      <c r="BC400" s="60" t="str">
        <f t="shared" si="348"/>
        <v>-0.0156761274247005+0.0747743637215339i</v>
      </c>
      <c r="BD400" s="51">
        <f t="shared" si="349"/>
        <v>-22.338142916969915</v>
      </c>
      <c r="BE400" s="63">
        <f t="shared" si="350"/>
        <v>101.84033789739915</v>
      </c>
      <c r="BF400" s="60" t="str">
        <f t="shared" si="351"/>
        <v>0.00584066314592194+0.00191881266047418i</v>
      </c>
      <c r="BG400" s="66">
        <f t="shared" si="352"/>
        <v>-44.225634899426332</v>
      </c>
      <c r="BH400" s="63">
        <f t="shared" si="353"/>
        <v>18.186722631528443</v>
      </c>
      <c r="BI400" s="60" t="e">
        <f t="shared" si="357"/>
        <v>#NUM!</v>
      </c>
      <c r="BJ400" s="66" t="e">
        <f t="shared" si="354"/>
        <v>#NUM!</v>
      </c>
      <c r="BK400" s="63" t="e">
        <f t="shared" si="358"/>
        <v>#NUM!</v>
      </c>
      <c r="BL400" s="51">
        <f t="shared" si="355"/>
        <v>-44.225634899426332</v>
      </c>
      <c r="BM400" s="63">
        <f t="shared" si="356"/>
        <v>18.186722631528443</v>
      </c>
    </row>
    <row r="401" spans="14:65" x14ac:dyDescent="0.3">
      <c r="N401" s="11">
        <v>83</v>
      </c>
      <c r="O401" s="52">
        <f t="shared" si="359"/>
        <v>67608.297539198305</v>
      </c>
      <c r="P401" s="50" t="str">
        <f t="shared" si="309"/>
        <v>21.1560044893378</v>
      </c>
      <c r="Q401" s="18" t="str">
        <f t="shared" si="310"/>
        <v>1+296.069564244227i</v>
      </c>
      <c r="R401" s="18">
        <f t="shared" si="321"/>
        <v>296.07125303170938</v>
      </c>
      <c r="S401" s="18">
        <f t="shared" si="322"/>
        <v>1.5674187550411565</v>
      </c>
      <c r="T401" s="18" t="str">
        <f t="shared" si="311"/>
        <v>1+0.424795461741717i</v>
      </c>
      <c r="U401" s="18">
        <f t="shared" si="323"/>
        <v>1.0864857036870565</v>
      </c>
      <c r="V401" s="18">
        <f t="shared" si="324"/>
        <v>0.40169738893976159</v>
      </c>
      <c r="W401" s="32" t="str">
        <f t="shared" si="312"/>
        <v>1-0.190780920391694i</v>
      </c>
      <c r="X401" s="18">
        <f t="shared" si="325"/>
        <v>1.0180360305929756</v>
      </c>
      <c r="Y401" s="18">
        <f t="shared" si="326"/>
        <v>-0.1885155498608177</v>
      </c>
      <c r="Z401" s="32" t="str">
        <f t="shared" si="313"/>
        <v>0.995429118103851+0.104124139774459i</v>
      </c>
      <c r="AA401" s="18">
        <f t="shared" si="327"/>
        <v>1.0008601129292654</v>
      </c>
      <c r="AB401" s="18">
        <f t="shared" si="328"/>
        <v>0.10422324299055852</v>
      </c>
      <c r="AC401" s="68" t="str">
        <f t="shared" si="329"/>
        <v>0.00885231762966463-0.0784702684083971i</v>
      </c>
      <c r="AD401" s="66">
        <f t="shared" si="330"/>
        <v>-22.050976158191595</v>
      </c>
      <c r="AE401" s="63">
        <f t="shared" si="331"/>
        <v>-83.563611695972966</v>
      </c>
      <c r="AF401" s="51" t="e">
        <f t="shared" si="332"/>
        <v>#NUM!</v>
      </c>
      <c r="AG401" s="51" t="str">
        <f t="shared" si="314"/>
        <v>1-182.055197889308i</v>
      </c>
      <c r="AH401" s="51">
        <f t="shared" si="333"/>
        <v>182.05794428839158</v>
      </c>
      <c r="AI401" s="51">
        <f t="shared" si="334"/>
        <v>-1.5653035424378443</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-0.000133283554228113</v>
      </c>
      <c r="AT401" s="32" t="str">
        <f t="shared" si="318"/>
        <v>0.0259550027124189i</v>
      </c>
      <c r="AU401" s="32">
        <f t="shared" si="342"/>
        <v>2.59550027124189E-2</v>
      </c>
      <c r="AV401" s="32">
        <f t="shared" si="343"/>
        <v>1.5707963267948966</v>
      </c>
      <c r="AW401" s="32" t="str">
        <f t="shared" si="319"/>
        <v>1+4.53803986005641i</v>
      </c>
      <c r="AX401" s="32">
        <f t="shared" si="344"/>
        <v>4.6469135747785106</v>
      </c>
      <c r="AY401" s="32">
        <f t="shared" si="345"/>
        <v>1.3539031851104868</v>
      </c>
      <c r="AZ401" s="32" t="str">
        <f t="shared" si="320"/>
        <v>1+67.627862304743i</v>
      </c>
      <c r="BA401" s="32">
        <f t="shared" si="346"/>
        <v>67.635255303053881</v>
      </c>
      <c r="BB401" s="32">
        <f t="shared" si="347"/>
        <v>1.5560105995475189</v>
      </c>
      <c r="BC401" s="60" t="str">
        <f t="shared" si="348"/>
        <v>-0.0150032588173189+0.0732205643630138i</v>
      </c>
      <c r="BD401" s="51">
        <f t="shared" si="349"/>
        <v>-22.5287194972897</v>
      </c>
      <c r="BE401" s="63">
        <f t="shared" si="350"/>
        <v>101.57990185554335</v>
      </c>
      <c r="BF401" s="60" t="str">
        <f t="shared" si="351"/>
        <v>0.00561282372604903+0.00182548143916037i</v>
      </c>
      <c r="BG401" s="66">
        <f t="shared" si="352"/>
        <v>-44.579695655481302</v>
      </c>
      <c r="BH401" s="63">
        <f t="shared" si="353"/>
        <v>18.016290159570463</v>
      </c>
      <c r="BI401" s="60" t="e">
        <f t="shared" si="357"/>
        <v>#NUM!</v>
      </c>
      <c r="BJ401" s="66" t="e">
        <f t="shared" si="354"/>
        <v>#NUM!</v>
      </c>
      <c r="BK401" s="63" t="e">
        <f t="shared" si="358"/>
        <v>#NUM!</v>
      </c>
      <c r="BL401" s="51">
        <f t="shared" si="355"/>
        <v>-44.579695655481302</v>
      </c>
      <c r="BM401" s="63">
        <f t="shared" si="356"/>
        <v>18.016290159570463</v>
      </c>
    </row>
    <row r="402" spans="14:65" x14ac:dyDescent="0.3">
      <c r="N402" s="11">
        <v>84</v>
      </c>
      <c r="O402" s="52">
        <f t="shared" si="359"/>
        <v>69183.097091893651</v>
      </c>
      <c r="P402" s="50" t="str">
        <f t="shared" si="309"/>
        <v>21.1560044893378</v>
      </c>
      <c r="Q402" s="18" t="str">
        <f t="shared" si="310"/>
        <v>1+302.965910318734i</v>
      </c>
      <c r="R402" s="18">
        <f t="shared" si="321"/>
        <v>302.96756066493191</v>
      </c>
      <c r="S402" s="18">
        <f t="shared" si="322"/>
        <v>1.5674956373957873</v>
      </c>
      <c r="T402" s="18" t="str">
        <f t="shared" si="311"/>
        <v>1+0.434690219152965i</v>
      </c>
      <c r="U402" s="18">
        <f t="shared" si="323"/>
        <v>1.0903924002978251</v>
      </c>
      <c r="V402" s="18">
        <f t="shared" si="324"/>
        <v>0.41004963669545225</v>
      </c>
      <c r="W402" s="32" t="str">
        <f t="shared" si="312"/>
        <v>1-0.195224778897693i</v>
      </c>
      <c r="X402" s="18">
        <f t="shared" si="325"/>
        <v>1.0188781645985221</v>
      </c>
      <c r="Y402" s="18">
        <f t="shared" si="326"/>
        <v>-0.19279981309539437</v>
      </c>
      <c r="Z402" s="32" t="str">
        <f t="shared" si="313"/>
        <v>0.995213699076774+0.106549502558465i</v>
      </c>
      <c r="AA402" s="18">
        <f t="shared" si="327"/>
        <v>1.0009011456310417</v>
      </c>
      <c r="AB402" s="18">
        <f t="shared" si="328"/>
        <v>0.1066556664395199</v>
      </c>
      <c r="AC402" s="68" t="str">
        <f t="shared" si="329"/>
        <v>0.00880878733380187-0.077006689204239i</v>
      </c>
      <c r="AD402" s="66">
        <f t="shared" si="330"/>
        <v>-22.212971901489539</v>
      </c>
      <c r="AE402" s="63">
        <f t="shared" si="331"/>
        <v>-83.474305983842115</v>
      </c>
      <c r="AF402" s="51" t="e">
        <f t="shared" si="332"/>
        <v>#NUM!</v>
      </c>
      <c r="AG402" s="51" t="str">
        <f t="shared" si="314"/>
        <v>1-186.295808208414i</v>
      </c>
      <c r="AH402" s="51">
        <f t="shared" si="333"/>
        <v>186.2984920927332</v>
      </c>
      <c r="AI402" s="51">
        <f t="shared" si="334"/>
        <v>-1.5654285710448823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-0.000133283554228113</v>
      </c>
      <c r="AT402" s="32" t="str">
        <f t="shared" si="318"/>
        <v>0.0265595723902462i</v>
      </c>
      <c r="AU402" s="32">
        <f t="shared" si="342"/>
        <v>2.65595723902462E-2</v>
      </c>
      <c r="AV402" s="32">
        <f t="shared" si="343"/>
        <v>1.5707963267948966</v>
      </c>
      <c r="AW402" s="32" t="str">
        <f t="shared" si="319"/>
        <v>1+4.64374438748645i</v>
      </c>
      <c r="AX402" s="32">
        <f t="shared" si="344"/>
        <v>4.750195989252644</v>
      </c>
      <c r="AY402" s="32">
        <f t="shared" si="345"/>
        <v>1.3586919015882679</v>
      </c>
      <c r="AZ402" s="32" t="str">
        <f t="shared" si="320"/>
        <v>1+69.2031175793711i</v>
      </c>
      <c r="BA402" s="32">
        <f t="shared" si="346"/>
        <v>69.210342310266469</v>
      </c>
      <c r="BB402" s="32">
        <f t="shared" si="347"/>
        <v>1.5563471164011959</v>
      </c>
      <c r="BC402" s="60" t="str">
        <f t="shared" si="348"/>
        <v>-0.0143579267942327+0.0716928288678848i</v>
      </c>
      <c r="BD402" s="51">
        <f t="shared" si="349"/>
        <v>-22.71970089181519</v>
      </c>
      <c r="BE402" s="63">
        <f t="shared" si="350"/>
        <v>101.3248096075324</v>
      </c>
      <c r="BF402" s="60" t="str">
        <f t="shared" si="351"/>
        <v>0.00539435146711721+0.00173718328911654i</v>
      </c>
      <c r="BG402" s="66">
        <f t="shared" si="352"/>
        <v>-44.932672793304732</v>
      </c>
      <c r="BH402" s="63">
        <f t="shared" si="353"/>
        <v>17.850503623690276</v>
      </c>
      <c r="BI402" s="60" t="e">
        <f t="shared" si="357"/>
        <v>#NUM!</v>
      </c>
      <c r="BJ402" s="66" t="e">
        <f t="shared" si="354"/>
        <v>#NUM!</v>
      </c>
      <c r="BK402" s="63" t="e">
        <f t="shared" si="358"/>
        <v>#NUM!</v>
      </c>
      <c r="BL402" s="51">
        <f t="shared" si="355"/>
        <v>-44.932672793304732</v>
      </c>
      <c r="BM402" s="63">
        <f t="shared" si="356"/>
        <v>17.850503623690276</v>
      </c>
    </row>
    <row r="403" spans="14:65" x14ac:dyDescent="0.3">
      <c r="N403" s="11">
        <v>85</v>
      </c>
      <c r="O403" s="52">
        <f t="shared" si="359"/>
        <v>70794.578438413781</v>
      </c>
      <c r="P403" s="50" t="str">
        <f t="shared" ref="P403:P466" si="360">COMPLEX(Adc,0)</f>
        <v>21.1560044893378</v>
      </c>
      <c r="Q403" s="18" t="str">
        <f t="shared" ref="Q403:Q466" si="361">IMSUM(COMPLEX(1,0),IMDIV(COMPLEX(0,2*PI()*O403),COMPLEX(wp_lf,0)))</f>
        <v>1+310.022892929119i</v>
      </c>
      <c r="R403" s="18">
        <f t="shared" si="321"/>
        <v>310.0245057090487</v>
      </c>
      <c r="S403" s="18">
        <f t="shared" si="322"/>
        <v>1.5675707697320722</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1-0.199772148165568i</v>
      </c>
      <c r="X403" s="18">
        <f t="shared" si="325"/>
        <v>1.0197592417736088</v>
      </c>
      <c r="Y403" s="18">
        <f t="shared" si="326"/>
        <v>-0.19717646195069063</v>
      </c>
      <c r="Z403" s="32" t="str">
        <f t="shared" ref="Z403:Z466" si="364">IMSUM(COMPLEX(1,0),IMDIV(COMPLEX(0,2*PI()*O403),COMPLEX(Q*(wsl/2),0)),IMDIV(IMPOWER(COMPLEX(0,2*PI()*O403),2),IMPOWER(COMPLEX(wsl/2,0),2)))</f>
        <v>0.994988127663727+0.109031359299078i</v>
      </c>
      <c r="AA403" s="18">
        <f t="shared" si="327"/>
        <v>1.0009441600321036</v>
      </c>
      <c r="AB403" s="18">
        <f t="shared" si="328"/>
        <v>0.10914508550759673</v>
      </c>
      <c r="AC403" s="68" t="str">
        <f t="shared" si="329"/>
        <v>0.0087642107667123-0.075583753705082i</v>
      </c>
      <c r="AD403" s="66">
        <f t="shared" si="330"/>
        <v>-22.373427978972487</v>
      </c>
      <c r="AE403" s="63">
        <f t="shared" si="331"/>
        <v>-83.385883529616351</v>
      </c>
      <c r="AF403" s="51" t="e">
        <f t="shared" si="332"/>
        <v>#NUM!</v>
      </c>
      <c r="AG403" s="51" t="str">
        <f t="shared" ref="AG403:AG466" si="365">IMSUM(COMPLEX(1,0),IMDIV(COMPLEX(0,2*PI()*O403),COMPLEX(wp_lf_DCM,0)))</f>
        <v>1-190.635195030949i</v>
      </c>
      <c r="AH403" s="51">
        <f t="shared" si="333"/>
        <v>190.63781782345274</v>
      </c>
      <c r="AI403" s="51">
        <f t="shared" si="334"/>
        <v>-1.5655507538155269</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-0.000133283554228113</v>
      </c>
      <c r="AT403" s="32" t="str">
        <f t="shared" ref="AT403:AT466" si="369">COMPLEX(0,2*PI()*O403*wp0_ea)</f>
        <v>0.0271782243049123i</v>
      </c>
      <c r="AU403" s="32">
        <f t="shared" si="342"/>
        <v>2.7178224304912301E-2</v>
      </c>
      <c r="AV403" s="32">
        <f t="shared" si="343"/>
        <v>1.5707963267948966</v>
      </c>
      <c r="AW403" s="32" t="str">
        <f t="shared" ref="AW403:AW466" si="370">IMSUM(COMPLEX(1,0),IMDIV(COMPLEX(0,2*PI()*O403),COMPLEX(wp1_ea,0)))</f>
        <v>1+4.75191108965796i</v>
      </c>
      <c r="AX403" s="32">
        <f t="shared" si="344"/>
        <v>4.8559920720707836</v>
      </c>
      <c r="AY403" s="32">
        <f t="shared" si="345"/>
        <v>1.363381176377602</v>
      </c>
      <c r="AZ403" s="32" t="str">
        <f t="shared" ref="AZ403:AZ466" si="371">IMSUM(COMPLEX(1,0),IMDIV(COMPLEX(0,2*PI()*O403),COMPLEX(wz_ea,0)))</f>
        <v>1+70.8150652629515i</v>
      </c>
      <c r="BA403" s="32">
        <f t="shared" si="346"/>
        <v>70.82212555547936</v>
      </c>
      <c r="BB403" s="32">
        <f t="shared" si="347"/>
        <v>1.5566759763585671</v>
      </c>
      <c r="BC403" s="60" t="str">
        <f t="shared" si="348"/>
        <v>-0.01373911801129+0.0701911239852806i</v>
      </c>
      <c r="BD403" s="51">
        <f t="shared" si="349"/>
        <v>-22.91107050624786</v>
      </c>
      <c r="BE403" s="63">
        <f t="shared" si="350"/>
        <v>101.07497624073473</v>
      </c>
      <c r="BF403" s="60" t="str">
        <f t="shared" si="351"/>
        <v>0.00518489610158664+0.00165362391644983i</v>
      </c>
      <c r="BG403" s="66">
        <f t="shared" si="352"/>
        <v>-45.284498485220354</v>
      </c>
      <c r="BH403" s="63">
        <f t="shared" si="353"/>
        <v>17.689092711118356</v>
      </c>
      <c r="BI403" s="60" t="e">
        <f t="shared" si="357"/>
        <v>#NUM!</v>
      </c>
      <c r="BJ403" s="66" t="e">
        <f t="shared" si="354"/>
        <v>#NUM!</v>
      </c>
      <c r="BK403" s="63" t="e">
        <f t="shared" si="358"/>
        <v>#NUM!</v>
      </c>
      <c r="BL403" s="51">
        <f t="shared" si="355"/>
        <v>-45.284498485220354</v>
      </c>
      <c r="BM403" s="63">
        <f t="shared" si="356"/>
        <v>17.689092711118356</v>
      </c>
    </row>
    <row r="404" spans="14:65" x14ac:dyDescent="0.3">
      <c r="N404" s="11">
        <v>86</v>
      </c>
      <c r="O404" s="52">
        <f t="shared" si="359"/>
        <v>72443.596007499116</v>
      </c>
      <c r="P404" s="50" t="str">
        <f t="shared" si="360"/>
        <v>21.1560044893378</v>
      </c>
      <c r="Q404" s="18" t="str">
        <f t="shared" si="361"/>
        <v>1+317.244253780975i</v>
      </c>
      <c r="R404" s="18">
        <f t="shared" ref="R404:R467" si="372">IMABS(Q404)</f>
        <v>317.24582984973603</v>
      </c>
      <c r="S404" s="18">
        <f t="shared" ref="S404:S467" si="373">IMARGUMENT(Q404)</f>
        <v>1.567644191882775</v>
      </c>
      <c r="T404" s="18" t="str">
        <f t="shared" si="362"/>
        <v>1+0.455176538033572i</v>
      </c>
      <c r="U404" s="18">
        <f t="shared" ref="U404:U467" si="374">IMABS(T404)</f>
        <v>1.0987200192843616</v>
      </c>
      <c r="V404" s="18">
        <f t="shared" ref="V404:V467" si="375">IMARGUMENT(T404)</f>
        <v>0.42715039001430821</v>
      </c>
      <c r="W404" s="32" t="str">
        <f t="shared" si="363"/>
        <v>1-0.204425439270699i</v>
      </c>
      <c r="X404" s="18">
        <f t="shared" ref="X404:X467" si="376">IMABS(W404)</f>
        <v>1.0206810276580134</v>
      </c>
      <c r="Y404" s="18">
        <f t="shared" ref="Y404:Y467" si="377">IMARGUMENT(W404)</f>
        <v>-0.20164714598324163</v>
      </c>
      <c r="Z404" s="32" t="str">
        <f t="shared" si="364"/>
        <v>0.994751925397502+0.111571025909591i</v>
      </c>
      <c r="AA404" s="18">
        <f t="shared" ref="AA404:AA467" si="378">IMABS(Z404)</f>
        <v>1.0009892541404009</v>
      </c>
      <c r="AB404" s="18">
        <f t="shared" ref="AB404:AB467" si="379">IMARGUMENT(Z404)</f>
        <v>0.11169285158238677</v>
      </c>
      <c r="AC404" s="68" t="str">
        <f t="shared" ref="AC404:AC467" si="380">(IMDIV(IMPRODUCT(P404,T404,W404),IMPRODUCT(Q404,Z404)))</f>
        <v>0.00871849407908876-0.0742006945218139i</v>
      </c>
      <c r="AD404" s="66">
        <f t="shared" ref="AD404:AD467" si="381">20*LOG(IMABS(AC404))</f>
        <v>-22.532292138498722</v>
      </c>
      <c r="AE404" s="63">
        <f t="shared" ref="AE404:AE467" si="382">(180/PI())*IMARGUMENT(AC404)</f>
        <v>-83.298540821042678</v>
      </c>
      <c r="AF404" s="51" t="e">
        <f t="shared" ref="AF404:AF467" si="383">COMPLEX($B$68,0)</f>
        <v>#NUM!</v>
      </c>
      <c r="AG404" s="51" t="str">
        <f t="shared" si="365"/>
        <v>1-195.075659157245i</v>
      </c>
      <c r="AH404" s="51">
        <f t="shared" ref="AH404:AH467" si="384">IMABS(AG404)</f>
        <v>195.07822224849608</v>
      </c>
      <c r="AI404" s="51">
        <f t="shared" ref="AI404:AI467" si="385">IMARGUMENT(AG404)</f>
        <v>-1.5656701555181001</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-0.000133283554228113</v>
      </c>
      <c r="AT404" s="32" t="str">
        <f t="shared" si="369"/>
        <v>0.0278112864738513i</v>
      </c>
      <c r="AU404" s="32">
        <f t="shared" ref="AU404:AU467" si="393">IMABS(AT404)</f>
        <v>2.78112864738513E-2</v>
      </c>
      <c r="AV404" s="32">
        <f t="shared" ref="AV404:AV467" si="394">IMARGUMENT(AT404)</f>
        <v>1.5707963267948966</v>
      </c>
      <c r="AW404" s="32" t="str">
        <f t="shared" si="370"/>
        <v>1+4.8625973179882i</v>
      </c>
      <c r="AX404" s="32">
        <f t="shared" ref="AX404:AX467" si="395">IMABS(AW404)</f>
        <v>4.9643582341432655</v>
      </c>
      <c r="AY404" s="32">
        <f t="shared" ref="AY404:AY467" si="396">IMARGUMENT(AW404)</f>
        <v>1.3679726705000224</v>
      </c>
      <c r="AZ404" s="32" t="str">
        <f t="shared" si="371"/>
        <v>1+72.4645600314826i</v>
      </c>
      <c r="BA404" s="32">
        <f t="shared" ref="BA404:BA467" si="397">IMABS(AZ404)</f>
        <v>72.471459627610272</v>
      </c>
      <c r="BB404" s="32">
        <f t="shared" ref="BB404:BB467" si="398">IMARGUMENT(AZ404)</f>
        <v>1.556997353500845</v>
      </c>
      <c r="BC404" s="60" t="str">
        <f t="shared" ref="BC404:BC467" si="399">IMPRODUCT(AS404,IMDIV(AZ404,IMPRODUCT(AT404,AW404)))</f>
        <v>-0.0131458467651433+0.0687153860080682i</v>
      </c>
      <c r="BD404" s="51">
        <f t="shared" ref="BD404:BD467" si="400">20*LOG(IMABS(BC404))</f>
        <v>-23.102812359257385</v>
      </c>
      <c r="BE404" s="63">
        <f t="shared" ref="BE404:BE467" si="401">(180/PI())*IMARGUMENT(BC404)</f>
        <v>100.8303165597454</v>
      </c>
      <c r="BF404" s="60" t="str">
        <f t="shared" ref="BF404:BF467" si="402">IMPRODUCT(AC404,BC404)</f>
        <v>0.00498411737894668+0.00157452564610461i</v>
      </c>
      <c r="BG404" s="66">
        <f t="shared" ref="BG404:BG467" si="403">20*LOG(IMABS(BF404))</f>
        <v>-45.635104497756117</v>
      </c>
      <c r="BH404" s="63">
        <f t="shared" ref="BH404:BH467" si="404">(180/PI())*IMARGUMENT(BF404)</f>
        <v>17.531775738702695</v>
      </c>
      <c r="BI404" s="60" t="e">
        <f t="shared" si="357"/>
        <v>#NUM!</v>
      </c>
      <c r="BJ404" s="66" t="e">
        <f t="shared" ref="BJ404:BJ467" si="405">20*LOG(IMABS(BI404))</f>
        <v>#NUM!</v>
      </c>
      <c r="BK404" s="63" t="e">
        <f t="shared" si="358"/>
        <v>#NUM!</v>
      </c>
      <c r="BL404" s="51">
        <f t="shared" ref="BL404:BL467" si="406">IF($B$31=0,BJ404,BG404)</f>
        <v>-45.635104497756117</v>
      </c>
      <c r="BM404" s="63">
        <f t="shared" ref="BM404:BM467" si="407">IF($B$31=0,BK404,BH404)</f>
        <v>17.531775738702695</v>
      </c>
    </row>
    <row r="405" spans="14:65" x14ac:dyDescent="0.3">
      <c r="N405" s="11">
        <v>87</v>
      </c>
      <c r="O405" s="52">
        <f t="shared" si="359"/>
        <v>74131.024130091857</v>
      </c>
      <c r="P405" s="50" t="str">
        <f t="shared" si="360"/>
        <v>21.1560044893378</v>
      </c>
      <c r="Q405" s="18" t="str">
        <f t="shared" si="361"/>
        <v>1+324.633821735409i</v>
      </c>
      <c r="R405" s="18">
        <f t="shared" si="372"/>
        <v>324.63536192863728</v>
      </c>
      <c r="S405" s="18">
        <f t="shared" si="373"/>
        <v>1.5677159427741241</v>
      </c>
      <c r="T405" s="18" t="str">
        <f t="shared" si="362"/>
        <v>1+0.465778961620369i</v>
      </c>
      <c r="U405" s="18">
        <f t="shared" si="374"/>
        <v>1.1031545862154357</v>
      </c>
      <c r="V405" s="18">
        <f t="shared" si="375"/>
        <v>0.43589795700952311</v>
      </c>
      <c r="W405" s="32" t="str">
        <f t="shared" si="363"/>
        <v>1-0.209187119449621i</v>
      </c>
      <c r="X405" s="18">
        <f t="shared" si="376"/>
        <v>1.0216453645681705</v>
      </c>
      <c r="Y405" s="18">
        <f t="shared" si="377"/>
        <v>-0.2062135204246564</v>
      </c>
      <c r="Z405" s="32" t="str">
        <f t="shared" si="364"/>
        <v>0.994504591261424+0.11416984895486i</v>
      </c>
      <c r="AA405" s="18">
        <f t="shared" si="378"/>
        <v>1.0010365310269287</v>
      </c>
      <c r="AB405" s="18">
        <f t="shared" si="379"/>
        <v>0.11430034919078857</v>
      </c>
      <c r="AC405" s="68" t="str">
        <f t="shared" si="380"/>
        <v>0.00867154107277938-0.0728567644472383i</v>
      </c>
      <c r="AD405" s="66">
        <f t="shared" si="381"/>
        <v>-22.689511146379196</v>
      </c>
      <c r="AE405" s="63">
        <f t="shared" si="382"/>
        <v>-83.212485765680881</v>
      </c>
      <c r="AF405" s="51" t="e">
        <f t="shared" si="383"/>
        <v>#NUM!</v>
      </c>
      <c r="AG405" s="51" t="str">
        <f t="shared" si="365"/>
        <v>1-199.619554980158i</v>
      </c>
      <c r="AH405" s="51">
        <f t="shared" si="384"/>
        <v>199.6220597290698</v>
      </c>
      <c r="AI405" s="51">
        <f t="shared" si="385"/>
        <v>-1.5657868394473391</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-0.000133283554228113</v>
      </c>
      <c r="AT405" s="32" t="str">
        <f t="shared" si="369"/>
        <v>0.0284590945550045i</v>
      </c>
      <c r="AU405" s="32">
        <f t="shared" si="393"/>
        <v>2.8459094555004501E-2</v>
      </c>
      <c r="AV405" s="32">
        <f t="shared" si="394"/>
        <v>1.5707963267948966</v>
      </c>
      <c r="AW405" s="32" t="str">
        <f t="shared" si="370"/>
        <v>1+4.97586175978052i</v>
      </c>
      <c r="AX405" s="32">
        <f t="shared" si="395"/>
        <v>5.0753522293970983</v>
      </c>
      <c r="AY405" s="32">
        <f t="shared" si="396"/>
        <v>1.3724680436869421</v>
      </c>
      <c r="AZ405" s="32" t="str">
        <f t="shared" si="371"/>
        <v>1+74.1524764689243i</v>
      </c>
      <c r="BA405" s="32">
        <f t="shared" si="397"/>
        <v>74.159219025515469</v>
      </c>
      <c r="BB405" s="32">
        <f t="shared" si="398"/>
        <v>1.5573114179607486</v>
      </c>
      <c r="BC405" s="60" t="str">
        <f t="shared" si="399"/>
        <v>-0.0125771551005111+0.0672655229446635i</v>
      </c>
      <c r="BD405" s="51">
        <f t="shared" si="400"/>
        <v>-23.29491106556204</v>
      </c>
      <c r="BE405" s="63">
        <f t="shared" si="401"/>
        <v>100.59074521684613</v>
      </c>
      <c r="BF405" s="60" t="str">
        <f t="shared" si="402"/>
        <v>0.00479168504356685+0.00149962657157095i</v>
      </c>
      <c r="BG405" s="66">
        <f t="shared" si="403"/>
        <v>-45.984422211941236</v>
      </c>
      <c r="BH405" s="63">
        <f t="shared" si="404"/>
        <v>17.378259451165242</v>
      </c>
      <c r="BI405" s="60" t="e">
        <f t="shared" si="357"/>
        <v>#NUM!</v>
      </c>
      <c r="BJ405" s="66" t="e">
        <f t="shared" si="405"/>
        <v>#NUM!</v>
      </c>
      <c r="BK405" s="63" t="e">
        <f t="shared" si="358"/>
        <v>#NUM!</v>
      </c>
      <c r="BL405" s="51">
        <f t="shared" si="406"/>
        <v>-45.984422211941236</v>
      </c>
      <c r="BM405" s="63">
        <f t="shared" si="407"/>
        <v>17.378259451165242</v>
      </c>
    </row>
    <row r="406" spans="14:65" x14ac:dyDescent="0.3">
      <c r="N406" s="11">
        <v>88</v>
      </c>
      <c r="O406" s="52">
        <f t="shared" si="359"/>
        <v>75857.757502918481</v>
      </c>
      <c r="P406" s="50" t="str">
        <f t="shared" si="360"/>
        <v>21.1560044893378</v>
      </c>
      <c r="Q406" s="18" t="str">
        <f t="shared" si="361"/>
        <v>1+332.195514839163i</v>
      </c>
      <c r="R406" s="18">
        <f t="shared" si="372"/>
        <v>332.19701997347386</v>
      </c>
      <c r="S406" s="18">
        <f t="shared" si="373"/>
        <v>1.5677860604464346</v>
      </c>
      <c r="T406" s="18" t="str">
        <f t="shared" si="362"/>
        <v>1+0.476628347377929i</v>
      </c>
      <c r="U406" s="18">
        <f t="shared" si="374"/>
        <v>1.1077791212711203</v>
      </c>
      <c r="V406" s="18">
        <f t="shared" si="375"/>
        <v>0.44477608304330041</v>
      </c>
      <c r="W406" s="32" t="str">
        <f t="shared" si="363"/>
        <v>1-0.214059713408194i</v>
      </c>
      <c r="X406" s="18">
        <f t="shared" si="376"/>
        <v>1.0226541746379361</v>
      </c>
      <c r="Y406" s="18">
        <f t="shared" si="377"/>
        <v>-0.21087724433285276</v>
      </c>
      <c r="Z406" s="32" t="str">
        <f t="shared" si="364"/>
        <v>0.994245600626628+0.11682920636526i</v>
      </c>
      <c r="AA406" s="18">
        <f t="shared" si="378"/>
        <v>1.0010860991070354</v>
      </c>
      <c r="AB406" s="18">
        <f t="shared" si="379"/>
        <v>0.11696899688485017</v>
      </c>
      <c r="AC406" s="68" t="str">
        <f t="shared" si="380"/>
        <v>0.00862325300374411-0.0715512359923824i</v>
      </c>
      <c r="AD406" s="66">
        <f t="shared" si="381"/>
        <v>-22.845030829525037</v>
      </c>
      <c r="AE406" s="63">
        <f t="shared" si="382"/>
        <v>-83.127938007283817</v>
      </c>
      <c r="AF406" s="51" t="e">
        <f t="shared" si="383"/>
        <v>#NUM!</v>
      </c>
      <c r="AG406" s="51" t="str">
        <f t="shared" si="365"/>
        <v>1-204.269291733398i</v>
      </c>
      <c r="AH406" s="51">
        <f t="shared" si="384"/>
        <v>204.27173946795494</v>
      </c>
      <c r="AI406" s="51">
        <f t="shared" si="385"/>
        <v>-1.5659008674578907</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-0.000133283554228113</v>
      </c>
      <c r="AT406" s="32" t="str">
        <f t="shared" si="369"/>
        <v>0.0291219920247915i</v>
      </c>
      <c r="AU406" s="32">
        <f t="shared" si="393"/>
        <v>2.9121992024791502E-2</v>
      </c>
      <c r="AV406" s="32">
        <f t="shared" si="394"/>
        <v>1.5707963267948966</v>
      </c>
      <c r="AW406" s="32" t="str">
        <f t="shared" si="370"/>
        <v>1+5.09176446934118i</v>
      </c>
      <c r="AX406" s="32">
        <f t="shared" si="395"/>
        <v>5.1890331865623356</v>
      </c>
      <c r="AY406" s="32">
        <f t="shared" si="396"/>
        <v>1.3768689523470197</v>
      </c>
      <c r="AZ406" s="32" t="str">
        <f t="shared" si="371"/>
        <v>1+75.8797095309136i</v>
      </c>
      <c r="BA406" s="32">
        <f t="shared" si="397"/>
        <v>75.886298621660416</v>
      </c>
      <c r="BB406" s="32">
        <f t="shared" si="398"/>
        <v>1.5576183360114437</v>
      </c>
      <c r="BC406" s="60" t="str">
        <f t="shared" si="399"/>
        <v>-0.0120321128204952+0.0658414165994174i</v>
      </c>
      <c r="BD406" s="51">
        <f t="shared" si="400"/>
        <v>-23.487351818966861</v>
      </c>
      <c r="BE406" s="63">
        <f t="shared" si="401"/>
        <v>100.3561768335623</v>
      </c>
      <c r="BF406" s="60" t="str">
        <f t="shared" si="402"/>
        <v>0.00460727878415695+0.00142867973736792i</v>
      </c>
      <c r="BG406" s="66">
        <f t="shared" si="403"/>
        <v>-46.332382648491901</v>
      </c>
      <c r="BH406" s="63">
        <f t="shared" si="404"/>
        <v>17.228238826278574</v>
      </c>
      <c r="BI406" s="60" t="e">
        <f t="shared" si="357"/>
        <v>#NUM!</v>
      </c>
      <c r="BJ406" s="66" t="e">
        <f t="shared" si="405"/>
        <v>#NUM!</v>
      </c>
      <c r="BK406" s="63" t="e">
        <f t="shared" si="358"/>
        <v>#NUM!</v>
      </c>
      <c r="BL406" s="51">
        <f t="shared" si="406"/>
        <v>-46.332382648491901</v>
      </c>
      <c r="BM406" s="63">
        <f t="shared" si="407"/>
        <v>17.228238826278574</v>
      </c>
    </row>
    <row r="407" spans="14:65" x14ac:dyDescent="0.3">
      <c r="N407" s="11">
        <v>89</v>
      </c>
      <c r="O407" s="52">
        <f t="shared" si="359"/>
        <v>77624.711662869129</v>
      </c>
      <c r="P407" s="50" t="str">
        <f t="shared" si="360"/>
        <v>21.1560044893378</v>
      </c>
      <c r="Q407" s="18" t="str">
        <f t="shared" si="361"/>
        <v>1+339.933342402012i</v>
      </c>
      <c r="R407" s="18">
        <f t="shared" si="372"/>
        <v>339.93481327543299</v>
      </c>
      <c r="S407" s="18">
        <f t="shared" si="373"/>
        <v>1.5678545820742653</v>
      </c>
      <c r="T407" s="18" t="str">
        <f t="shared" si="362"/>
        <v>1+0.487730447794191i</v>
      </c>
      <c r="U407" s="18">
        <f t="shared" si="374"/>
        <v>1.1126010020243204</v>
      </c>
      <c r="V407" s="18">
        <f t="shared" si="375"/>
        <v>0.45378387613590931</v>
      </c>
      <c r="W407" s="32" t="str">
        <f t="shared" si="363"/>
        <v>1-0.219045804660231i</v>
      </c>
      <c r="X407" s="18">
        <f t="shared" si="376"/>
        <v>1.0237094629528674</v>
      </c>
      <c r="Y407" s="18">
        <f t="shared" si="377"/>
        <v>-0.21563997859816905</v>
      </c>
      <c r="Z407" s="32" t="str">
        <f t="shared" si="364"/>
        <v>0.993974404139256+0.119550508167292i</v>
      </c>
      <c r="AA407" s="18">
        <f t="shared" si="378"/>
        <v>1.001138072439085</v>
      </c>
      <c r="AB407" s="18">
        <f t="shared" si="379"/>
        <v>0.11970024815582542</v>
      </c>
      <c r="AC407" s="68" t="str">
        <f t="shared" si="380"/>
        <v>0.00857352838032507-0.0702834009282082i</v>
      </c>
      <c r="AD407" s="66">
        <f t="shared" si="381"/>
        <v>-22.99879612264494</v>
      </c>
      <c r="AE407" s="63">
        <f t="shared" si="382"/>
        <v>-83.045129223391939</v>
      </c>
      <c r="AF407" s="51" t="e">
        <f t="shared" si="383"/>
        <v>#NUM!</v>
      </c>
      <c r="AG407" s="51" t="str">
        <f t="shared" si="365"/>
        <v>1-209.027334768939i</v>
      </c>
      <c r="AH407" s="51">
        <f t="shared" si="384"/>
        <v>209.02972678690008</v>
      </c>
      <c r="AI407" s="51">
        <f t="shared" si="385"/>
        <v>-1.5660122999970476</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-0.000133283554228113</v>
      </c>
      <c r="AT407" s="32" t="str">
        <f t="shared" si="369"/>
        <v>0.0298003303602251i</v>
      </c>
      <c r="AU407" s="32">
        <f t="shared" si="393"/>
        <v>2.98003303602251E-2</v>
      </c>
      <c r="AV407" s="32">
        <f t="shared" si="394"/>
        <v>1.5707963267948966</v>
      </c>
      <c r="AW407" s="32" t="str">
        <f t="shared" si="370"/>
        <v>1+5.21036689982096i</v>
      </c>
      <c r="AX407" s="32">
        <f t="shared" si="395"/>
        <v>5.3054616416245892</v>
      </c>
      <c r="AY407" s="32">
        <f t="shared" si="396"/>
        <v>1.3811770476803329</v>
      </c>
      <c r="AZ407" s="32" t="str">
        <f t="shared" si="371"/>
        <v>1+77.647175019283i</v>
      </c>
      <c r="BA407" s="32">
        <f t="shared" si="397"/>
        <v>77.653614136594868</v>
      </c>
      <c r="BB407" s="32">
        <f t="shared" si="398"/>
        <v>1.5579182701535206</v>
      </c>
      <c r="BC407" s="60" t="str">
        <f t="shared" si="399"/>
        <v>-0.0115098174094143+0.0644429245615363i</v>
      </c>
      <c r="BD407" s="51">
        <f t="shared" si="400"/>
        <v>-23.680120375413413</v>
      </c>
      <c r="BE407" s="63">
        <f t="shared" si="401"/>
        <v>100.12652611369641</v>
      </c>
      <c r="BF407" s="60" t="str">
        <f t="shared" si="402"/>
        <v>0.00443058815773276+0.00136145235423581i</v>
      </c>
      <c r="BG407" s="66">
        <f t="shared" si="403"/>
        <v>-46.678916498058349</v>
      </c>
      <c r="BH407" s="63">
        <f t="shared" si="404"/>
        <v>17.081396890304415</v>
      </c>
      <c r="BI407" s="60" t="e">
        <f t="shared" si="357"/>
        <v>#NUM!</v>
      </c>
      <c r="BJ407" s="66" t="e">
        <f t="shared" si="405"/>
        <v>#NUM!</v>
      </c>
      <c r="BK407" s="63" t="e">
        <f t="shared" si="358"/>
        <v>#NUM!</v>
      </c>
      <c r="BL407" s="51">
        <f t="shared" si="406"/>
        <v>-46.678916498058349</v>
      </c>
      <c r="BM407" s="63">
        <f t="shared" si="407"/>
        <v>17.081396890304415</v>
      </c>
    </row>
    <row r="408" spans="14:65" x14ac:dyDescent="0.3">
      <c r="N408" s="11">
        <v>90</v>
      </c>
      <c r="O408" s="52">
        <f t="shared" si="359"/>
        <v>79432.823472428237</v>
      </c>
      <c r="P408" s="50" t="str">
        <f t="shared" si="360"/>
        <v>21.1560044893378</v>
      </c>
      <c r="Q408" s="18" t="str">
        <f t="shared" si="361"/>
        <v>1+347.851407122554i</v>
      </c>
      <c r="R408" s="18">
        <f t="shared" si="372"/>
        <v>347.85284451494834</v>
      </c>
      <c r="S408" s="18">
        <f t="shared" si="373"/>
        <v>1.5679215439861149</v>
      </c>
      <c r="T408" s="18" t="str">
        <f t="shared" si="362"/>
        <v>1+0.499091149349751i</v>
      </c>
      <c r="U408" s="18">
        <f t="shared" si="374"/>
        <v>1.1176278340124031</v>
      </c>
      <c r="V408" s="18">
        <f t="shared" si="375"/>
        <v>0.46292026418970106</v>
      </c>
      <c r="W408" s="32" t="str">
        <f t="shared" si="363"/>
        <v>1-0.224148036897314i</v>
      </c>
      <c r="X408" s="18">
        <f t="shared" si="376"/>
        <v>1.0248133207784331</v>
      </c>
      <c r="Y408" s="18">
        <f t="shared" si="377"/>
        <v>-0.22050338379781861</v>
      </c>
      <c r="Z408" s="32" t="str">
        <f t="shared" si="364"/>
        <v>0.993690426555198+0.122335197231193i</v>
      </c>
      <c r="AA408" s="18">
        <f t="shared" si="378"/>
        <v>1.0011925710416785</v>
      </c>
      <c r="AB408" s="18">
        <f t="shared" si="379"/>
        <v>0.12249559237752812</v>
      </c>
      <c r="AC408" s="68" t="str">
        <f t="shared" si="380"/>
        <v>0.00852226275647935-0.069052569832124i</v>
      </c>
      <c r="AD408" s="66">
        <f t="shared" si="381"/>
        <v>-23.150751120585554</v>
      </c>
      <c r="AE408" s="63">
        <f t="shared" si="382"/>
        <v>-82.964303401044816</v>
      </c>
      <c r="AF408" s="51" t="e">
        <f t="shared" si="383"/>
        <v>#NUM!</v>
      </c>
      <c r="AG408" s="51" t="str">
        <f t="shared" si="365"/>
        <v>1-213.896206864179i</v>
      </c>
      <c r="AH408" s="51">
        <f t="shared" si="384"/>
        <v>213.89854443376575</v>
      </c>
      <c r="AI408" s="51">
        <f t="shared" si="385"/>
        <v>-1.5661211961367414</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-0.000133283554228113</v>
      </c>
      <c r="AT408" s="32" t="str">
        <f t="shared" si="369"/>
        <v>0.0304944692252698i</v>
      </c>
      <c r="AU408" s="32">
        <f t="shared" si="393"/>
        <v>3.0494469225269799E-2</v>
      </c>
      <c r="AV408" s="32">
        <f t="shared" si="394"/>
        <v>1.5707963267948966</v>
      </c>
      <c r="AW408" s="32" t="str">
        <f t="shared" si="370"/>
        <v>1+5.33173193579839i</v>
      </c>
      <c r="AX408" s="32">
        <f t="shared" si="395"/>
        <v>5.4246995709635799</v>
      </c>
      <c r="AY408" s="32">
        <f t="shared" si="396"/>
        <v>1.3853939739328252</v>
      </c>
      <c r="AZ408" s="32" t="str">
        <f t="shared" si="371"/>
        <v>1+79.4558100676297i</v>
      </c>
      <c r="BA408" s="32">
        <f t="shared" si="397"/>
        <v>79.462102624479073</v>
      </c>
      <c r="BB408" s="32">
        <f t="shared" si="398"/>
        <v>1.5582113792000496</v>
      </c>
      <c r="BC408" s="60" t="str">
        <f t="shared" si="399"/>
        <v>-0.01100939387705+0.0630698821029713i</v>
      </c>
      <c r="BD408" s="51">
        <f t="shared" si="400"/>
        <v>-23.873203036095912</v>
      </c>
      <c r="BE408" s="63">
        <f t="shared" si="401"/>
        <v>99.901707948213897</v>
      </c>
      <c r="BF408" s="60" t="str">
        <f t="shared" si="402"/>
        <v>0.00426131249080946+0.00129772504680605i</v>
      </c>
      <c r="BG408" s="66">
        <f t="shared" si="403"/>
        <v>-47.023954156681462</v>
      </c>
      <c r="BH408" s="63">
        <f t="shared" si="404"/>
        <v>16.937404547169095</v>
      </c>
      <c r="BI408" s="60" t="e">
        <f t="shared" si="357"/>
        <v>#NUM!</v>
      </c>
      <c r="BJ408" s="66" t="e">
        <f t="shared" si="405"/>
        <v>#NUM!</v>
      </c>
      <c r="BK408" s="63" t="e">
        <f t="shared" si="358"/>
        <v>#NUM!</v>
      </c>
      <c r="BL408" s="51">
        <f t="shared" si="406"/>
        <v>-47.023954156681462</v>
      </c>
      <c r="BM408" s="63">
        <f t="shared" si="407"/>
        <v>16.937404547169095</v>
      </c>
    </row>
    <row r="409" spans="14:65" x14ac:dyDescent="0.3">
      <c r="N409" s="11">
        <v>91</v>
      </c>
      <c r="O409" s="52">
        <f t="shared" si="359"/>
        <v>81283.051616410012</v>
      </c>
      <c r="P409" s="50" t="str">
        <f t="shared" si="360"/>
        <v>21.1560044893378</v>
      </c>
      <c r="Q409" s="18" t="str">
        <f t="shared" si="361"/>
        <v>1+355.953907263509i</v>
      </c>
      <c r="R409" s="18">
        <f t="shared" si="372"/>
        <v>355.95531193698849</v>
      </c>
      <c r="S409" s="18">
        <f t="shared" si="373"/>
        <v>1.5679869816836722</v>
      </c>
      <c r="T409" s="18" t="str">
        <f t="shared" si="362"/>
        <v>1+0.510716475638947i</v>
      </c>
      <c r="U409" s="18">
        <f t="shared" si="374"/>
        <v>1.1228674536600778</v>
      </c>
      <c r="V409" s="18">
        <f t="shared" si="375"/>
        <v>0.47218398930437411</v>
      </c>
      <c r="W409" s="32" t="str">
        <f t="shared" si="363"/>
        <v>1-0.229369115390509i</v>
      </c>
      <c r="X409" s="18">
        <f t="shared" si="376"/>
        <v>1.0259679288822945</v>
      </c>
      <c r="Y409" s="18">
        <f t="shared" si="377"/>
        <v>-0.22546911789213228</v>
      </c>
      <c r="Z409" s="32" t="str">
        <f t="shared" si="364"/>
        <v>0.993393065519924+0.125184750035964i</v>
      </c>
      <c r="AA409" s="18">
        <f t="shared" si="378"/>
        <v>1.0012497212307421</v>
      </c>
      <c r="AB409" s="18">
        <f t="shared" si="379"/>
        <v>0.12535655578017557</v>
      </c>
      <c r="AC409" s="68" t="str">
        <f t="shared" si="380"/>
        <v>0.00846934851961741-0.067858071638669i</v>
      </c>
      <c r="AD409" s="66">
        <f t="shared" si="381"/>
        <v>-23.300839135878974</v>
      </c>
      <c r="AE409" s="63">
        <f t="shared" si="382"/>
        <v>-82.885717087397254</v>
      </c>
      <c r="AF409" s="51" t="e">
        <f t="shared" si="383"/>
        <v>#NUM!</v>
      </c>
      <c r="AG409" s="51" t="str">
        <f t="shared" si="365"/>
        <v>1-218.878489559549i</v>
      </c>
      <c r="AH409" s="51">
        <f t="shared" si="384"/>
        <v>218.88077392011752</v>
      </c>
      <c r="AI409" s="51">
        <f t="shared" si="385"/>
        <v>-1.5662276136048101</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-0.000133283554228113</v>
      </c>
      <c r="AT409" s="32" t="str">
        <f t="shared" si="369"/>
        <v>0.0312047766615397i</v>
      </c>
      <c r="AU409" s="32">
        <f t="shared" si="393"/>
        <v>3.1204776661539702E-2</v>
      </c>
      <c r="AV409" s="32">
        <f t="shared" si="394"/>
        <v>1.5707963267948966</v>
      </c>
      <c r="AW409" s="32" t="str">
        <f t="shared" si="370"/>
        <v>1+5.45592392662199i</v>
      </c>
      <c r="AX409" s="32">
        <f t="shared" si="395"/>
        <v>5.5468104251980987</v>
      </c>
      <c r="AY409" s="32">
        <f t="shared" si="396"/>
        <v>1.3895213667845361</v>
      </c>
      <c r="AZ409" s="32" t="str">
        <f t="shared" si="371"/>
        <v>1+81.3065736381959i</v>
      </c>
      <c r="BA409" s="32">
        <f t="shared" si="397"/>
        <v>81.312722969922561</v>
      </c>
      <c r="BB409" s="32">
        <f t="shared" si="398"/>
        <v>1.5584978183597564</v>
      </c>
      <c r="BC409" s="60" t="str">
        <f t="shared" si="399"/>
        <v>-0.0105299945326655+0.0617221039862138i</v>
      </c>
      <c r="BD409" s="51">
        <f t="shared" si="400"/>
        <v>-24.066586630687002</v>
      </c>
      <c r="BE409" s="63">
        <f t="shared" si="401"/>
        <v>99.681637512356872</v>
      </c>
      <c r="BF409" s="60" t="str">
        <f t="shared" si="402"/>
        <v>0.00409916076037906+0.00123729113337572i</v>
      </c>
      <c r="BG409" s="66">
        <f t="shared" si="403"/>
        <v>-47.367425766565987</v>
      </c>
      <c r="BH409" s="63">
        <f t="shared" si="404"/>
        <v>16.795920424959636</v>
      </c>
      <c r="BI409" s="60" t="e">
        <f t="shared" si="357"/>
        <v>#NUM!</v>
      </c>
      <c r="BJ409" s="66" t="e">
        <f t="shared" si="405"/>
        <v>#NUM!</v>
      </c>
      <c r="BK409" s="63" t="e">
        <f t="shared" si="358"/>
        <v>#NUM!</v>
      </c>
      <c r="BL409" s="51">
        <f t="shared" si="406"/>
        <v>-47.367425766565987</v>
      </c>
      <c r="BM409" s="63">
        <f t="shared" si="407"/>
        <v>16.795920424959636</v>
      </c>
    </row>
    <row r="410" spans="14:65" x14ac:dyDescent="0.3">
      <c r="N410" s="11">
        <v>92</v>
      </c>
      <c r="O410" s="52">
        <f t="shared" si="359"/>
        <v>83176.377110267174</v>
      </c>
      <c r="P410" s="50" t="str">
        <f t="shared" si="360"/>
        <v>21.1560044893378</v>
      </c>
      <c r="Q410" s="18" t="str">
        <f t="shared" si="361"/>
        <v>1+364.245138877702i</v>
      </c>
      <c r="R410" s="18">
        <f t="shared" si="372"/>
        <v>364.2465115770313</v>
      </c>
      <c r="S410" s="18">
        <f t="shared" si="373"/>
        <v>1.5680509298606273</v>
      </c>
      <c r="T410" s="18" t="str">
        <f t="shared" si="362"/>
        <v>1+0.522612590563659i</v>
      </c>
      <c r="U410" s="18">
        <f t="shared" si="374"/>
        <v>1.1283279309738188</v>
      </c>
      <c r="V410" s="18">
        <f t="shared" si="375"/>
        <v>0.48157360245460867</v>
      </c>
      <c r="W410" s="32" t="str">
        <f t="shared" si="363"/>
        <v>1-0.234711808424744i</v>
      </c>
      <c r="X410" s="18">
        <f t="shared" si="376"/>
        <v>1.0271755609505193</v>
      </c>
      <c r="Y410" s="18">
        <f t="shared" si="377"/>
        <v>-0.23053883375612541</v>
      </c>
      <c r="Z410" s="32" t="str">
        <f t="shared" si="364"/>
        <v>0.993081690290811+0.12810067745222i</v>
      </c>
      <c r="AA410" s="18">
        <f t="shared" si="378"/>
        <v>1.0013096559778958</v>
      </c>
      <c r="AB410" s="18">
        <f t="shared" si="379"/>
        <v>0.12828470245594706</v>
      </c>
      <c r="AC410" s="68" t="str">
        <f t="shared" si="380"/>
        <v>0.00841467467268966-0.0666992531937026i</v>
      </c>
      <c r="AD410" s="66">
        <f t="shared" si="381"/>
        <v>-23.44900276153183</v>
      </c>
      <c r="AE410" s="63">
        <f t="shared" si="382"/>
        <v>-82.809639611929626</v>
      </c>
      <c r="AF410" s="51" t="e">
        <f t="shared" si="383"/>
        <v>#NUM!</v>
      </c>
      <c r="AG410" s="51" t="str">
        <f t="shared" si="365"/>
        <v>1-223.976824527283i</v>
      </c>
      <c r="AH410" s="51">
        <f t="shared" si="384"/>
        <v>223.97905688998094</v>
      </c>
      <c r="AI410" s="51">
        <f t="shared" si="385"/>
        <v>-1.5663316088155572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-0.000133283554228113</v>
      </c>
      <c r="AT410" s="32" t="str">
        <f t="shared" si="369"/>
        <v>0.0319316292834396i</v>
      </c>
      <c r="AU410" s="32">
        <f t="shared" si="393"/>
        <v>3.1931629283439601E-2</v>
      </c>
      <c r="AV410" s="32">
        <f t="shared" si="394"/>
        <v>1.5707963267948966</v>
      </c>
      <c r="AW410" s="32" t="str">
        <f t="shared" si="370"/>
        <v>1+5.58300872052918i</v>
      </c>
      <c r="AX410" s="32">
        <f t="shared" si="395"/>
        <v>5.6718591637579356</v>
      </c>
      <c r="AY410" s="32">
        <f t="shared" si="396"/>
        <v>1.3935608518652145</v>
      </c>
      <c r="AZ410" s="32" t="str">
        <f t="shared" si="371"/>
        <v>1+83.200447030325i</v>
      </c>
      <c r="BA410" s="32">
        <f t="shared" si="397"/>
        <v>83.206456396399403</v>
      </c>
      <c r="BB410" s="32">
        <f t="shared" si="398"/>
        <v>1.5587777393183546</v>
      </c>
      <c r="BC410" s="60" t="str">
        <f t="shared" si="399"/>
        <v>-0.0100707986966065+0.0603993861832858i</v>
      </c>
      <c r="BD410" s="51">
        <f t="shared" si="400"/>
        <v>-24.260258500716855</v>
      </c>
      <c r="BE410" s="63">
        <f t="shared" si="401"/>
        <v>99.46623035535292</v>
      </c>
      <c r="BF410" s="60" t="str">
        <f t="shared" si="402"/>
        <v>0.00394385145705711+0.00117995593729026i</v>
      </c>
      <c r="BG410" s="66">
        <f t="shared" si="403"/>
        <v>-47.709261262248688</v>
      </c>
      <c r="BH410" s="63">
        <f t="shared" si="404"/>
        <v>16.656590743423244</v>
      </c>
      <c r="BI410" s="60" t="e">
        <f t="shared" si="357"/>
        <v>#NUM!</v>
      </c>
      <c r="BJ410" s="66" t="e">
        <f t="shared" si="405"/>
        <v>#NUM!</v>
      </c>
      <c r="BK410" s="63" t="e">
        <f t="shared" si="358"/>
        <v>#NUM!</v>
      </c>
      <c r="BL410" s="51">
        <f t="shared" si="406"/>
        <v>-47.709261262248688</v>
      </c>
      <c r="BM410" s="63">
        <f t="shared" si="407"/>
        <v>16.656590743423244</v>
      </c>
    </row>
    <row r="411" spans="14:65" x14ac:dyDescent="0.3">
      <c r="N411" s="11">
        <v>93</v>
      </c>
      <c r="O411" s="52">
        <f t="shared" si="359"/>
        <v>85113.803820237721</v>
      </c>
      <c r="P411" s="50" t="str">
        <f t="shared" si="360"/>
        <v>21.1560044893378</v>
      </c>
      <c r="Q411" s="18" t="str">
        <f t="shared" si="361"/>
        <v>1+372.729498085883i</v>
      </c>
      <c r="R411" s="18">
        <f t="shared" si="372"/>
        <v>372.73083953887453</v>
      </c>
      <c r="S411" s="18">
        <f t="shared" si="373"/>
        <v>1.5681134224210573</v>
      </c>
      <c r="T411" s="18" t="str">
        <f t="shared" si="362"/>
        <v>1+0.534785801601483i</v>
      </c>
      <c r="U411" s="18">
        <f t="shared" si="374"/>
        <v>1.1340175719954875</v>
      </c>
      <c r="V411" s="18">
        <f t="shared" si="375"/>
        <v>0.49108745858397057</v>
      </c>
      <c r="W411" s="32" t="str">
        <f t="shared" si="363"/>
        <v>1-0.240178948766583i</v>
      </c>
      <c r="X411" s="18">
        <f t="shared" si="376"/>
        <v>1.0284385870972661</v>
      </c>
      <c r="Y411" s="18">
        <f t="shared" si="377"/>
        <v>-0.23571417653998536</v>
      </c>
      <c r="Z411" s="32" t="str">
        <f t="shared" si="364"/>
        <v>0.99275564039925+0.131084525543274i</v>
      </c>
      <c r="AA411" s="18">
        <f t="shared" si="378"/>
        <v>1.0013725152916022</v>
      </c>
      <c r="AB411" s="18">
        <f t="shared" si="379"/>
        <v>0.13128163539753732</v>
      </c>
      <c r="AC411" s="68" t="str">
        <f t="shared" si="380"/>
        <v>0.00835812661016148-0.0655754788114231i</v>
      </c>
      <c r="AD411" s="66">
        <f t="shared" si="381"/>
        <v>-23.595183939053133</v>
      </c>
      <c r="AE411" s="63">
        <f t="shared" si="382"/>
        <v>-82.736353276871625</v>
      </c>
      <c r="AF411" s="51" t="e">
        <f t="shared" si="383"/>
        <v>#NUM!</v>
      </c>
      <c r="AG411" s="51" t="str">
        <f t="shared" si="365"/>
        <v>1-229.193914972065i</v>
      </c>
      <c r="AH411" s="51">
        <f t="shared" si="384"/>
        <v>229.19609652047339</v>
      </c>
      <c r="AI411" s="51">
        <f t="shared" si="385"/>
        <v>-1.5664332368996172</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-0.000133283554228113</v>
      </c>
      <c r="AT411" s="32" t="str">
        <f t="shared" si="369"/>
        <v>0.0326754124778506i</v>
      </c>
      <c r="AU411" s="32">
        <f t="shared" si="393"/>
        <v>3.26754124778506E-2</v>
      </c>
      <c r="AV411" s="32">
        <f t="shared" si="394"/>
        <v>1.5707963267948966</v>
      </c>
      <c r="AW411" s="32" t="str">
        <f t="shared" si="370"/>
        <v>1+5.71305369955985i</v>
      </c>
      <c r="AX411" s="32">
        <f t="shared" si="395"/>
        <v>5.7999122902035767</v>
      </c>
      <c r="AY411" s="32">
        <f t="shared" si="396"/>
        <v>1.3975140433910005</v>
      </c>
      <c r="AZ411" s="32" t="str">
        <f t="shared" si="371"/>
        <v>1+85.1384344007576i</v>
      </c>
      <c r="BA411" s="32">
        <f t="shared" si="397"/>
        <v>85.144306986504418</v>
      </c>
      <c r="BB411" s="32">
        <f t="shared" si="398"/>
        <v>1.5590512903180735</v>
      </c>
      <c r="BC411" s="60" t="str">
        <f t="shared" si="399"/>
        <v>-0.00963101235677749+0.0591015075075765i</v>
      </c>
      <c r="BD411" s="51">
        <f t="shared" si="400"/>
        <v>-24.454206483140936</v>
      </c>
      <c r="BE411" s="63">
        <f t="shared" si="401"/>
        <v>99.255402483083927</v>
      </c>
      <c r="BF411" s="60" t="str">
        <f t="shared" si="402"/>
        <v>0.00379511243262427+0.00112553612933415i</v>
      </c>
      <c r="BG411" s="66">
        <f t="shared" si="403"/>
        <v>-48.049390422194065</v>
      </c>
      <c r="BH411" s="63">
        <f t="shared" si="404"/>
        <v>16.519049206212312</v>
      </c>
      <c r="BI411" s="60" t="e">
        <f t="shared" si="357"/>
        <v>#NUM!</v>
      </c>
      <c r="BJ411" s="66" t="e">
        <f t="shared" si="405"/>
        <v>#NUM!</v>
      </c>
      <c r="BK411" s="63" t="e">
        <f t="shared" si="358"/>
        <v>#NUM!</v>
      </c>
      <c r="BL411" s="51">
        <f t="shared" si="406"/>
        <v>-48.049390422194065</v>
      </c>
      <c r="BM411" s="63">
        <f t="shared" si="407"/>
        <v>16.519049206212312</v>
      </c>
    </row>
    <row r="412" spans="14:65" x14ac:dyDescent="0.3">
      <c r="N412" s="11">
        <v>94</v>
      </c>
      <c r="O412" s="52">
        <f t="shared" si="359"/>
        <v>87096.358995608127</v>
      </c>
      <c r="P412" s="50" t="str">
        <f t="shared" si="360"/>
        <v>21.1560044893378</v>
      </c>
      <c r="Q412" s="18" t="str">
        <f t="shared" si="361"/>
        <v>1+381.411483407607i</v>
      </c>
      <c r="R412" s="18">
        <f t="shared" si="372"/>
        <v>381.41279432550675</v>
      </c>
      <c r="S412" s="18">
        <f t="shared" si="373"/>
        <v>1.5681744924973908</v>
      </c>
      <c r="T412" s="18" t="str">
        <f t="shared" si="362"/>
        <v>1+0.547242563150044i</v>
      </c>
      <c r="U412" s="18">
        <f t="shared" si="374"/>
        <v>1.1399449210040939</v>
      </c>
      <c r="V412" s="18">
        <f t="shared" si="375"/>
        <v>0.50072371217001976</v>
      </c>
      <c r="W412" s="32" t="str">
        <f t="shared" si="363"/>
        <v>1-0.245773435166203i</v>
      </c>
      <c r="X412" s="18">
        <f t="shared" si="376"/>
        <v>1.0297594774671393</v>
      </c>
      <c r="Y412" s="18">
        <f t="shared" si="377"/>
        <v>-0.24099678085229259</v>
      </c>
      <c r="Z412" s="32" t="str">
        <f t="shared" si="364"/>
        <v>0.992414224249708+0.13413787638488i</v>
      </c>
      <c r="AA412" s="18">
        <f t="shared" si="378"/>
        <v>1.0014384466227542</v>
      </c>
      <c r="AB412" s="18">
        <f t="shared" si="379"/>
        <v>0.13434899757104046</v>
      </c>
      <c r="AC412" s="68" t="str">
        <f t="shared" si="380"/>
        <v>0.00829958588751433-0.0644861298334869i</v>
      </c>
      <c r="AD412" s="66">
        <f t="shared" si="381"/>
        <v>-23.73932403168395</v>
      </c>
      <c r="AE412" s="63">
        <f t="shared" si="382"/>
        <v>-82.66615351241424</v>
      </c>
      <c r="AF412" s="51" t="e">
        <f t="shared" si="383"/>
        <v>#NUM!</v>
      </c>
      <c r="AG412" s="51" t="str">
        <f t="shared" si="365"/>
        <v>1-234.532527064305i</v>
      </c>
      <c r="AH412" s="51">
        <f t="shared" si="384"/>
        <v>234.53465895506565</v>
      </c>
      <c r="AI412" s="51">
        <f t="shared" si="385"/>
        <v>-1.5665325517331434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-0.000133283554228113</v>
      </c>
      <c r="AT412" s="32" t="str">
        <f t="shared" si="369"/>
        <v>0.0334365206084677i</v>
      </c>
      <c r="AU412" s="32">
        <f t="shared" si="393"/>
        <v>3.3436520608467697E-2</v>
      </c>
      <c r="AV412" s="32">
        <f t="shared" si="394"/>
        <v>1.5707963267948966</v>
      </c>
      <c r="AW412" s="32" t="str">
        <f t="shared" si="370"/>
        <v>1+5.84612781528323i</v>
      </c>
      <c r="AX412" s="32">
        <f t="shared" si="395"/>
        <v>5.9310378883150197</v>
      </c>
      <c r="AY412" s="32">
        <f t="shared" si="396"/>
        <v>1.4013825429160158</v>
      </c>
      <c r="AZ412" s="32" t="str">
        <f t="shared" si="371"/>
        <v>1+87.1215632960501i</v>
      </c>
      <c r="BA412" s="32">
        <f t="shared" si="397"/>
        <v>87.127302214332701</v>
      </c>
      <c r="BB412" s="32">
        <f t="shared" si="398"/>
        <v>1.5593186162354209</v>
      </c>
      <c r="BC412" s="60" t="str">
        <f t="shared" si="399"/>
        <v>-0.00920986777677054+0.0578282311604491i</v>
      </c>
      <c r="BD412" s="51">
        <f t="shared" si="400"/>
        <v>-24.648418894128611</v>
      </c>
      <c r="BE412" s="63">
        <f t="shared" si="401"/>
        <v>99.049070434070643</v>
      </c>
      <c r="BF412" s="60" t="str">
        <f t="shared" si="402"/>
        <v>0.00365268073402766+0.00107385910044125i</v>
      </c>
      <c r="BG412" s="66">
        <f t="shared" si="403"/>
        <v>-48.387742925812553</v>
      </c>
      <c r="BH412" s="63">
        <f t="shared" si="404"/>
        <v>16.382916921656353</v>
      </c>
      <c r="BI412" s="60" t="e">
        <f t="shared" si="357"/>
        <v>#NUM!</v>
      </c>
      <c r="BJ412" s="66" t="e">
        <f t="shared" si="405"/>
        <v>#NUM!</v>
      </c>
      <c r="BK412" s="63" t="e">
        <f t="shared" si="358"/>
        <v>#NUM!</v>
      </c>
      <c r="BL412" s="51">
        <f t="shared" si="406"/>
        <v>-48.387742925812553</v>
      </c>
      <c r="BM412" s="63">
        <f t="shared" si="407"/>
        <v>16.382916921656353</v>
      </c>
    </row>
    <row r="413" spans="14:65" x14ac:dyDescent="0.3">
      <c r="N413" s="11">
        <v>95</v>
      </c>
      <c r="O413" s="52">
        <f t="shared" si="359"/>
        <v>89125.093813374609</v>
      </c>
      <c r="P413" s="50" t="str">
        <f t="shared" si="360"/>
        <v>21.1560044893378</v>
      </c>
      <c r="Q413" s="18" t="str">
        <f t="shared" si="361"/>
        <v>1+390.295698146411i</v>
      </c>
      <c r="R413" s="18">
        <f t="shared" si="372"/>
        <v>390.29697922427528</v>
      </c>
      <c r="S413" s="18">
        <f t="shared" si="373"/>
        <v>1.568234172467968</v>
      </c>
      <c r="T413" s="18" t="str">
        <f t="shared" si="362"/>
        <v>1+0.559989479949198i</v>
      </c>
      <c r="U413" s="18">
        <f t="shared" si="374"/>
        <v>1.1461187624560438</v>
      </c>
      <c r="V413" s="18">
        <f t="shared" si="375"/>
        <v>0.51048031331599752</v>
      </c>
      <c r="W413" s="32" t="str">
        <f t="shared" si="363"/>
        <v>1-0.251498233894344i</v>
      </c>
      <c r="X413" s="18">
        <f t="shared" si="376"/>
        <v>1.0311408059290321</v>
      </c>
      <c r="Y413" s="18">
        <f t="shared" si="377"/>
        <v>-0.24638826775995712</v>
      </c>
      <c r="Z413" s="32" t="str">
        <f t="shared" si="364"/>
        <v>0.992056717652757+0.137262348904069i</v>
      </c>
      <c r="AA413" s="18">
        <f t="shared" si="378"/>
        <v>1.0015076052964473</v>
      </c>
      <c r="AB413" s="18">
        <f t="shared" si="379"/>
        <v>0.13748847302456141</v>
      </c>
      <c r="AC413" s="68" t="str">
        <f t="shared" si="380"/>
        <v>0.00823892998391-0.0634306041894774i</v>
      </c>
      <c r="AD413" s="66">
        <f t="shared" si="381"/>
        <v>-23.881363902751104</v>
      </c>
      <c r="AE413" s="63">
        <f t="shared" si="382"/>
        <v>-82.599348993273665</v>
      </c>
      <c r="AF413" s="51" t="e">
        <f t="shared" si="383"/>
        <v>#NUM!</v>
      </c>
      <c r="AG413" s="51" t="str">
        <f t="shared" si="365"/>
        <v>1-239.995491406799i</v>
      </c>
      <c r="AH413" s="51">
        <f t="shared" si="384"/>
        <v>239.99757477022752</v>
      </c>
      <c r="AI413" s="51">
        <f t="shared" si="385"/>
        <v>-1.566629605966334</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-0.000133283554228113</v>
      </c>
      <c r="AT413" s="32" t="str">
        <f t="shared" si="369"/>
        <v>0.034215357224896i</v>
      </c>
      <c r="AU413" s="32">
        <f t="shared" si="393"/>
        <v>3.4215357224895999E-2</v>
      </c>
      <c r="AV413" s="32">
        <f t="shared" si="394"/>
        <v>1.5707963267948966</v>
      </c>
      <c r="AW413" s="32" t="str">
        <f t="shared" si="370"/>
        <v>1+5.98230162535693i</v>
      </c>
      <c r="AX413" s="32">
        <f t="shared" si="395"/>
        <v>6.0653056589712095</v>
      </c>
      <c r="AY413" s="32">
        <f t="shared" si="396"/>
        <v>1.4051679381928275</v>
      </c>
      <c r="AZ413" s="32" t="str">
        <f t="shared" si="371"/>
        <v>1+89.1508851973922i</v>
      </c>
      <c r="BA413" s="32">
        <f t="shared" si="397"/>
        <v>89.156493490259038</v>
      </c>
      <c r="BB413" s="32">
        <f t="shared" si="398"/>
        <v>1.5595798586572176</v>
      </c>
      <c r="BC413" s="60" t="str">
        <f t="shared" si="399"/>
        <v>-0.00880662306192904+0.0565793061947754i</v>
      </c>
      <c r="BD413" s="51">
        <f t="shared" si="400"/>
        <v>-24.842884513101037</v>
      </c>
      <c r="BE413" s="63">
        <f t="shared" si="401"/>
        <v>98.847151349119301</v>
      </c>
      <c r="BF413" s="60" t="str">
        <f t="shared" si="402"/>
        <v>0.00351630242575412+0.0010247623639641i</v>
      </c>
      <c r="BG413" s="66">
        <f t="shared" si="403"/>
        <v>-48.724248415852152</v>
      </c>
      <c r="BH413" s="63">
        <f t="shared" si="404"/>
        <v>16.2478023558456</v>
      </c>
      <c r="BI413" s="60" t="e">
        <f t="shared" si="357"/>
        <v>#NUM!</v>
      </c>
      <c r="BJ413" s="66" t="e">
        <f t="shared" si="405"/>
        <v>#NUM!</v>
      </c>
      <c r="BK413" s="63" t="e">
        <f t="shared" si="358"/>
        <v>#NUM!</v>
      </c>
      <c r="BL413" s="51">
        <f t="shared" si="406"/>
        <v>-48.724248415852152</v>
      </c>
      <c r="BM413" s="63">
        <f t="shared" si="407"/>
        <v>16.2478023558456</v>
      </c>
    </row>
    <row r="414" spans="14:65" x14ac:dyDescent="0.3">
      <c r="N414" s="11">
        <v>96</v>
      </c>
      <c r="O414" s="52">
        <f t="shared" si="359"/>
        <v>91201.083935591028</v>
      </c>
      <c r="P414" s="50" t="str">
        <f t="shared" si="360"/>
        <v>21.1560044893378</v>
      </c>
      <c r="Q414" s="18" t="str">
        <f t="shared" si="361"/>
        <v>1+399.386852830547i</v>
      </c>
      <c r="R414" s="18">
        <f t="shared" si="372"/>
        <v>399.38810474761141</v>
      </c>
      <c r="S414" s="18">
        <f t="shared" si="373"/>
        <v>1.5682924939741976</v>
      </c>
      <c r="T414" s="18" t="str">
        <f t="shared" si="362"/>
        <v>1+0.573033310582958i</v>
      </c>
      <c r="U414" s="18">
        <f t="shared" si="374"/>
        <v>1.1525481226559111</v>
      </c>
      <c r="V414" s="18">
        <f t="shared" si="375"/>
        <v>0.5203550044244446</v>
      </c>
      <c r="W414" s="32" t="str">
        <f t="shared" si="363"/>
        <v>1-0.257356380315068i</v>
      </c>
      <c r="X414" s="18">
        <f t="shared" si="376"/>
        <v>1.0325852538598805</v>
      </c>
      <c r="Y414" s="18">
        <f t="shared" si="377"/>
        <v>-0.25189024159919138</v>
      </c>
      <c r="Z414" s="32" t="str">
        <f t="shared" si="364"/>
        <v>0.991682362288973+0.14045959973753i</v>
      </c>
      <c r="AA414" s="18">
        <f t="shared" si="378"/>
        <v>1.001580154971865</v>
      </c>
      <c r="AB414" s="18">
        <f t="shared" si="379"/>
        <v>0.14070178803401484</v>
      </c>
      <c r="AC414" s="68" t="str">
        <f t="shared" si="380"/>
        <v>0.0081760320576539-0.0624083159579238i</v>
      </c>
      <c r="AD414" s="66">
        <f t="shared" si="381"/>
        <v>-24.02124399902775</v>
      </c>
      <c r="AE414" s="63">
        <f t="shared" si="382"/>
        <v>-82.536261713193298</v>
      </c>
      <c r="AF414" s="51" t="e">
        <f t="shared" si="383"/>
        <v>#NUM!</v>
      </c>
      <c r="AG414" s="51" t="str">
        <f t="shared" si="365"/>
        <v>1-245.585704535554i</v>
      </c>
      <c r="AH414" s="51">
        <f t="shared" si="384"/>
        <v>245.58774047623876</v>
      </c>
      <c r="AI414" s="51">
        <f t="shared" si="385"/>
        <v>-1.5667244510513103</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-0.000133283554228113</v>
      </c>
      <c r="AT414" s="32" t="str">
        <f t="shared" si="369"/>
        <v>0.0350123352766187i</v>
      </c>
      <c r="AU414" s="32">
        <f t="shared" si="393"/>
        <v>3.5012335276618699E-2</v>
      </c>
      <c r="AV414" s="32">
        <f t="shared" si="394"/>
        <v>1.5707963267948966</v>
      </c>
      <c r="AW414" s="32" t="str">
        <f t="shared" si="370"/>
        <v>1+6.12164733093751i</v>
      </c>
      <c r="AX414" s="32">
        <f t="shared" si="395"/>
        <v>6.2027869578419619</v>
      </c>
      <c r="AY414" s="32">
        <f t="shared" si="396"/>
        <v>1.4088718021359219</v>
      </c>
      <c r="AZ414" s="32" t="str">
        <f t="shared" si="371"/>
        <v>1+91.2274760781174i</v>
      </c>
      <c r="BA414" s="32">
        <f t="shared" si="397"/>
        <v>91.232956718411145</v>
      </c>
      <c r="BB414" s="32">
        <f t="shared" si="398"/>
        <v>1.5598351559549379</v>
      </c>
      <c r="BC414" s="60" t="str">
        <f t="shared" si="399"/>
        <v>-0.00842056168915546+0.0553544688977452i</v>
      </c>
      <c r="BD414" s="51">
        <f t="shared" si="400"/>
        <v>-25.037592567043106</v>
      </c>
      <c r="BE414" s="63">
        <f t="shared" si="401"/>
        <v>98.649563034969788</v>
      </c>
      <c r="BF414" s="60" t="str">
        <f t="shared" si="402"/>
        <v>0.00338573240233956+0.000978092986682373i</v>
      </c>
      <c r="BG414" s="66">
        <f t="shared" si="403"/>
        <v>-49.058836566070866</v>
      </c>
      <c r="BH414" s="63">
        <f t="shared" si="404"/>
        <v>16.113301321776493</v>
      </c>
      <c r="BI414" s="60" t="e">
        <f t="shared" si="357"/>
        <v>#NUM!</v>
      </c>
      <c r="BJ414" s="66" t="e">
        <f t="shared" si="405"/>
        <v>#NUM!</v>
      </c>
      <c r="BK414" s="63" t="e">
        <f t="shared" si="358"/>
        <v>#NUM!</v>
      </c>
      <c r="BL414" s="51">
        <f t="shared" si="406"/>
        <v>-49.058836566070866</v>
      </c>
      <c r="BM414" s="63">
        <f t="shared" si="407"/>
        <v>16.113301321776493</v>
      </c>
    </row>
    <row r="415" spans="14:65" x14ac:dyDescent="0.3">
      <c r="N415" s="11">
        <v>97</v>
      </c>
      <c r="O415" s="52">
        <f t="shared" si="359"/>
        <v>93325.430079699145</v>
      </c>
      <c r="P415" s="50" t="str">
        <f t="shared" si="360"/>
        <v>21.1560044893378</v>
      </c>
      <c r="Q415" s="18" t="str">
        <f t="shared" si="361"/>
        <v>1+408.689767710564i</v>
      </c>
      <c r="R415" s="18">
        <f t="shared" si="372"/>
        <v>408.69099113060321</v>
      </c>
      <c r="S415" s="18">
        <f t="shared" si="373"/>
        <v>1.5683494879373259</v>
      </c>
      <c r="T415" s="18" t="str">
        <f t="shared" si="362"/>
        <v>1+0.586380971062982i</v>
      </c>
      <c r="U415" s="18">
        <f t="shared" si="374"/>
        <v>1.1592422711516199</v>
      </c>
      <c r="V415" s="18">
        <f t="shared" si="375"/>
        <v>0.53034531750741232</v>
      </c>
      <c r="W415" s="32" t="str">
        <f t="shared" si="363"/>
        <v>1-0.26335098049515i</v>
      </c>
      <c r="X415" s="18">
        <f t="shared" si="376"/>
        <v>1.034095614016304</v>
      </c>
      <c r="Y415" s="18">
        <f t="shared" si="377"/>
        <v>-0.25750428659217611</v>
      </c>
      <c r="Z415" s="32" t="str">
        <f t="shared" si="364"/>
        <v>0.991290364100439+0.143731324109974i</v>
      </c>
      <c r="AA415" s="18">
        <f t="shared" si="378"/>
        <v>1.0016562681323307</v>
      </c>
      <c r="AB415" s="18">
        <f t="shared" si="379"/>
        <v>0.14399071228761057</v>
      </c>
      <c r="AC415" s="68" t="str">
        <f t="shared" si="380"/>
        <v>0.00811076069409385-0.06141869492704i</v>
      </c>
      <c r="AD415" s="66">
        <f t="shared" si="381"/>
        <v>-24.158904438939715</v>
      </c>
      <c r="AE415" s="63">
        <f t="shared" si="382"/>
        <v>-82.477227014033758</v>
      </c>
      <c r="AF415" s="51" t="e">
        <f t="shared" si="383"/>
        <v>#NUM!</v>
      </c>
      <c r="AG415" s="51" t="str">
        <f t="shared" si="365"/>
        <v>1-251.306130455564i</v>
      </c>
      <c r="AH415" s="51">
        <f t="shared" si="384"/>
        <v>251.30812005295203</v>
      </c>
      <c r="AI415" s="51">
        <f t="shared" si="385"/>
        <v>-1.5668171372693622</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-0.000133283554228113</v>
      </c>
      <c r="AT415" s="32" t="str">
        <f t="shared" si="369"/>
        <v>0.0358278773319482i</v>
      </c>
      <c r="AU415" s="32">
        <f t="shared" si="393"/>
        <v>3.5827877331948199E-2</v>
      </c>
      <c r="AV415" s="32">
        <f t="shared" si="394"/>
        <v>1.5707963267948966</v>
      </c>
      <c r="AW415" s="32" t="str">
        <f t="shared" si="370"/>
        <v>1+6.26423881496254i</v>
      </c>
      <c r="AX415" s="32">
        <f t="shared" si="395"/>
        <v>6.3435548339147569</v>
      </c>
      <c r="AY415" s="32">
        <f t="shared" si="396"/>
        <v>1.4124956918824996</v>
      </c>
      <c r="AZ415" s="32" t="str">
        <f t="shared" si="371"/>
        <v>1+93.3524369741977i</v>
      </c>
      <c r="BA415" s="32">
        <f t="shared" si="397"/>
        <v>93.357792867127884</v>
      </c>
      <c r="BB415" s="32">
        <f t="shared" si="398"/>
        <v>1.5600846433573969</v>
      </c>
      <c r="BC415" s="60" t="str">
        <f t="shared" si="399"/>
        <v>-0.00805099200581757+0.0541534440954599i</v>
      </c>
      <c r="BD415" s="51">
        <f t="shared" si="400"/>
        <v>-25.232532715109475</v>
      </c>
      <c r="BE415" s="63">
        <f t="shared" si="401"/>
        <v>98.456224022272735</v>
      </c>
      <c r="BF415" s="60" t="str">
        <f t="shared" si="402"/>
        <v>0.00326073419263832+0.000933707047684612i</v>
      </c>
      <c r="BG415" s="66">
        <f t="shared" si="403"/>
        <v>-49.391437154049179</v>
      </c>
      <c r="BH415" s="63">
        <f t="shared" si="404"/>
        <v>15.978997008238965</v>
      </c>
      <c r="BI415" s="60" t="e">
        <f t="shared" si="357"/>
        <v>#NUM!</v>
      </c>
      <c r="BJ415" s="66" t="e">
        <f t="shared" si="405"/>
        <v>#NUM!</v>
      </c>
      <c r="BK415" s="63" t="e">
        <f t="shared" si="358"/>
        <v>#NUM!</v>
      </c>
      <c r="BL415" s="51">
        <f t="shared" si="406"/>
        <v>-49.391437154049179</v>
      </c>
      <c r="BM415" s="63">
        <f t="shared" si="407"/>
        <v>15.978997008238965</v>
      </c>
    </row>
    <row r="416" spans="14:65" x14ac:dyDescent="0.3">
      <c r="N416" s="11">
        <v>98</v>
      </c>
      <c r="O416" s="52">
        <f t="shared" si="359"/>
        <v>95499.258602143804</v>
      </c>
      <c r="P416" s="50" t="str">
        <f t="shared" si="360"/>
        <v>21.1560044893378</v>
      </c>
      <c r="Q416" s="18" t="str">
        <f t="shared" si="361"/>
        <v>1+418.20937531507i</v>
      </c>
      <c r="R416" s="18">
        <f t="shared" si="372"/>
        <v>418.21057088674968</v>
      </c>
      <c r="S416" s="18">
        <f t="shared" si="373"/>
        <v>1.5684051845748253</v>
      </c>
      <c r="T416" s="18" t="str">
        <f t="shared" si="362"/>
        <v>1+0.600039538495534i</v>
      </c>
      <c r="U416" s="18">
        <f t="shared" si="374"/>
        <v>1.1662107218500151</v>
      </c>
      <c r="V416" s="18">
        <f t="shared" si="375"/>
        <v>0.5404485721866481</v>
      </c>
      <c r="W416" s="32" t="str">
        <f t="shared" si="363"/>
        <v>1-0.269485212850953i</v>
      </c>
      <c r="X416" s="18">
        <f t="shared" si="376"/>
        <v>1.0356747944916509</v>
      </c>
      <c r="Y416" s="18">
        <f t="shared" si="377"/>
        <v>-0.26323196326453613</v>
      </c>
      <c r="Z416" s="32" t="str">
        <f t="shared" si="364"/>
        <v>0.990879891606441+0.147079256732971i</v>
      </c>
      <c r="AA416" s="18">
        <f t="shared" si="378"/>
        <v>1.0017361266077585</v>
      </c>
      <c r="AB416" s="18">
        <f t="shared" si="379"/>
        <v>0.14735706011062621</v>
      </c>
      <c r="AC416" s="68" t="str">
        <f t="shared" si="380"/>
        <v>0.00804297964559129-0.0604611861542935i</v>
      </c>
      <c r="AD416" s="66">
        <f t="shared" si="381"/>
        <v>-24.294285105415344</v>
      </c>
      <c r="AE416" s="63">
        <f t="shared" si="382"/>
        <v>-82.422593566203119</v>
      </c>
      <c r="AF416" s="51" t="e">
        <f t="shared" si="383"/>
        <v>#NUM!</v>
      </c>
      <c r="AG416" s="51" t="str">
        <f t="shared" si="365"/>
        <v>1-257.159802212372i</v>
      </c>
      <c r="AH416" s="51">
        <f t="shared" si="384"/>
        <v>257.16174652134077</v>
      </c>
      <c r="AI416" s="51">
        <f t="shared" si="385"/>
        <v>-1.566907713757576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-0.000133283554228113</v>
      </c>
      <c r="AT416" s="32" t="str">
        <f t="shared" si="369"/>
        <v>0.0366624158020771i</v>
      </c>
      <c r="AU416" s="32">
        <f t="shared" si="393"/>
        <v>3.6662415802077103E-2</v>
      </c>
      <c r="AV416" s="32">
        <f t="shared" si="394"/>
        <v>1.5707963267948966</v>
      </c>
      <c r="AW416" s="32" t="str">
        <f t="shared" si="370"/>
        <v>1+6.41015168132427i</v>
      </c>
      <c r="AX416" s="32">
        <f t="shared" si="395"/>
        <v>6.4876840688788446</v>
      </c>
      <c r="AY416" s="32">
        <f t="shared" si="396"/>
        <v>1.4160411479450781</v>
      </c>
      <c r="AZ416" s="32" t="str">
        <f t="shared" si="371"/>
        <v>1+95.5268945680274i</v>
      </c>
      <c r="BA416" s="32">
        <f t="shared" si="397"/>
        <v>95.532128552707462</v>
      </c>
      <c r="BB416" s="32">
        <f t="shared" si="398"/>
        <v>1.5603284530218136</v>
      </c>
      <c r="BC416" s="60" t="str">
        <f t="shared" si="399"/>
        <v>-0.00769724670267226+0.0529759463819232i</v>
      </c>
      <c r="BD416" s="51">
        <f t="shared" si="400"/>
        <v>-25.427695033543433</v>
      </c>
      <c r="BE416" s="63">
        <f t="shared" si="401"/>
        <v>98.267053618213438</v>
      </c>
      <c r="BF416" s="60" t="str">
        <f t="shared" si="402"/>
        <v>0.00314107975734064+0.000891469124221533i</v>
      </c>
      <c r="BG416" s="66">
        <f t="shared" si="403"/>
        <v>-49.721980138958784</v>
      </c>
      <c r="BH416" s="63">
        <f t="shared" si="404"/>
        <v>15.844460052010332</v>
      </c>
      <c r="BI416" s="60" t="e">
        <f t="shared" si="357"/>
        <v>#NUM!</v>
      </c>
      <c r="BJ416" s="66" t="e">
        <f t="shared" si="405"/>
        <v>#NUM!</v>
      </c>
      <c r="BK416" s="63" t="e">
        <f t="shared" si="358"/>
        <v>#NUM!</v>
      </c>
      <c r="BL416" s="51">
        <f t="shared" si="406"/>
        <v>-49.721980138958784</v>
      </c>
      <c r="BM416" s="63">
        <f t="shared" si="407"/>
        <v>15.844460052010332</v>
      </c>
    </row>
    <row r="417" spans="14:65" x14ac:dyDescent="0.3">
      <c r="N417" s="11">
        <v>99</v>
      </c>
      <c r="O417" s="52">
        <f t="shared" si="359"/>
        <v>97723.722095581266</v>
      </c>
      <c r="P417" s="50" t="str">
        <f t="shared" si="360"/>
        <v>21.1560044893378</v>
      </c>
      <c r="Q417" s="18" t="str">
        <f t="shared" si="361"/>
        <v>1+427.950723066022i</v>
      </c>
      <c r="R417" s="18">
        <f t="shared" si="372"/>
        <v>427.95189142324296</v>
      </c>
      <c r="S417" s="18">
        <f t="shared" si="373"/>
        <v>1.5684596134164066</v>
      </c>
      <c r="T417" s="18" t="str">
        <f t="shared" si="362"/>
        <v>1+0.614016254833857i</v>
      </c>
      <c r="U417" s="18">
        <f t="shared" si="374"/>
        <v>1.1734632338510635</v>
      </c>
      <c r="V417" s="18">
        <f t="shared" si="375"/>
        <v>0.55066187443512959</v>
      </c>
      <c r="W417" s="32" t="str">
        <f t="shared" si="363"/>
        <v>1-0.275762329833667i</v>
      </c>
      <c r="X417" s="18">
        <f t="shared" si="376"/>
        <v>1.03732582275546</v>
      </c>
      <c r="Y417" s="18">
        <f t="shared" si="377"/>
        <v>-0.26907480465929079</v>
      </c>
      <c r="Z417" s="32" t="str">
        <f t="shared" si="364"/>
        <v>0.990450074139786+0.150505172724711i</v>
      </c>
      <c r="AA417" s="18">
        <f t="shared" si="378"/>
        <v>1.0018199221319182</v>
      </c>
      <c r="AB417" s="18">
        <f t="shared" si="379"/>
        <v>0.15080269173208136</v>
      </c>
      <c r="AC417" s="68" t="str">
        <f t="shared" si="380"/>
        <v>0.0079725475632048-0.0595352495238791i</v>
      </c>
      <c r="AD417" s="66">
        <f t="shared" si="381"/>
        <v>-24.427325743131441</v>
      </c>
      <c r="AE417" s="63">
        <f t="shared" si="382"/>
        <v>-82.372723297330012</v>
      </c>
      <c r="AF417" s="51" t="e">
        <f t="shared" si="383"/>
        <v>#NUM!</v>
      </c>
      <c r="AG417" s="51" t="str">
        <f t="shared" si="365"/>
        <v>1-263.149823500225i</v>
      </c>
      <c r="AH417" s="51">
        <f t="shared" si="384"/>
        <v>263.15172355164151</v>
      </c>
      <c r="AI417" s="51">
        <f t="shared" si="385"/>
        <v>-1.5669962285348564</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-0.000133283554228113</v>
      </c>
      <c r="AT417" s="32" t="str">
        <f t="shared" si="369"/>
        <v>0.0375163931703487i</v>
      </c>
      <c r="AU417" s="32">
        <f t="shared" si="393"/>
        <v>3.7516393170348702E-2</v>
      </c>
      <c r="AV417" s="32">
        <f t="shared" si="394"/>
        <v>1.5707963267948966</v>
      </c>
      <c r="AW417" s="32" t="str">
        <f t="shared" si="370"/>
        <v>1+6.55946329495581i</v>
      </c>
      <c r="AX417" s="32">
        <f t="shared" si="395"/>
        <v>6.6352512173897775</v>
      </c>
      <c r="AY417" s="32">
        <f t="shared" si="396"/>
        <v>1.4195096934505884</v>
      </c>
      <c r="AZ417" s="32" t="str">
        <f t="shared" si="371"/>
        <v>1+97.7520017858048i</v>
      </c>
      <c r="BA417" s="32">
        <f t="shared" si="397"/>
        <v>97.757116636754304</v>
      </c>
      <c r="BB417" s="32">
        <f t="shared" si="398"/>
        <v>1.5605667141032897</v>
      </c>
      <c r="BC417" s="60" t="str">
        <f t="shared" si="399"/>
        <v>-0.00735868226531686+0.0518216812751407i</v>
      </c>
      <c r="BD417" s="51">
        <f t="shared" si="400"/>
        <v>-25.623070000922773</v>
      </c>
      <c r="BE417" s="63">
        <f t="shared" si="401"/>
        <v>98.081971954089468</v>
      </c>
      <c r="BF417" s="60" t="str">
        <f t="shared" si="402"/>
        <v>0.00302654928109968+0.000851251803603882i</v>
      </c>
      <c r="BG417" s="66">
        <f t="shared" si="403"/>
        <v>-50.050395744054228</v>
      </c>
      <c r="BH417" s="63">
        <f t="shared" si="404"/>
        <v>15.709248656759492</v>
      </c>
      <c r="BI417" s="60" t="e">
        <f t="shared" si="357"/>
        <v>#NUM!</v>
      </c>
      <c r="BJ417" s="66" t="e">
        <f t="shared" si="405"/>
        <v>#NUM!</v>
      </c>
      <c r="BK417" s="63" t="e">
        <f t="shared" si="358"/>
        <v>#NUM!</v>
      </c>
      <c r="BL417" s="51">
        <f t="shared" si="406"/>
        <v>-50.050395744054228</v>
      </c>
      <c r="BM417" s="63">
        <f t="shared" si="407"/>
        <v>15.709248656759492</v>
      </c>
    </row>
    <row r="418" spans="14:65" x14ac:dyDescent="0.3">
      <c r="N418" s="11">
        <v>100</v>
      </c>
      <c r="O418" s="52">
        <f t="shared" si="359"/>
        <v>100000</v>
      </c>
      <c r="P418" s="50" t="str">
        <f t="shared" si="360"/>
        <v>21.1560044893378</v>
      </c>
      <c r="Q418" s="18" t="str">
        <f t="shared" si="361"/>
        <v>1+437.918975954942i</v>
      </c>
      <c r="R418" s="18">
        <f t="shared" si="372"/>
        <v>437.92011771717574</v>
      </c>
      <c r="S418" s="18">
        <f t="shared" si="373"/>
        <v>1.5685128033196716</v>
      </c>
      <c r="T418" s="18" t="str">
        <f t="shared" si="362"/>
        <v>1+0.628318530717959i</v>
      </c>
      <c r="U418" s="18">
        <f t="shared" si="374"/>
        <v>1.181009812001397</v>
      </c>
      <c r="V418" s="18">
        <f t="shared" si="375"/>
        <v>0.56098211610862403</v>
      </c>
      <c r="W418" s="32" t="str">
        <f t="shared" si="363"/>
        <v>1-0.282185659653805i</v>
      </c>
      <c r="X418" s="18">
        <f t="shared" si="376"/>
        <v>1.039051849771826</v>
      </c>
      <c r="Y418" s="18">
        <f t="shared" si="377"/>
        <v>-0.27503431234357545</v>
      </c>
      <c r="Z418" s="32" t="str">
        <f t="shared" si="364"/>
        <v>0.99+0.154010888551201i</v>
      </c>
      <c r="AA418" s="18">
        <f t="shared" si="378"/>
        <v>1.0019078569371189</v>
      </c>
      <c r="AB418" s="18">
        <f t="shared" si="379"/>
        <v>0.15432951459504002</v>
      </c>
      <c r="AC418" s="68" t="str">
        <f t="shared" si="380"/>
        <v>0.00789931771972885-0.0586403593011061i</v>
      </c>
      <c r="AD418" s="66">
        <f t="shared" si="381"/>
        <v>-24.557966059866501</v>
      </c>
      <c r="AE418" s="63">
        <f t="shared" si="382"/>
        <v>-82.327991266276655</v>
      </c>
      <c r="AF418" s="51" t="e">
        <f t="shared" si="383"/>
        <v>#NUM!</v>
      </c>
      <c r="AG418" s="51" t="str">
        <f t="shared" si="365"/>
        <v>1-269.279370307697i</v>
      </c>
      <c r="AH418" s="51">
        <f t="shared" si="384"/>
        <v>269.28122710896463</v>
      </c>
      <c r="AI418" s="51">
        <f t="shared" si="385"/>
        <v>-1.5670827285273585</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-0.000133283554228113</v>
      </c>
      <c r="AT418" s="32" t="str">
        <f t="shared" si="369"/>
        <v>0.0383902622268673i</v>
      </c>
      <c r="AU418" s="32">
        <f t="shared" si="393"/>
        <v>3.8390262226867297E-2</v>
      </c>
      <c r="AV418" s="32">
        <f t="shared" si="394"/>
        <v>1.5707963267948966</v>
      </c>
      <c r="AW418" s="32" t="str">
        <f t="shared" si="370"/>
        <v>1+6.7122528228511i</v>
      </c>
      <c r="AX418" s="32">
        <f t="shared" si="395"/>
        <v>6.7863346482377764</v>
      </c>
      <c r="AY418" s="32">
        <f t="shared" si="396"/>
        <v>1.4229028334608411</v>
      </c>
      <c r="AZ418" s="32" t="str">
        <f t="shared" si="371"/>
        <v>1+100.02893840883i</v>
      </c>
      <c r="BA418" s="32">
        <f t="shared" si="397"/>
        <v>100.03393683744287</v>
      </c>
      <c r="BB418" s="32">
        <f t="shared" si="398"/>
        <v>1.5607995528227374</v>
      </c>
      <c r="BC418" s="60" t="str">
        <f t="shared" si="399"/>
        <v>-0.00703467840828574+0.0506903463030901i</v>
      </c>
      <c r="BD418" s="51">
        <f t="shared" si="400"/>
        <v>-25.818648483745214</v>
      </c>
      <c r="BE418" s="63">
        <f t="shared" si="401"/>
        <v>97.90090002813659</v>
      </c>
      <c r="BF418" s="60" t="str">
        <f t="shared" si="402"/>
        <v>0.00291693096050753+0.0008129352202008i</v>
      </c>
      <c r="BG418" s="66">
        <f t="shared" si="403"/>
        <v>-50.376614543611716</v>
      </c>
      <c r="BH418" s="63">
        <f t="shared" si="404"/>
        <v>15.572908761859949</v>
      </c>
      <c r="BI418" s="60" t="e">
        <f t="shared" si="357"/>
        <v>#NUM!</v>
      </c>
      <c r="BJ418" s="66" t="e">
        <f t="shared" si="405"/>
        <v>#NUM!</v>
      </c>
      <c r="BK418" s="63" t="e">
        <f t="shared" si="358"/>
        <v>#NUM!</v>
      </c>
      <c r="BL418" s="51">
        <f t="shared" si="406"/>
        <v>-50.376614543611716</v>
      </c>
      <c r="BM418" s="63">
        <f t="shared" si="407"/>
        <v>15.572908761859949</v>
      </c>
    </row>
    <row r="419" spans="14:65" x14ac:dyDescent="0.3">
      <c r="N419" s="11">
        <v>1</v>
      </c>
      <c r="O419" s="52">
        <f>10^(5+(N419/100))</f>
        <v>102329.29922807543</v>
      </c>
      <c r="P419" s="50" t="str">
        <f t="shared" si="360"/>
        <v>21.1560044893378</v>
      </c>
      <c r="Q419" s="18" t="str">
        <f t="shared" si="361"/>
        <v>1+448.119419281456i</v>
      </c>
      <c r="R419" s="18">
        <f t="shared" si="372"/>
        <v>448.12053505407374</v>
      </c>
      <c r="S419" s="18">
        <f t="shared" si="373"/>
        <v>1.5685647824854068</v>
      </c>
      <c r="T419" s="18" t="str">
        <f t="shared" si="362"/>
        <v>1+0.642953949403827i</v>
      </c>
      <c r="U419" s="18">
        <f t="shared" si="374"/>
        <v>1.1888607071705157</v>
      </c>
      <c r="V419" s="18">
        <f t="shared" si="375"/>
        <v>0.57140597531246529</v>
      </c>
      <c r="W419" s="32" t="str">
        <f t="shared" si="363"/>
        <v>1-0.288758608045861i</v>
      </c>
      <c r="X419" s="18">
        <f t="shared" si="376"/>
        <v>1.0408561541925874</v>
      </c>
      <c r="Y419" s="18">
        <f t="shared" si="377"/>
        <v>-0.28111195220516549</v>
      </c>
      <c r="Z419" s="32" t="str">
        <f t="shared" si="364"/>
        <v>0.989528714519491+0.157598262989376i</v>
      </c>
      <c r="AA419" s="18">
        <f t="shared" si="378"/>
        <v>1.0020001443891438</v>
      </c>
      <c r="AB419" s="18">
        <f t="shared" si="379"/>
        <v>0.15793948471228628</v>
      </c>
      <c r="AC419" s="68" t="str">
        <f t="shared" si="380"/>
        <v>0.00782313772373739-0.0577760036826596i</v>
      </c>
      <c r="AD419" s="66">
        <f t="shared" si="381"/>
        <v>-24.686145831629172</v>
      </c>
      <c r="AE419" s="63">
        <f t="shared" si="382"/>
        <v>-82.288785479833322</v>
      </c>
      <c r="AF419" s="51" t="e">
        <f t="shared" si="383"/>
        <v>#NUM!</v>
      </c>
      <c r="AG419" s="51" t="str">
        <f t="shared" si="365"/>
        <v>1-275.551692601641i</v>
      </c>
      <c r="AH419" s="51">
        <f t="shared" si="384"/>
        <v>275.55350713723317</v>
      </c>
      <c r="AI419" s="51">
        <f t="shared" si="385"/>
        <v>-1.5671672595933428</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-0.000133283554228113</v>
      </c>
      <c r="AT419" s="32" t="str">
        <f t="shared" si="369"/>
        <v>0.0392844863085738i</v>
      </c>
      <c r="AU419" s="32">
        <f t="shared" si="393"/>
        <v>3.9284486308573799E-2</v>
      </c>
      <c r="AV419" s="32">
        <f t="shared" si="394"/>
        <v>1.5707963267948966</v>
      </c>
      <c r="AW419" s="32" t="str">
        <f t="shared" si="370"/>
        <v>1+6.86860127604024i</v>
      </c>
      <c r="AX419" s="32">
        <f t="shared" si="395"/>
        <v>6.9410145864435124</v>
      </c>
      <c r="AY419" s="32">
        <f t="shared" si="396"/>
        <v>1.4262220543694382</v>
      </c>
      <c r="AZ419" s="32" t="str">
        <f t="shared" si="371"/>
        <v>1+102.358911699039i</v>
      </c>
      <c r="BA419" s="32">
        <f t="shared" si="397"/>
        <v>102.36379635501831</v>
      </c>
      <c r="BB419" s="32">
        <f t="shared" si="398"/>
        <v>1.5610270925332845</v>
      </c>
      <c r="BC419" s="60" t="str">
        <f t="shared" si="399"/>
        <v>-0.00672463749554548+0.0495816320223626i</v>
      </c>
      <c r="BD419" s="51">
        <f t="shared" si="400"/>
        <v>-26.014421722363124</v>
      </c>
      <c r="BE419" s="63">
        <f t="shared" si="401"/>
        <v>97.723759743888408</v>
      </c>
      <c r="BF419" s="60" t="str">
        <f t="shared" si="402"/>
        <v>0.00281202078904643+0.000776406616585797i</v>
      </c>
      <c r="BG419" s="66">
        <f t="shared" si="403"/>
        <v>-50.7005675539923</v>
      </c>
      <c r="BH419" s="63">
        <f t="shared" si="404"/>
        <v>15.434974264055095</v>
      </c>
      <c r="BI419" s="60" t="e">
        <f t="shared" si="357"/>
        <v>#NUM!</v>
      </c>
      <c r="BJ419" s="66" t="e">
        <f t="shared" si="405"/>
        <v>#NUM!</v>
      </c>
      <c r="BK419" s="63" t="e">
        <f t="shared" si="358"/>
        <v>#NUM!</v>
      </c>
      <c r="BL419" s="51">
        <f t="shared" si="406"/>
        <v>-50.7005675539923</v>
      </c>
      <c r="BM419" s="63">
        <f t="shared" si="407"/>
        <v>15.434974264055095</v>
      </c>
    </row>
    <row r="420" spans="14:65" x14ac:dyDescent="0.3">
      <c r="N420" s="11">
        <v>2</v>
      </c>
      <c r="O420" s="52">
        <f t="shared" ref="O420:O483" si="408">10^(5+(N420/100))</f>
        <v>104712.85480508996</v>
      </c>
      <c r="P420" s="50" t="str">
        <f t="shared" si="360"/>
        <v>21.1560044893378</v>
      </c>
      <c r="Q420" s="18" t="str">
        <f t="shared" si="361"/>
        <v>1+458.557461455635i</v>
      </c>
      <c r="R420" s="18">
        <f t="shared" si="372"/>
        <v>458.55855183022834</v>
      </c>
      <c r="S420" s="18">
        <f t="shared" si="373"/>
        <v>1.5686155784725293</v>
      </c>
      <c r="T420" s="18" t="str">
        <f t="shared" si="362"/>
        <v>1+0.657930270784171i</v>
      </c>
      <c r="U420" s="18">
        <f t="shared" si="374"/>
        <v>1.1970264162557702</v>
      </c>
      <c r="V420" s="18">
        <f t="shared" si="375"/>
        <v>0.58192991764455904</v>
      </c>
      <c r="W420" s="32" t="str">
        <f t="shared" si="363"/>
        <v>1-0.295484660074074i</v>
      </c>
      <c r="X420" s="18">
        <f t="shared" si="376"/>
        <v>1.0427421466206739</v>
      </c>
      <c r="Y420" s="18">
        <f t="shared" si="377"/>
        <v>-0.28730915003670765</v>
      </c>
      <c r="Z420" s="32" t="str">
        <f t="shared" si="364"/>
        <v>0.989035218038568+0.161269198112648i</v>
      </c>
      <c r="AA420" s="18">
        <f t="shared" si="378"/>
        <v>1.0020970096654787</v>
      </c>
      <c r="AB420" s="18">
        <f t="shared" si="379"/>
        <v>0.16163460806921695</v>
      </c>
      <c r="AC420" s="68" t="str">
        <f t="shared" si="380"/>
        <v>0.00774384922428743-0.0569416843416258i</v>
      </c>
      <c r="AD420" s="66">
        <f t="shared" si="381"/>
        <v>-24.811805011191254</v>
      </c>
      <c r="AE420" s="63">
        <f t="shared" si="382"/>
        <v>-82.255506649730947</v>
      </c>
      <c r="AF420" s="51" t="e">
        <f t="shared" si="383"/>
        <v>#NUM!</v>
      </c>
      <c r="AG420" s="51" t="str">
        <f t="shared" si="365"/>
        <v>1-281.970116050359i</v>
      </c>
      <c r="AH420" s="51">
        <f t="shared" si="384"/>
        <v>281.97188928234129</v>
      </c>
      <c r="AI420" s="51">
        <f t="shared" si="385"/>
        <v>-1.5672498665474646</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-0.000133283554228113</v>
      </c>
      <c r="AT420" s="32" t="str">
        <f t="shared" si="369"/>
        <v>0.0401995395449128i</v>
      </c>
      <c r="AU420" s="32">
        <f t="shared" si="393"/>
        <v>4.0199539544912802E-2</v>
      </c>
      <c r="AV420" s="32">
        <f t="shared" si="394"/>
        <v>1.5707963267948966</v>
      </c>
      <c r="AW420" s="32" t="str">
        <f t="shared" si="370"/>
        <v>1+7.02859155254262i</v>
      </c>
      <c r="AX420" s="32">
        <f t="shared" si="395"/>
        <v>7.0993731563056661</v>
      </c>
      <c r="AY420" s="32">
        <f t="shared" si="396"/>
        <v>1.4294688233704063</v>
      </c>
      <c r="AZ420" s="32" t="str">
        <f t="shared" si="371"/>
        <v>1+104.743157039111i</v>
      </c>
      <c r="BA420" s="32">
        <f t="shared" si="397"/>
        <v>104.74793051187154</v>
      </c>
      <c r="BB420" s="32">
        <f t="shared" si="398"/>
        <v>1.561249453785198</v>
      </c>
      <c r="BC420" s="60" t="str">
        <f t="shared" si="399"/>
        <v>-0.00642798395079371+0.04849522297229i</v>
      </c>
      <c r="BD420" s="51">
        <f t="shared" si="400"/>
        <v>-26.210381317274791</v>
      </c>
      <c r="BE420" s="63">
        <f t="shared" si="401"/>
        <v>97.550473944340894</v>
      </c>
      <c r="BF420" s="60" t="str">
        <f t="shared" si="402"/>
        <v>0.00271162234003381+0.000741559927874746i</v>
      </c>
      <c r="BG420" s="66">
        <f t="shared" si="403"/>
        <v>-51.022186328466049</v>
      </c>
      <c r="BH420" s="63">
        <f t="shared" si="404"/>
        <v>15.294967294609961</v>
      </c>
      <c r="BI420" s="60" t="e">
        <f t="shared" si="357"/>
        <v>#NUM!</v>
      </c>
      <c r="BJ420" s="66" t="e">
        <f t="shared" si="405"/>
        <v>#NUM!</v>
      </c>
      <c r="BK420" s="63" t="e">
        <f t="shared" si="358"/>
        <v>#NUM!</v>
      </c>
      <c r="BL420" s="51">
        <f t="shared" si="406"/>
        <v>-51.022186328466049</v>
      </c>
      <c r="BM420" s="63">
        <f t="shared" si="407"/>
        <v>15.294967294609961</v>
      </c>
    </row>
    <row r="421" spans="14:65" x14ac:dyDescent="0.3">
      <c r="N421" s="11">
        <v>3</v>
      </c>
      <c r="O421" s="52">
        <f t="shared" si="408"/>
        <v>107151.93052376082</v>
      </c>
      <c r="P421" s="50" t="str">
        <f t="shared" si="360"/>
        <v>21.1560044893378</v>
      </c>
      <c r="Q421" s="18" t="str">
        <f t="shared" si="361"/>
        <v>1+469.238636865604i</v>
      </c>
      <c r="R421" s="18">
        <f t="shared" si="372"/>
        <v>469.23970242029839</v>
      </c>
      <c r="S421" s="18">
        <f t="shared" si="373"/>
        <v>1.5686652182126948</v>
      </c>
      <c r="T421" s="18" t="str">
        <f t="shared" si="362"/>
        <v>1+0.673255435502822i</v>
      </c>
      <c r="U421" s="18">
        <f t="shared" si="374"/>
        <v>1.2055176819251117</v>
      </c>
      <c r="V421" s="18">
        <f t="shared" si="375"/>
        <v>0.59255019835063549</v>
      </c>
      <c r="W421" s="32" t="str">
        <f t="shared" si="363"/>
        <v>1-0.302367381980262i</v>
      </c>
      <c r="X421" s="18">
        <f t="shared" si="376"/>
        <v>1.0447133739383245</v>
      </c>
      <c r="Y421" s="18">
        <f t="shared" si="377"/>
        <v>-0.29362728690653983</v>
      </c>
      <c r="Z421" s="32" t="str">
        <f t="shared" si="364"/>
        <v>0.988518463785031+0.165025640299409i</v>
      </c>
      <c r="AA421" s="18">
        <f t="shared" si="378"/>
        <v>1.0021986904801601</v>
      </c>
      <c r="AB421" s="18">
        <f t="shared" si="379"/>
        <v>0.16541694207583421</v>
      </c>
      <c r="AC421" s="68" t="str">
        <f t="shared" si="380"/>
        <v>0.00766128760594934-0.0561369159661104i</v>
      </c>
      <c r="AD421" s="66">
        <f t="shared" si="381"/>
        <v>-24.93488383961591</v>
      </c>
      <c r="AE421" s="63">
        <f t="shared" si="382"/>
        <v>-82.228567887951513</v>
      </c>
      <c r="AF421" s="51" t="e">
        <f t="shared" si="383"/>
        <v>#NUM!</v>
      </c>
      <c r="AG421" s="51" t="str">
        <f t="shared" si="365"/>
        <v>1-288.538043786924i</v>
      </c>
      <c r="AH421" s="51">
        <f t="shared" si="384"/>
        <v>288.5397766554637</v>
      </c>
      <c r="AI421" s="51">
        <f t="shared" si="385"/>
        <v>-1.5673305931845121</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-0.000133283554228113</v>
      </c>
      <c r="AT421" s="32" t="str">
        <f t="shared" si="369"/>
        <v>0.0411359071092224i</v>
      </c>
      <c r="AU421" s="32">
        <f t="shared" si="393"/>
        <v>4.1135907109222401E-2</v>
      </c>
      <c r="AV421" s="32">
        <f t="shared" si="394"/>
        <v>1.5707963267948966</v>
      </c>
      <c r="AW421" s="32" t="str">
        <f t="shared" si="370"/>
        <v>1+7.19230848132058i</v>
      </c>
      <c r="AX421" s="32">
        <f t="shared" si="395"/>
        <v>7.2614944254248348</v>
      </c>
      <c r="AY421" s="32">
        <f t="shared" si="396"/>
        <v>1.4326445879940319</v>
      </c>
      <c r="AZ421" s="32" t="str">
        <f t="shared" si="371"/>
        <v>1+107.182938587485i</v>
      </c>
      <c r="BA421" s="32">
        <f t="shared" si="397"/>
        <v>107.18760340752367</v>
      </c>
      <c r="BB421" s="32">
        <f t="shared" si="398"/>
        <v>1.5614667543893499</v>
      </c>
      <c r="BC421" s="60" t="str">
        <f t="shared" si="399"/>
        <v>-0.00614416366064493+0.0474307985673635i</v>
      </c>
      <c r="BD421" s="51">
        <f t="shared" si="400"/>
        <v>-26.40651921577799</v>
      </c>
      <c r="BE421" s="63">
        <f t="shared" si="401"/>
        <v>97.38096644218372</v>
      </c>
      <c r="BF421" s="60" t="str">
        <f t="shared" si="402"/>
        <v>0.00261554654847937+0.000708295388304075i</v>
      </c>
      <c r="BG421" s="66">
        <f t="shared" si="403"/>
        <v>-51.341403055393904</v>
      </c>
      <c r="BH421" s="63">
        <f t="shared" si="404"/>
        <v>15.152398554232219</v>
      </c>
      <c r="BI421" s="60" t="e">
        <f t="shared" si="357"/>
        <v>#NUM!</v>
      </c>
      <c r="BJ421" s="66" t="e">
        <f t="shared" si="405"/>
        <v>#NUM!</v>
      </c>
      <c r="BK421" s="63" t="e">
        <f t="shared" si="358"/>
        <v>#NUM!</v>
      </c>
      <c r="BL421" s="51">
        <f t="shared" si="406"/>
        <v>-51.341403055393904</v>
      </c>
      <c r="BM421" s="63">
        <f t="shared" si="407"/>
        <v>15.152398554232219</v>
      </c>
    </row>
    <row r="422" spans="14:65" x14ac:dyDescent="0.3">
      <c r="N422" s="11">
        <v>4</v>
      </c>
      <c r="O422" s="52">
        <f t="shared" si="408"/>
        <v>109647.81961431868</v>
      </c>
      <c r="P422" s="50" t="str">
        <f t="shared" si="360"/>
        <v>21.1560044893378</v>
      </c>
      <c r="Q422" s="18" t="str">
        <f t="shared" si="361"/>
        <v>1+480.168608811946i</v>
      </c>
      <c r="R422" s="18">
        <f t="shared" si="372"/>
        <v>480.1696501117076</v>
      </c>
      <c r="S422" s="18">
        <f t="shared" si="373"/>
        <v>1.5687137280245718</v>
      </c>
      <c r="T422" s="18" t="str">
        <f t="shared" si="362"/>
        <v>1+0.688937569164965i</v>
      </c>
      <c r="U422" s="18">
        <f t="shared" si="374"/>
        <v>1.21434549210961</v>
      </c>
      <c r="V422" s="18">
        <f t="shared" si="375"/>
        <v>0.60326286542206364</v>
      </c>
      <c r="W422" s="32" t="str">
        <f t="shared" si="363"/>
        <v>1-0.30941042307468i</v>
      </c>
      <c r="X422" s="18">
        <f t="shared" si="376"/>
        <v>1.0467735236942384</v>
      </c>
      <c r="Y422" s="18">
        <f t="shared" si="377"/>
        <v>-0.3000676943160519</v>
      </c>
      <c r="Z422" s="32" t="str">
        <f t="shared" si="364"/>
        <v>0.987977355653826+0.16886958126503i</v>
      </c>
      <c r="AA422" s="18">
        <f t="shared" si="378"/>
        <v>1.0023054378588161</v>
      </c>
      <c r="AB422" s="18">
        <f t="shared" si="379"/>
        <v>0.1692885970698001</v>
      </c>
      <c r="AC422" s="68" t="str">
        <f t="shared" si="380"/>
        <v>0.00757528167384247-0.0553612257901973i</v>
      </c>
      <c r="AD422" s="66">
        <f t="shared" si="381"/>
        <v>-25.055322960339524</v>
      </c>
      <c r="AE422" s="63">
        <f t="shared" si="382"/>
        <v>-82.208394338710235</v>
      </c>
      <c r="AF422" s="51" t="e">
        <f t="shared" si="383"/>
        <v>#NUM!</v>
      </c>
      <c r="AG422" s="51" t="str">
        <f t="shared" si="365"/>
        <v>1-295.258958213557i</v>
      </c>
      <c r="AH422" s="51">
        <f t="shared" si="384"/>
        <v>295.2606516374218</v>
      </c>
      <c r="AI422" s="51">
        <f t="shared" si="385"/>
        <v>-1.5674094823026055</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-0.000133283554228113</v>
      </c>
      <c r="AT422" s="32" t="str">
        <f t="shared" si="369"/>
        <v>0.0420940854759793i</v>
      </c>
      <c r="AU422" s="32">
        <f t="shared" si="393"/>
        <v>4.2094085475979301E-2</v>
      </c>
      <c r="AV422" s="32">
        <f t="shared" si="394"/>
        <v>1.5707963267948966</v>
      </c>
      <c r="AW422" s="32" t="str">
        <f t="shared" si="370"/>
        <v>1+7.35983886725679i</v>
      </c>
      <c r="AX422" s="32">
        <f t="shared" si="395"/>
        <v>7.4274644497287028</v>
      </c>
      <c r="AY422" s="32">
        <f t="shared" si="396"/>
        <v>1.4357507757055723</v>
      </c>
      <c r="AZ422" s="32" t="str">
        <f t="shared" si="371"/>
        <v>1+109.679549948632i</v>
      </c>
      <c r="BA422" s="32">
        <f t="shared" si="397"/>
        <v>109.68410858886743</v>
      </c>
      <c r="BB422" s="32">
        <f t="shared" si="398"/>
        <v>1.5616791094792628</v>
      </c>
      <c r="BC422" s="60" t="str">
        <f t="shared" si="399"/>
        <v>-0.00587264337348246+0.046388033930731i</v>
      </c>
      <c r="BD422" s="51">
        <f t="shared" si="400"/>
        <v>-26.602827698989579</v>
      </c>
      <c r="BE422" s="63">
        <f t="shared" si="401"/>
        <v>97.215162046347203</v>
      </c>
      <c r="BF422" s="60" t="str">
        <f t="shared" si="402"/>
        <v>0.00252361149267838+0.000676519159105718i</v>
      </c>
      <c r="BG422" s="66">
        <f t="shared" si="403"/>
        <v>-51.658150659329102</v>
      </c>
      <c r="BH422" s="63">
        <f t="shared" si="404"/>
        <v>15.006767707636984</v>
      </c>
      <c r="BI422" s="60" t="e">
        <f t="shared" si="357"/>
        <v>#NUM!</v>
      </c>
      <c r="BJ422" s="66" t="e">
        <f t="shared" si="405"/>
        <v>#NUM!</v>
      </c>
      <c r="BK422" s="63" t="e">
        <f t="shared" si="358"/>
        <v>#NUM!</v>
      </c>
      <c r="BL422" s="51">
        <f t="shared" si="406"/>
        <v>-51.658150659329102</v>
      </c>
      <c r="BM422" s="63">
        <f t="shared" si="407"/>
        <v>15.006767707636984</v>
      </c>
    </row>
    <row r="423" spans="14:65" x14ac:dyDescent="0.3">
      <c r="N423" s="11">
        <v>5</v>
      </c>
      <c r="O423" s="52">
        <f t="shared" si="408"/>
        <v>112201.84543019651</v>
      </c>
      <c r="P423" s="50" t="str">
        <f t="shared" si="360"/>
        <v>21.1560044893378</v>
      </c>
      <c r="Q423" s="18" t="str">
        <f t="shared" si="361"/>
        <v>1+491.353172510463i</v>
      </c>
      <c r="R423" s="18">
        <f t="shared" si="372"/>
        <v>491.35419010739781</v>
      </c>
      <c r="S423" s="18">
        <f t="shared" si="373"/>
        <v>1.5687611336277905</v>
      </c>
      <c r="T423" s="18" t="str">
        <f t="shared" si="362"/>
        <v>1+0.704984986645446i</v>
      </c>
      <c r="U423" s="18">
        <f t="shared" si="374"/>
        <v>1.2235210792607865</v>
      </c>
      <c r="V423" s="18">
        <f t="shared" si="375"/>
        <v>0.61406376366012105</v>
      </c>
      <c r="W423" s="32" t="str">
        <f t="shared" si="363"/>
        <v>1-0.316617517670943i</v>
      </c>
      <c r="X423" s="18">
        <f t="shared" si="376"/>
        <v>1.0489264285430651</v>
      </c>
      <c r="Y423" s="18">
        <f t="shared" si="377"/>
        <v>-0.30663164914483959</v>
      </c>
      <c r="Z423" s="32" t="str">
        <f t="shared" si="364"/>
        <v>0.987410745882058+0.17280305911789i</v>
      </c>
      <c r="AA423" s="18">
        <f t="shared" si="378"/>
        <v>1.0024175169677867</v>
      </c>
      <c r="AB423" s="18">
        <f t="shared" si="379"/>
        <v>0.1732517378725496</v>
      </c>
      <c r="AC423" s="68" t="str">
        <f t="shared" si="380"/>
        <v>0.00748565332837025-0.0546141531159253i</v>
      </c>
      <c r="AD423" s="66">
        <f t="shared" si="381"/>
        <v>-25.173063535334563</v>
      </c>
      <c r="AE423" s="63">
        <f t="shared" si="382"/>
        <v>-82.195422745926678</v>
      </c>
      <c r="AF423" s="51" t="e">
        <f t="shared" si="383"/>
        <v>#NUM!</v>
      </c>
      <c r="AG423" s="51" t="str">
        <f t="shared" si="365"/>
        <v>1-302.136422848049i</v>
      </c>
      <c r="AH423" s="51">
        <f t="shared" si="384"/>
        <v>302.13807772509421</v>
      </c>
      <c r="AI423" s="51">
        <f t="shared" si="385"/>
        <v>-1.5674865757258698</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-0.000133283554228113</v>
      </c>
      <c r="AT423" s="32" t="str">
        <f t="shared" si="369"/>
        <v>0.0430745826840367i</v>
      </c>
      <c r="AU423" s="32">
        <f t="shared" si="393"/>
        <v>4.3074582684036702E-2</v>
      </c>
      <c r="AV423" s="32">
        <f t="shared" si="394"/>
        <v>1.5707963267948966</v>
      </c>
      <c r="AW423" s="32" t="str">
        <f t="shared" si="370"/>
        <v>1+7.53127153717939i</v>
      </c>
      <c r="AX423" s="32">
        <f t="shared" si="395"/>
        <v>7.5973713195241688</v>
      </c>
      <c r="AY423" s="32">
        <f t="shared" si="396"/>
        <v>1.4387887935627175</v>
      </c>
      <c r="AZ423" s="32" t="str">
        <f t="shared" si="371"/>
        <v>1+112.234314858942i</v>
      </c>
      <c r="BA423" s="32">
        <f t="shared" si="397"/>
        <v>112.23876973602361</v>
      </c>
      <c r="BB423" s="32">
        <f t="shared" si="398"/>
        <v>1.5618866315717637</v>
      </c>
      <c r="BC423" s="60" t="str">
        <f t="shared" si="399"/>
        <v>-0.00561291009647395+0.0453666006715235i</v>
      </c>
      <c r="BD423" s="51">
        <f t="shared" si="400"/>
        <v>-26.79929936923331</v>
      </c>
      <c r="BE423" s="63">
        <f t="shared" si="401"/>
        <v>97.05298658510344</v>
      </c>
      <c r="BF423" s="60" t="str">
        <f t="shared" si="402"/>
        <v>0.00243564217627811+0.000646142976748385i</v>
      </c>
      <c r="BG423" s="66">
        <f t="shared" si="403"/>
        <v>-51.972362904567873</v>
      </c>
      <c r="BH423" s="63">
        <f t="shared" si="404"/>
        <v>14.857563839176761</v>
      </c>
      <c r="BI423" s="60" t="e">
        <f t="shared" si="357"/>
        <v>#NUM!</v>
      </c>
      <c r="BJ423" s="66" t="e">
        <f t="shared" si="405"/>
        <v>#NUM!</v>
      </c>
      <c r="BK423" s="63" t="e">
        <f t="shared" si="358"/>
        <v>#NUM!</v>
      </c>
      <c r="BL423" s="51">
        <f t="shared" si="406"/>
        <v>-51.972362904567873</v>
      </c>
      <c r="BM423" s="63">
        <f t="shared" si="407"/>
        <v>14.857563839176761</v>
      </c>
    </row>
    <row r="424" spans="14:65" x14ac:dyDescent="0.3">
      <c r="N424" s="11">
        <v>6</v>
      </c>
      <c r="O424" s="52">
        <f t="shared" si="408"/>
        <v>114815.36214968823</v>
      </c>
      <c r="P424" s="50" t="str">
        <f t="shared" si="360"/>
        <v>21.1560044893378</v>
      </c>
      <c r="Q424" s="18" t="str">
        <f t="shared" si="361"/>
        <v>1+502.798258164872i</v>
      </c>
      <c r="R424" s="18">
        <f t="shared" si="372"/>
        <v>502.79925259851899</v>
      </c>
      <c r="S424" s="18">
        <f t="shared" si="373"/>
        <v>1.5688074601565767</v>
      </c>
      <c r="T424" s="18" t="str">
        <f t="shared" si="362"/>
        <v>1+0.721406196497424i</v>
      </c>
      <c r="U424" s="18">
        <f t="shared" si="374"/>
        <v>1.2330559193908766</v>
      </c>
      <c r="V424" s="18">
        <f t="shared" si="375"/>
        <v>0.6249485397235055</v>
      </c>
      <c r="W424" s="32" t="str">
        <f t="shared" si="363"/>
        <v>1-0.323992487066003i</v>
      </c>
      <c r="X424" s="18">
        <f t="shared" si="376"/>
        <v>1.0511760707299298</v>
      </c>
      <c r="Y424" s="18">
        <f t="shared" si="377"/>
        <v>-0.31332036838621002</v>
      </c>
      <c r="Z424" s="32" t="str">
        <f t="shared" si="364"/>
        <v>0.986817432614436+0.176828159440014i</v>
      </c>
      <c r="AA424" s="18">
        <f t="shared" si="378"/>
        <v>1.0025352080015395</v>
      </c>
      <c r="AB424" s="18">
        <f t="shared" si="379"/>
        <v>0.1773085854005465</v>
      </c>
      <c r="AC424" s="68" t="str">
        <f t="shared" si="380"/>
        <v>0.00739221722936861-0.0538952488248655i</v>
      </c>
      <c r="AD424" s="66">
        <f t="shared" si="381"/>
        <v>-25.288047362857931</v>
      </c>
      <c r="AE424" s="63">
        <f t="shared" si="382"/>
        <v>-82.190100955489399</v>
      </c>
      <c r="AF424" s="51" t="e">
        <f t="shared" si="383"/>
        <v>#NUM!</v>
      </c>
      <c r="AG424" s="51" t="str">
        <f t="shared" si="365"/>
        <v>1-309.174084213182i</v>
      </c>
      <c r="AH424" s="51">
        <f t="shared" si="384"/>
        <v>309.17570142082604</v>
      </c>
      <c r="AI424" s="51">
        <f t="shared" si="385"/>
        <v>-1.5675619143265906</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-0.000133283554228113</v>
      </c>
      <c r="AT424" s="32" t="str">
        <f t="shared" si="369"/>
        <v>0.0440779186059926i</v>
      </c>
      <c r="AU424" s="32">
        <f t="shared" si="393"/>
        <v>4.4077918605992597E-2</v>
      </c>
      <c r="AV424" s="32">
        <f t="shared" si="394"/>
        <v>1.5707963267948966</v>
      </c>
      <c r="AW424" s="32" t="str">
        <f t="shared" si="370"/>
        <v>1+7.70669738695915i</v>
      </c>
      <c r="AX424" s="32">
        <f t="shared" si="395"/>
        <v>7.7713052066022348</v>
      </c>
      <c r="AY424" s="32">
        <f t="shared" si="396"/>
        <v>1.4417600279278764</v>
      </c>
      <c r="AZ424" s="32" t="str">
        <f t="shared" si="371"/>
        <v>1+114.848587888586i</v>
      </c>
      <c r="BA424" s="32">
        <f t="shared" si="397"/>
        <v>114.85294136417343</v>
      </c>
      <c r="BB424" s="32">
        <f t="shared" si="398"/>
        <v>1.5620894306262756</v>
      </c>
      <c r="BC424" s="60" t="str">
        <f t="shared" si="399"/>
        <v>-0.0053644704929861+0.0443661676087201i</v>
      </c>
      <c r="BD424" s="51">
        <f t="shared" si="400"/>
        <v>-26.995927137795693</v>
      </c>
      <c r="BE424" s="63">
        <f t="shared" si="401"/>
        <v>96.894366925948361</v>
      </c>
      <c r="BF424" s="60" t="str">
        <f t="shared" si="402"/>
        <v>0.00235147031147297+0.000617083820631371i</v>
      </c>
      <c r="BG424" s="66">
        <f t="shared" si="403"/>
        <v>-52.283974500653613</v>
      </c>
      <c r="BH424" s="63">
        <f t="shared" si="404"/>
        <v>14.704265970458945</v>
      </c>
      <c r="BI424" s="60" t="e">
        <f t="shared" si="357"/>
        <v>#NUM!</v>
      </c>
      <c r="BJ424" s="66" t="e">
        <f t="shared" si="405"/>
        <v>#NUM!</v>
      </c>
      <c r="BK424" s="63" t="e">
        <f t="shared" si="358"/>
        <v>#NUM!</v>
      </c>
      <c r="BL424" s="51">
        <f t="shared" si="406"/>
        <v>-52.283974500653613</v>
      </c>
      <c r="BM424" s="63">
        <f t="shared" si="407"/>
        <v>14.704265970458945</v>
      </c>
    </row>
    <row r="425" spans="14:65" x14ac:dyDescent="0.3">
      <c r="N425" s="11">
        <v>7</v>
      </c>
      <c r="O425" s="52">
        <f t="shared" si="408"/>
        <v>117489.75549395311</v>
      </c>
      <c r="P425" s="50" t="str">
        <f t="shared" si="360"/>
        <v>21.1560044893378</v>
      </c>
      <c r="Q425" s="18" t="str">
        <f t="shared" si="361"/>
        <v>1+514.509934111084i</v>
      </c>
      <c r="R425" s="18">
        <f t="shared" si="372"/>
        <v>514.51090590870092</v>
      </c>
      <c r="S425" s="18">
        <f t="shared" si="373"/>
        <v>1.5688527321730732</v>
      </c>
      <c r="T425" s="18" t="str">
        <f t="shared" si="362"/>
        <v>1+0.738209905463728i</v>
      </c>
      <c r="U425" s="18">
        <f t="shared" si="374"/>
        <v>1.2429617309172338</v>
      </c>
      <c r="V425" s="18">
        <f t="shared" si="375"/>
        <v>0.63591264816819815</v>
      </c>
      <c r="W425" s="32" t="str">
        <f t="shared" si="363"/>
        <v>1-0.331539241566254i</v>
      </c>
      <c r="X425" s="18">
        <f t="shared" si="376"/>
        <v>1.0535265866119976</v>
      </c>
      <c r="Y425" s="18">
        <f t="shared" si="377"/>
        <v>-0.32013500367717357</v>
      </c>
      <c r="Z425" s="32" t="str">
        <f t="shared" si="364"/>
        <v>0.986196157353971+0.18094701639287i</v>
      </c>
      <c r="AA425" s="18">
        <f t="shared" si="378"/>
        <v>1.0026588071329248</v>
      </c>
      <c r="AB425" s="18">
        <f t="shared" si="379"/>
        <v>0.18146141833378102</v>
      </c>
      <c r="AC425" s="68" t="str">
        <f t="shared" si="380"/>
        <v>0.00729478044940588-0.0532040748777998i</v>
      </c>
      <c r="AD425" s="66">
        <f t="shared" si="381"/>
        <v>-25.400216996269336</v>
      </c>
      <c r="AE425" s="63">
        <f t="shared" si="382"/>
        <v>-82.192887352150478</v>
      </c>
      <c r="AF425" s="51" t="e">
        <f t="shared" si="383"/>
        <v>#NUM!</v>
      </c>
      <c r="AG425" s="51" t="str">
        <f t="shared" si="365"/>
        <v>1-316.37567377017i</v>
      </c>
      <c r="AH425" s="51">
        <f t="shared" si="384"/>
        <v>316.37725416585977</v>
      </c>
      <c r="AI425" s="51">
        <f t="shared" si="385"/>
        <v>-1.5676355380468683</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-0.000133283554228113</v>
      </c>
      <c r="AT425" s="32" t="str">
        <f t="shared" si="369"/>
        <v>0.0451046252238338i</v>
      </c>
      <c r="AU425" s="32">
        <f t="shared" si="393"/>
        <v>4.5104625223833801E-2</v>
      </c>
      <c r="AV425" s="32">
        <f t="shared" si="394"/>
        <v>1.5707963267948966</v>
      </c>
      <c r="AW425" s="32" t="str">
        <f t="shared" si="370"/>
        <v>1+7.88620942970372i</v>
      </c>
      <c r="AX425" s="32">
        <f t="shared" si="395"/>
        <v>7.9493584124222165</v>
      </c>
      <c r="AY425" s="32">
        <f t="shared" si="396"/>
        <v>1.4446658442315441</v>
      </c>
      <c r="AZ425" s="32" t="str">
        <f t="shared" si="371"/>
        <v>1+117.523755159731i</v>
      </c>
      <c r="BA425" s="32">
        <f t="shared" si="397"/>
        <v>117.52800954174454</v>
      </c>
      <c r="BB425" s="32">
        <f t="shared" si="398"/>
        <v>1.5622876141027786</v>
      </c>
      <c r="BC425" s="60" t="str">
        <f t="shared" si="399"/>
        <v>-0.00512685028238876+0.0433864014441939i</v>
      </c>
      <c r="BD425" s="51">
        <f t="shared" si="400"/>
        <v>-27.192704213050401</v>
      </c>
      <c r="BE425" s="63">
        <f t="shared" si="401"/>
        <v>96.739230992480756</v>
      </c>
      <c r="BF425" s="60" t="str">
        <f t="shared" si="402"/>
        <v>0.00227093410390817+0.000589263599336661i</v>
      </c>
      <c r="BG425" s="66">
        <f t="shared" si="403"/>
        <v>-52.592921209319748</v>
      </c>
      <c r="BH425" s="63">
        <f t="shared" si="404"/>
        <v>14.546343640330312</v>
      </c>
      <c r="BI425" s="60" t="e">
        <f t="shared" si="357"/>
        <v>#NUM!</v>
      </c>
      <c r="BJ425" s="66" t="e">
        <f t="shared" si="405"/>
        <v>#NUM!</v>
      </c>
      <c r="BK425" s="63" t="e">
        <f t="shared" si="358"/>
        <v>#NUM!</v>
      </c>
      <c r="BL425" s="51">
        <f t="shared" si="406"/>
        <v>-52.592921209319748</v>
      </c>
      <c r="BM425" s="63">
        <f t="shared" si="407"/>
        <v>14.546343640330312</v>
      </c>
    </row>
    <row r="426" spans="14:65" x14ac:dyDescent="0.3">
      <c r="N426" s="11">
        <v>8</v>
      </c>
      <c r="O426" s="52">
        <f t="shared" si="408"/>
        <v>120226.44346174144</v>
      </c>
      <c r="P426" s="50" t="str">
        <f t="shared" si="360"/>
        <v>21.1560044893378</v>
      </c>
      <c r="Q426" s="18" t="str">
        <f t="shared" si="361"/>
        <v>1+526.494410034705i</v>
      </c>
      <c r="R426" s="18">
        <f t="shared" si="372"/>
        <v>526.49535971154785</v>
      </c>
      <c r="S426" s="18">
        <f t="shared" si="373"/>
        <v>1.5688969736803597</v>
      </c>
      <c r="T426" s="18" t="str">
        <f t="shared" si="362"/>
        <v>1+0.755405023093271i</v>
      </c>
      <c r="U426" s="18">
        <f t="shared" si="374"/>
        <v>1.2532504733350573</v>
      </c>
      <c r="V426" s="18">
        <f t="shared" si="375"/>
        <v>0.64695135848051188</v>
      </c>
      <c r="W426" s="32" t="str">
        <f t="shared" si="363"/>
        <v>1-0.339261782560824i</v>
      </c>
      <c r="X426" s="18">
        <f t="shared" si="376"/>
        <v>1.0559822712083513</v>
      </c>
      <c r="Y426" s="18">
        <f t="shared" si="377"/>
        <v>-0.3270766356286916</v>
      </c>
      <c r="Z426" s="32" t="str">
        <f t="shared" si="364"/>
        <v>0.985545602292541+0.185161813848935i</v>
      </c>
      <c r="AA426" s="18">
        <f t="shared" si="378"/>
        <v>1.0027886275312434</v>
      </c>
      <c r="AB426" s="18">
        <f t="shared" si="379"/>
        <v>0.18571257484369072</v>
      </c>
      <c r="AC426" s="68" t="str">
        <f t="shared" si="380"/>
        <v>0.00719314211599942-0.052540203800892i</v>
      </c>
      <c r="AD426" s="66">
        <f t="shared" si="381"/>
        <v>-25.509515863393808</v>
      </c>
      <c r="AE426" s="63">
        <f t="shared" si="382"/>
        <v>-82.204250231456726</v>
      </c>
      <c r="AF426" s="51" t="e">
        <f t="shared" si="383"/>
        <v>#NUM!</v>
      </c>
      <c r="AG426" s="51" t="str">
        <f t="shared" si="365"/>
        <v>1-323.745009897117i</v>
      </c>
      <c r="AH426" s="51">
        <f t="shared" si="384"/>
        <v>323.74655431878244</v>
      </c>
      <c r="AI426" s="51">
        <f t="shared" si="385"/>
        <v>-1.5677074859197797</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-0.000133283554228113</v>
      </c>
      <c r="AT426" s="32" t="str">
        <f t="shared" si="369"/>
        <v>0.0461552469109989i</v>
      </c>
      <c r="AU426" s="32">
        <f t="shared" si="393"/>
        <v>4.6155246910998898E-2</v>
      </c>
      <c r="AV426" s="32">
        <f t="shared" si="394"/>
        <v>1.5707963267948966</v>
      </c>
      <c r="AW426" s="32" t="str">
        <f t="shared" si="370"/>
        <v>1+8.06990284507422i</v>
      </c>
      <c r="AX426" s="32">
        <f t="shared" si="395"/>
        <v>8.1316254174019225</v>
      </c>
      <c r="AY426" s="32">
        <f t="shared" si="396"/>
        <v>1.4475075867831937</v>
      </c>
      <c r="AZ426" s="32" t="str">
        <f t="shared" si="371"/>
        <v>1+120.261235081472i</v>
      </c>
      <c r="BA426" s="32">
        <f t="shared" si="397"/>
        <v>120.26539262531459</v>
      </c>
      <c r="BB426" s="32">
        <f t="shared" si="398"/>
        <v>1.5624812870184674</v>
      </c>
      <c r="BC426" s="60" t="str">
        <f t="shared" si="399"/>
        <v>-0.00489959364401541+0.0424269673875283i</v>
      </c>
      <c r="BD426" s="51">
        <f t="shared" si="400"/>
        <v>-27.389624088948366</v>
      </c>
      <c r="BE426" s="63">
        <f t="shared" si="401"/>
        <v>96.58750777848347</v>
      </c>
      <c r="BF426" s="60" t="str">
        <f t="shared" si="402"/>
        <v>0.00219387803980248+0.000562608854567488i</v>
      </c>
      <c r="BG426" s="66">
        <f t="shared" si="403"/>
        <v>-52.899139952342196</v>
      </c>
      <c r="BH426" s="63">
        <f t="shared" si="404"/>
        <v>14.383257547026776</v>
      </c>
      <c r="BI426" s="60" t="e">
        <f t="shared" si="357"/>
        <v>#NUM!</v>
      </c>
      <c r="BJ426" s="66" t="e">
        <f t="shared" si="405"/>
        <v>#NUM!</v>
      </c>
      <c r="BK426" s="63" t="e">
        <f t="shared" si="358"/>
        <v>#NUM!</v>
      </c>
      <c r="BL426" s="51">
        <f t="shared" si="406"/>
        <v>-52.899139952342196</v>
      </c>
      <c r="BM426" s="63">
        <f t="shared" si="407"/>
        <v>14.383257547026776</v>
      </c>
    </row>
    <row r="427" spans="14:65" x14ac:dyDescent="0.3">
      <c r="N427" s="11">
        <v>9</v>
      </c>
      <c r="O427" s="52">
        <f t="shared" si="408"/>
        <v>123026.87708123829</v>
      </c>
      <c r="P427" s="50" t="str">
        <f t="shared" si="360"/>
        <v>21.1560044893378</v>
      </c>
      <c r="Q427" s="18" t="str">
        <f t="shared" si="361"/>
        <v>1+538.758040263503i</v>
      </c>
      <c r="R427" s="18">
        <f t="shared" si="372"/>
        <v>538.75896832309923</v>
      </c>
      <c r="S427" s="18">
        <f t="shared" si="373"/>
        <v>1.568940208135176</v>
      </c>
      <c r="T427" s="18" t="str">
        <f t="shared" si="362"/>
        <v>1+0.773000666465025i</v>
      </c>
      <c r="U427" s="18">
        <f t="shared" si="374"/>
        <v>1.2639343457456058</v>
      </c>
      <c r="V427" s="18">
        <f t="shared" si="375"/>
        <v>0.65805976309554814</v>
      </c>
      <c r="W427" s="32" t="str">
        <f t="shared" si="363"/>
        <v>1-0.347164204643168i</v>
      </c>
      <c r="X427" s="18">
        <f t="shared" si="376"/>
        <v>1.058547582768731</v>
      </c>
      <c r="Y427" s="18">
        <f t="shared" si="377"/>
        <v>-0.33414626796379338</v>
      </c>
      <c r="Z427" s="32" t="str">
        <f t="shared" si="364"/>
        <v>0.984864387515638+0.189474786549608i</v>
      </c>
      <c r="AA427" s="18">
        <f t="shared" si="378"/>
        <v>1.0029250004534598</v>
      </c>
      <c r="AB427" s="18">
        <f t="shared" si="379"/>
        <v>0.1900644543826906</v>
      </c>
      <c r="AC427" s="68" t="str">
        <f t="shared" si="380"/>
        <v>0.00708709304255075-0.0519032181566446i</v>
      </c>
      <c r="AD427" s="66">
        <f t="shared" si="381"/>
        <v>-25.615888385896454</v>
      </c>
      <c r="AE427" s="63">
        <f t="shared" si="382"/>
        <v>-82.224667107726646</v>
      </c>
      <c r="AF427" s="51" t="e">
        <f t="shared" si="383"/>
        <v>#NUM!</v>
      </c>
      <c r="AG427" s="51" t="str">
        <f t="shared" si="365"/>
        <v>1-331.285999913583i</v>
      </c>
      <c r="AH427" s="51">
        <f t="shared" si="384"/>
        <v>331.28750918008137</v>
      </c>
      <c r="AI427" s="51">
        <f t="shared" si="385"/>
        <v>-1.5677777960900581</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-0.000133283554228113</v>
      </c>
      <c r="AT427" s="32" t="str">
        <f t="shared" si="369"/>
        <v>0.0472303407210131i</v>
      </c>
      <c r="AU427" s="32">
        <f t="shared" si="393"/>
        <v>4.7230340721013099E-2</v>
      </c>
      <c r="AV427" s="32">
        <f t="shared" si="394"/>
        <v>1.5707963267948966</v>
      </c>
      <c r="AW427" s="32" t="str">
        <f t="shared" si="370"/>
        <v>1+8.25787502975096i</v>
      </c>
      <c r="AX427" s="32">
        <f t="shared" si="395"/>
        <v>8.3182029313418653</v>
      </c>
      <c r="AY427" s="32">
        <f t="shared" si="396"/>
        <v>1.450286578626337</v>
      </c>
      <c r="AZ427" s="32" t="str">
        <f t="shared" si="371"/>
        <v>1+123.062479101898i</v>
      </c>
      <c r="BA427" s="32">
        <f t="shared" si="397"/>
        <v>123.06654201164947</v>
      </c>
      <c r="BB427" s="32">
        <f t="shared" si="398"/>
        <v>1.5626705520031359</v>
      </c>
      <c r="BC427" s="60" t="str">
        <f t="shared" si="399"/>
        <v>-0.00468226262683724+0.0414875297351156i</v>
      </c>
      <c r="BD427" s="51">
        <f t="shared" si="400"/>
        <v>-27.586680533871078</v>
      </c>
      <c r="BE427" s="63">
        <f t="shared" si="401"/>
        <v>96.439127359401198</v>
      </c>
      <c r="BF427" s="60" t="str">
        <f t="shared" si="402"/>
        <v>0.00212015267573593+0.000537050481925792i</v>
      </c>
      <c r="BG427" s="66">
        <f t="shared" si="403"/>
        <v>-53.202568919767536</v>
      </c>
      <c r="BH427" s="63">
        <f t="shared" si="404"/>
        <v>14.214460251674552</v>
      </c>
      <c r="BI427" s="60" t="e">
        <f t="shared" si="357"/>
        <v>#NUM!</v>
      </c>
      <c r="BJ427" s="66" t="e">
        <f t="shared" si="405"/>
        <v>#NUM!</v>
      </c>
      <c r="BK427" s="63" t="e">
        <f t="shared" si="358"/>
        <v>#NUM!</v>
      </c>
      <c r="BL427" s="51">
        <f t="shared" si="406"/>
        <v>-53.202568919767536</v>
      </c>
      <c r="BM427" s="63">
        <f t="shared" si="407"/>
        <v>14.214460251674552</v>
      </c>
    </row>
    <row r="428" spans="14:65" x14ac:dyDescent="0.3">
      <c r="N428" s="11">
        <v>10</v>
      </c>
      <c r="O428" s="52">
        <f t="shared" si="408"/>
        <v>125892.54117941685</v>
      </c>
      <c r="P428" s="50" t="str">
        <f t="shared" si="360"/>
        <v>21.1560044893378</v>
      </c>
      <c r="Q428" s="18" t="str">
        <f t="shared" si="361"/>
        <v>1+551.307327136555i</v>
      </c>
      <c r="R428" s="18">
        <f t="shared" si="372"/>
        <v>551.30823407097091</v>
      </c>
      <c r="S428" s="18">
        <f t="shared" si="373"/>
        <v>1.5689824584603553</v>
      </c>
      <c r="T428" s="18" t="str">
        <f t="shared" si="362"/>
        <v>1+0.791006165022013i</v>
      </c>
      <c r="U428" s="18">
        <f t="shared" si="374"/>
        <v>1.2750257852697851</v>
      </c>
      <c r="V428" s="18">
        <f t="shared" si="375"/>
        <v>0.66923278638420458</v>
      </c>
      <c r="W428" s="32" t="str">
        <f t="shared" si="363"/>
        <v>1-0.355250697782076i</v>
      </c>
      <c r="X428" s="18">
        <f t="shared" si="376"/>
        <v>1.061227147350958</v>
      </c>
      <c r="Y428" s="18">
        <f t="shared" si="377"/>
        <v>-0.34134482147312339</v>
      </c>
      <c r="Z428" s="32" t="str">
        <f t="shared" si="364"/>
        <v>0.984151068075389+0.193888221290106i</v>
      </c>
      <c r="AA428" s="18">
        <f t="shared" si="378"/>
        <v>1.0030682764144072</v>
      </c>
      <c r="AB428" s="18">
        <f t="shared" si="379"/>
        <v>0.1945195195375628</v>
      </c>
      <c r="AC428" s="68" t="str">
        <f t="shared" si="380"/>
        <v>0.00697641534783903-0.0512927099978143i</v>
      </c>
      <c r="AD428" s="66">
        <f t="shared" si="381"/>
        <v>-25.719280098141223</v>
      </c>
      <c r="AE428" s="63">
        <f t="shared" si="382"/>
        <v>-82.254623959714692</v>
      </c>
      <c r="AF428" s="51" t="e">
        <f t="shared" si="383"/>
        <v>#NUM!</v>
      </c>
      <c r="AG428" s="51" t="str">
        <f t="shared" si="365"/>
        <v>1-339.002642152292i</v>
      </c>
      <c r="AH428" s="51">
        <f t="shared" si="384"/>
        <v>339.00411706384176</v>
      </c>
      <c r="AI428" s="51">
        <f t="shared" si="385"/>
        <v>-1.5678465058343041</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-0.000133283554228113</v>
      </c>
      <c r="AT428" s="32" t="str">
        <f t="shared" si="369"/>
        <v>0.048330476682845i</v>
      </c>
      <c r="AU428" s="32">
        <f t="shared" si="393"/>
        <v>4.8330476682845E-2</v>
      </c>
      <c r="AV428" s="32">
        <f t="shared" si="394"/>
        <v>1.5707963267948966</v>
      </c>
      <c r="AW428" s="32" t="str">
        <f t="shared" si="370"/>
        <v>1+8.45022564907439i</v>
      </c>
      <c r="AX428" s="32">
        <f t="shared" si="395"/>
        <v>8.5091899450109061</v>
      </c>
      <c r="AY428" s="32">
        <f t="shared" si="396"/>
        <v>1.4530041214345422</v>
      </c>
      <c r="AZ428" s="32" t="str">
        <f t="shared" si="371"/>
        <v>1+125.928972477669i</v>
      </c>
      <c r="BA428" s="32">
        <f t="shared" si="397"/>
        <v>125.93294290725328</v>
      </c>
      <c r="BB428" s="32">
        <f t="shared" si="398"/>
        <v>1.5628555093533152</v>
      </c>
      <c r="BC428" s="60" t="str">
        <f t="shared" si="399"/>
        <v>-0.00447443656621767+0.0405677524059765i</v>
      </c>
      <c r="BD428" s="51">
        <f t="shared" si="400"/>
        <v>-27.783867579843111</v>
      </c>
      <c r="BE428" s="63">
        <f t="shared" si="401"/>
        <v>96.294020901400074</v>
      </c>
      <c r="BF428" s="60" t="str">
        <f t="shared" si="402"/>
        <v>0.00204961443148939+0.000512523467707007i</v>
      </c>
      <c r="BG428" s="66">
        <f t="shared" si="403"/>
        <v>-53.503147677984337</v>
      </c>
      <c r="BH428" s="63">
        <f t="shared" si="404"/>
        <v>14.039396941685409</v>
      </c>
      <c r="BI428" s="60" t="e">
        <f t="shared" si="357"/>
        <v>#NUM!</v>
      </c>
      <c r="BJ428" s="66" t="e">
        <f t="shared" si="405"/>
        <v>#NUM!</v>
      </c>
      <c r="BK428" s="63" t="e">
        <f t="shared" si="358"/>
        <v>#NUM!</v>
      </c>
      <c r="BL428" s="51">
        <f t="shared" si="406"/>
        <v>-53.503147677984337</v>
      </c>
      <c r="BM428" s="63">
        <f t="shared" si="407"/>
        <v>14.039396941685409</v>
      </c>
    </row>
    <row r="429" spans="14:65" x14ac:dyDescent="0.3">
      <c r="N429" s="11">
        <v>11</v>
      </c>
      <c r="O429" s="52">
        <f t="shared" si="408"/>
        <v>128824.95516931375</v>
      </c>
      <c r="P429" s="50" t="str">
        <f t="shared" si="360"/>
        <v>21.1560044893378</v>
      </c>
      <c r="Q429" s="18" t="str">
        <f t="shared" si="361"/>
        <v>1+564.148924451871i</v>
      </c>
      <c r="R429" s="18">
        <f t="shared" si="372"/>
        <v>564.14981074197203</v>
      </c>
      <c r="S429" s="18">
        <f t="shared" si="373"/>
        <v>1.5690237470569752</v>
      </c>
      <c r="T429" s="18" t="str">
        <f t="shared" si="362"/>
        <v>1+0.809431065517901i</v>
      </c>
      <c r="U429" s="18">
        <f t="shared" si="374"/>
        <v>1.2865374653796307</v>
      </c>
      <c r="V429" s="18">
        <f t="shared" si="375"/>
        <v>0.68046519458269783</v>
      </c>
      <c r="W429" s="32" t="str">
        <f t="shared" si="363"/>
        <v>1-0.363525549543247i</v>
      </c>
      <c r="X429" s="18">
        <f t="shared" si="376"/>
        <v>1.0640257633961312</v>
      </c>
      <c r="Y429" s="18">
        <f t="shared" si="377"/>
        <v>-0.34867312779960763</v>
      </c>
      <c r="Z429" s="32" t="str">
        <f t="shared" si="364"/>
        <v>0.983404130925624+0.198404458131946i</v>
      </c>
      <c r="AA429" s="18">
        <f t="shared" si="378"/>
        <v>1.0032188264422737</v>
      </c>
      <c r="AB429" s="18">
        <f t="shared" si="379"/>
        <v>0.19908029794893808</v>
      </c>
      <c r="AC429" s="68" t="str">
        <f t="shared" si="380"/>
        <v>0.00686088206396321-0.0507082803023414i</v>
      </c>
      <c r="AD429" s="66">
        <f t="shared" si="381"/>
        <v>-25.819637765015887</v>
      </c>
      <c r="AE429" s="63">
        <f t="shared" si="382"/>
        <v>-82.294614416253978</v>
      </c>
      <c r="AF429" s="51" t="e">
        <f t="shared" si="383"/>
        <v>#NUM!</v>
      </c>
      <c r="AG429" s="51" t="str">
        <f t="shared" si="365"/>
        <v>1-346.899028079101i</v>
      </c>
      <c r="AH429" s="51">
        <f t="shared" si="384"/>
        <v>346.90046941770623</v>
      </c>
      <c r="AI429" s="51">
        <f t="shared" si="385"/>
        <v>-1.567913651580737</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-0.000133283554228113</v>
      </c>
      <c r="AT429" s="32" t="str">
        <f t="shared" si="369"/>
        <v>0.0494562381031438i</v>
      </c>
      <c r="AU429" s="32">
        <f t="shared" si="393"/>
        <v>4.9456238103143799E-2</v>
      </c>
      <c r="AV429" s="32">
        <f t="shared" si="394"/>
        <v>1.5707963267948966</v>
      </c>
      <c r="AW429" s="32" t="str">
        <f t="shared" si="370"/>
        <v>1+8.64705668988892i</v>
      </c>
      <c r="AX429" s="32">
        <f t="shared" si="395"/>
        <v>8.7046877829220701</v>
      </c>
      <c r="AY429" s="32">
        <f t="shared" si="396"/>
        <v>1.4556614954453972</v>
      </c>
      <c r="AZ429" s="32" t="str">
        <f t="shared" si="371"/>
        <v>1+128.862235061515i</v>
      </c>
      <c r="BA429" s="32">
        <f t="shared" si="397"/>
        <v>128.86611511584087</v>
      </c>
      <c r="BB429" s="32">
        <f t="shared" si="398"/>
        <v>1.5630362570851939</v>
      </c>
      <c r="BC429" s="60" t="str">
        <f t="shared" si="399"/>
        <v>-0.00427571150893711+0.0396672994366559i</v>
      </c>
      <c r="BD429" s="51">
        <f t="shared" si="400"/>
        <v>-27.981179512099679</v>
      </c>
      <c r="BE429" s="63">
        <f t="shared" si="401"/>
        <v>96.152120668183557</v>
      </c>
      <c r="BF429" s="60" t="str">
        <f t="shared" si="402"/>
        <v>0.00198212538626851+0.000488966640917941i</v>
      </c>
      <c r="BG429" s="66">
        <f t="shared" si="403"/>
        <v>-53.800817277115563</v>
      </c>
      <c r="BH429" s="63">
        <f t="shared" si="404"/>
        <v>13.857506251929587</v>
      </c>
      <c r="BI429" s="60" t="e">
        <f t="shared" si="357"/>
        <v>#NUM!</v>
      </c>
      <c r="BJ429" s="66" t="e">
        <f t="shared" si="405"/>
        <v>#NUM!</v>
      </c>
      <c r="BK429" s="63" t="e">
        <f t="shared" si="358"/>
        <v>#NUM!</v>
      </c>
      <c r="BL429" s="51">
        <f t="shared" si="406"/>
        <v>-53.800817277115563</v>
      </c>
      <c r="BM429" s="63">
        <f t="shared" si="407"/>
        <v>13.857506251929587</v>
      </c>
    </row>
    <row r="430" spans="14:65" x14ac:dyDescent="0.3">
      <c r="N430" s="11">
        <v>12</v>
      </c>
      <c r="O430" s="52">
        <f t="shared" si="408"/>
        <v>131825.67385564081</v>
      </c>
      <c r="P430" s="50" t="str">
        <f t="shared" si="360"/>
        <v>21.1560044893378</v>
      </c>
      <c r="Q430" s="18" t="str">
        <f t="shared" si="361"/>
        <v>1+577.289640994323i</v>
      </c>
      <c r="R430" s="18">
        <f t="shared" si="372"/>
        <v>577.2905071100289</v>
      </c>
      <c r="S430" s="18">
        <f t="shared" si="373"/>
        <v>1.5690640958162334</v>
      </c>
      <c r="T430" s="18" t="str">
        <f t="shared" si="362"/>
        <v>1+0.82828513707881i</v>
      </c>
      <c r="U430" s="18">
        <f t="shared" si="374"/>
        <v>1.2984822941825827</v>
      </c>
      <c r="V430" s="18">
        <f t="shared" si="375"/>
        <v>0.69175160662923607</v>
      </c>
      <c r="W430" s="32" t="str">
        <f t="shared" si="363"/>
        <v>1-0.371993147362614i</v>
      </c>
      <c r="X430" s="18">
        <f t="shared" si="376"/>
        <v>1.0669484062899872</v>
      </c>
      <c r="Y430" s="18">
        <f t="shared" si="377"/>
        <v>-0.35613192306619956</v>
      </c>
      <c r="Z430" s="32" t="str">
        <f t="shared" si="364"/>
        <v>0.982621991712506+0.20302589164368i</v>
      </c>
      <c r="AA430" s="18">
        <f t="shared" si="378"/>
        <v>1.0033770434262304</v>
      </c>
      <c r="AB430" s="18">
        <f t="shared" si="379"/>
        <v>0.20374938429914891</v>
      </c>
      <c r="AC430" s="68" t="str">
        <f t="shared" si="380"/>
        <v>0.00674025673267803-0.0501495383872088i</v>
      </c>
      <c r="AD430" s="66">
        <f t="shared" si="381"/>
        <v>-25.916909498225507</v>
      </c>
      <c r="AE430" s="63">
        <f t="shared" si="382"/>
        <v>-82.345138884832892</v>
      </c>
      <c r="AF430" s="51" t="e">
        <f t="shared" si="383"/>
        <v>#NUM!</v>
      </c>
      <c r="AG430" s="51" t="str">
        <f t="shared" si="365"/>
        <v>1-354.979344462348i</v>
      </c>
      <c r="AH430" s="51">
        <f t="shared" si="384"/>
        <v>354.98075299221273</v>
      </c>
      <c r="AI430" s="51">
        <f t="shared" si="385"/>
        <v>-1.5679792689284973</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-0.000133283554228113</v>
      </c>
      <c r="AT430" s="32" t="str">
        <f t="shared" si="369"/>
        <v>0.0506082218755153i</v>
      </c>
      <c r="AU430" s="32">
        <f t="shared" si="393"/>
        <v>5.0608221875515301E-2</v>
      </c>
      <c r="AV430" s="32">
        <f t="shared" si="394"/>
        <v>1.5707963267948966</v>
      </c>
      <c r="AW430" s="32" t="str">
        <f t="shared" si="370"/>
        <v>1+8.84847251461773i</v>
      </c>
      <c r="AX430" s="32">
        <f t="shared" si="395"/>
        <v>8.9048001573278128</v>
      </c>
      <c r="AY430" s="32">
        <f t="shared" si="396"/>
        <v>1.4582599594295589</v>
      </c>
      <c r="AZ430" s="32" t="str">
        <f t="shared" si="371"/>
        <v>1+131.863822108084i</v>
      </c>
      <c r="BA430" s="32">
        <f t="shared" si="397"/>
        <v>131.86761384415973</v>
      </c>
      <c r="BB430" s="32">
        <f t="shared" si="398"/>
        <v>1.5632128909863447</v>
      </c>
      <c r="BC430" s="60" t="str">
        <f t="shared" si="399"/>
        <v>-0.0040856996475171+0.0387858354374751i</v>
      </c>
      <c r="BD430" s="51">
        <f t="shared" si="400"/>
        <v>-28.178610859003037</v>
      </c>
      <c r="BE430" s="63">
        <f t="shared" si="401"/>
        <v>96.013360025729227</v>
      </c>
      <c r="BF430" s="60" t="str">
        <f t="shared" si="402"/>
        <v>0.00191755307859474+0.000466322439751748i</v>
      </c>
      <c r="BG430" s="66">
        <f t="shared" si="403"/>
        <v>-54.095520357228551</v>
      </c>
      <c r="BH430" s="63">
        <f t="shared" si="404"/>
        <v>13.668221140896353</v>
      </c>
      <c r="BI430" s="60" t="e">
        <f t="shared" si="357"/>
        <v>#NUM!</v>
      </c>
      <c r="BJ430" s="66" t="e">
        <f t="shared" si="405"/>
        <v>#NUM!</v>
      </c>
      <c r="BK430" s="63" t="e">
        <f t="shared" si="358"/>
        <v>#NUM!</v>
      </c>
      <c r="BL430" s="51">
        <f t="shared" si="406"/>
        <v>-54.095520357228551</v>
      </c>
      <c r="BM430" s="63">
        <f t="shared" si="407"/>
        <v>13.668221140896353</v>
      </c>
    </row>
    <row r="431" spans="14:65" x14ac:dyDescent="0.3">
      <c r="N431" s="11">
        <v>13</v>
      </c>
      <c r="O431" s="52">
        <f t="shared" si="408"/>
        <v>134896.28825916545</v>
      </c>
      <c r="P431" s="50" t="str">
        <f t="shared" si="360"/>
        <v>21.1560044893378</v>
      </c>
      <c r="Q431" s="18" t="str">
        <f t="shared" si="361"/>
        <v>1+590.736444145763i</v>
      </c>
      <c r="R431" s="18">
        <f t="shared" si="372"/>
        <v>590.73729054629712</v>
      </c>
      <c r="S431" s="18">
        <f t="shared" si="373"/>
        <v>1.5691035261310498</v>
      </c>
      <c r="T431" s="18" t="str">
        <f t="shared" si="362"/>
        <v>1+0.84757837638305i</v>
      </c>
      <c r="U431" s="18">
        <f t="shared" si="374"/>
        <v>1.3108734126955688</v>
      </c>
      <c r="V431" s="18">
        <f t="shared" si="375"/>
        <v>0.70308650586322563</v>
      </c>
      <c r="W431" s="32" t="str">
        <f t="shared" si="363"/>
        <v>1-0.380657980872624i</v>
      </c>
      <c r="X431" s="18">
        <f t="shared" si="376"/>
        <v>1.0700002328981162</v>
      </c>
      <c r="Y431" s="18">
        <f t="shared" si="377"/>
        <v>-0.36372184136306035</v>
      </c>
      <c r="Z431" s="32" t="str">
        <f t="shared" si="364"/>
        <v>0.9818029914139+0.207754972170529i</v>
      </c>
      <c r="AA431" s="18">
        <f t="shared" si="378"/>
        <v>1.003543343563625</v>
      </c>
      <c r="AB431" s="18">
        <f t="shared" si="379"/>
        <v>0.20852944237069937</v>
      </c>
      <c r="AC431" s="68" t="str">
        <f t="shared" si="380"/>
        <v>0.00661429299013567-0.0496161012990145i</v>
      </c>
      <c r="AD431" s="66">
        <f t="shared" si="381"/>
        <v>-26.011044870582847</v>
      </c>
      <c r="AE431" s="63">
        <f t="shared" si="382"/>
        <v>-82.406703626729609</v>
      </c>
      <c r="AF431" s="51" t="e">
        <f t="shared" si="383"/>
        <v>#NUM!</v>
      </c>
      <c r="AG431" s="51" t="str">
        <f t="shared" si="365"/>
        <v>1-363.247875592736i</v>
      </c>
      <c r="AH431" s="51">
        <f t="shared" si="384"/>
        <v>363.24925206066951</v>
      </c>
      <c r="AI431" s="51">
        <f t="shared" si="385"/>
        <v>-1.5680433926665096</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-0.000133283554228113</v>
      </c>
      <c r="AT431" s="32" t="str">
        <f t="shared" si="369"/>
        <v>0.0517870387970044i</v>
      </c>
      <c r="AU431" s="32">
        <f t="shared" si="393"/>
        <v>5.17870387970044E-2</v>
      </c>
      <c r="AV431" s="32">
        <f t="shared" si="394"/>
        <v>1.5707963267948966</v>
      </c>
      <c r="AW431" s="32" t="str">
        <f t="shared" si="370"/>
        <v>1+9.05457991659718i</v>
      </c>
      <c r="AX431" s="32">
        <f t="shared" si="395"/>
        <v>9.1096332234643231</v>
      </c>
      <c r="AY431" s="32">
        <f t="shared" si="396"/>
        <v>1.4608007506921887</v>
      </c>
      <c r="AZ431" s="32" t="str">
        <f t="shared" si="371"/>
        <v>1+134.935325098558i</v>
      </c>
      <c r="BA431" s="32">
        <f t="shared" si="397"/>
        <v>134.93903052658092</v>
      </c>
      <c r="BB431" s="32">
        <f t="shared" si="398"/>
        <v>1.5633855046662877</v>
      </c>
      <c r="BC431" s="60" t="str">
        <f t="shared" si="399"/>
        <v>-0.00390402876472485+0.0379230260123234i</v>
      </c>
      <c r="BD431" s="51">
        <f t="shared" si="400"/>
        <v>-28.376156382303101</v>
      </c>
      <c r="BE431" s="63">
        <f t="shared" si="401"/>
        <v>95.877673445103767</v>
      </c>
      <c r="BF431" s="60" t="str">
        <f t="shared" si="402"/>
        <v>0.00185577031010079+0.000444536691782898i</v>
      </c>
      <c r="BG431" s="66">
        <f t="shared" si="403"/>
        <v>-54.387201252885959</v>
      </c>
      <c r="BH431" s="63">
        <f t="shared" si="404"/>
        <v>13.470969818374163</v>
      </c>
      <c r="BI431" s="60" t="e">
        <f t="shared" si="357"/>
        <v>#NUM!</v>
      </c>
      <c r="BJ431" s="66" t="e">
        <f t="shared" si="405"/>
        <v>#NUM!</v>
      </c>
      <c r="BK431" s="63" t="e">
        <f t="shared" si="358"/>
        <v>#NUM!</v>
      </c>
      <c r="BL431" s="51">
        <f t="shared" si="406"/>
        <v>-54.387201252885959</v>
      </c>
      <c r="BM431" s="63">
        <f t="shared" si="407"/>
        <v>13.470969818374163</v>
      </c>
    </row>
    <row r="432" spans="14:65" x14ac:dyDescent="0.3">
      <c r="N432" s="11">
        <v>14</v>
      </c>
      <c r="O432" s="52">
        <f t="shared" si="408"/>
        <v>138038.42646028858</v>
      </c>
      <c r="P432" s="50" t="str">
        <f t="shared" si="360"/>
        <v>21.1560044893378</v>
      </c>
      <c r="Q432" s="18" t="str">
        <f t="shared" si="361"/>
        <v>1+604.496463579211i</v>
      </c>
      <c r="R432" s="18">
        <f t="shared" si="372"/>
        <v>604.49729071334332</v>
      </c>
      <c r="S432" s="18">
        <f t="shared" si="373"/>
        <v>1.5691420589074088</v>
      </c>
      <c r="T432" s="18" t="str">
        <f t="shared" si="362"/>
        <v>1+0.867321012961475i</v>
      </c>
      <c r="U432" s="18">
        <f t="shared" si="374"/>
        <v>1.3237241931476962</v>
      </c>
      <c r="V432" s="18">
        <f t="shared" si="375"/>
        <v>0.71446425253329238</v>
      </c>
      <c r="W432" s="32" t="str">
        <f t="shared" si="363"/>
        <v>1-0.389524644282698i</v>
      </c>
      <c r="X432" s="18">
        <f t="shared" si="376"/>
        <v>1.0731865860620708</v>
      </c>
      <c r="Y432" s="18">
        <f t="shared" si="377"/>
        <v>-0.37144340811305893</v>
      </c>
      <c r="Z432" s="32" t="str">
        <f t="shared" si="364"/>
        <v>0.980945392820368+0.212594207133586i</v>
      </c>
      <c r="AA432" s="18">
        <f t="shared" si="378"/>
        <v>1.0037181679148106</v>
      </c>
      <c r="AB432" s="18">
        <f t="shared" si="379"/>
        <v>0.2134232071775726</v>
      </c>
      <c r="AC432" s="68" t="str">
        <f t="shared" si="380"/>
        <v>0.00648273414012129-0.0491075931788813i</v>
      </c>
      <c r="AD432" s="66">
        <f t="shared" si="381"/>
        <v>-26.101995027861484</v>
      </c>
      <c r="AE432" s="63">
        <f t="shared" si="382"/>
        <v>-82.479819782991015</v>
      </c>
      <c r="AF432" s="51" t="e">
        <f t="shared" si="383"/>
        <v>#NUM!</v>
      </c>
      <c r="AG432" s="51" t="str">
        <f t="shared" si="365"/>
        <v>1-371.709005554918i</v>
      </c>
      <c r="AH432" s="51">
        <f t="shared" si="384"/>
        <v>371.71035069073076</v>
      </c>
      <c r="AI432" s="51">
        <f t="shared" si="385"/>
        <v>-1.5681060567919183</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-0.000133283554228113</v>
      </c>
      <c r="AT432" s="32" t="str">
        <f t="shared" si="369"/>
        <v>0.0529933138919461i</v>
      </c>
      <c r="AU432" s="32">
        <f t="shared" si="393"/>
        <v>5.2993313891946101E-2</v>
      </c>
      <c r="AV432" s="32">
        <f t="shared" si="394"/>
        <v>1.5707963267948966</v>
      </c>
      <c r="AW432" s="32" t="str">
        <f t="shared" si="370"/>
        <v>1+9.26548817669995i</v>
      </c>
      <c r="AX432" s="32">
        <f t="shared" si="395"/>
        <v>9.3192956360750028</v>
      </c>
      <c r="AY432" s="32">
        <f t="shared" si="396"/>
        <v>1.4632850851042314</v>
      </c>
      <c r="AZ432" s="32" t="str">
        <f t="shared" si="371"/>
        <v>1+138.07837258448i</v>
      </c>
      <c r="BA432" s="32">
        <f t="shared" si="397"/>
        <v>138.08199366890125</v>
      </c>
      <c r="BB432" s="32">
        <f t="shared" si="398"/>
        <v>1.5635541896059122</v>
      </c>
      <c r="BC432" s="60" t="str">
        <f t="shared" si="399"/>
        <v>-0.00373034168900525+0.0370785381441022i</v>
      </c>
      <c r="BD432" s="51">
        <f t="shared" si="400"/>
        <v>-28.573811067734184</v>
      </c>
      <c r="BE432" s="63">
        <f t="shared" si="401"/>
        <v>95.744996503502492</v>
      </c>
      <c r="BF432" s="60" t="str">
        <f t="shared" si="402"/>
        <v>0.00179665495342657+0.000423558407174452i</v>
      </c>
      <c r="BG432" s="66">
        <f t="shared" si="403"/>
        <v>-54.675806095595675</v>
      </c>
      <c r="BH432" s="63">
        <f t="shared" si="404"/>
        <v>13.2651767205115</v>
      </c>
      <c r="BI432" s="60" t="e">
        <f t="shared" si="357"/>
        <v>#NUM!</v>
      </c>
      <c r="BJ432" s="66" t="e">
        <f t="shared" si="405"/>
        <v>#NUM!</v>
      </c>
      <c r="BK432" s="63" t="e">
        <f t="shared" si="358"/>
        <v>#NUM!</v>
      </c>
      <c r="BL432" s="51">
        <f t="shared" si="406"/>
        <v>-54.675806095595675</v>
      </c>
      <c r="BM432" s="63">
        <f t="shared" si="407"/>
        <v>13.2651767205115</v>
      </c>
    </row>
    <row r="433" spans="14:65" x14ac:dyDescent="0.3">
      <c r="N433" s="11">
        <v>15</v>
      </c>
      <c r="O433" s="52">
        <f t="shared" si="408"/>
        <v>141253.75446227577</v>
      </c>
      <c r="P433" s="50" t="str">
        <f t="shared" si="360"/>
        <v>21.1560044893378</v>
      </c>
      <c r="Q433" s="18" t="str">
        <f t="shared" si="361"/>
        <v>1+618.576995039106i</v>
      </c>
      <c r="R433" s="18">
        <f t="shared" si="372"/>
        <v>618.57780334539177</v>
      </c>
      <c r="S433" s="18">
        <f t="shared" si="373"/>
        <v>1.5691797145754403</v>
      </c>
      <c r="T433" s="18" t="str">
        <f t="shared" si="362"/>
        <v>1+0.887523514621324i</v>
      </c>
      <c r="U433" s="18">
        <f t="shared" si="374"/>
        <v>1.3370482373518868</v>
      </c>
      <c r="V433" s="18">
        <f t="shared" si="375"/>
        <v>0.72587909705173514</v>
      </c>
      <c r="W433" s="32" t="str">
        <f t="shared" si="363"/>
        <v>1-0.398597838815139i</v>
      </c>
      <c r="X433" s="18">
        <f t="shared" si="376"/>
        <v>1.0765129990427889</v>
      </c>
      <c r="Y433" s="18">
        <f t="shared" si="377"/>
        <v>-0.3792970333371391</v>
      </c>
      <c r="Z433" s="32" t="str">
        <f t="shared" si="364"/>
        <v>0.980047376850311+0.217546162359282i</v>
      </c>
      <c r="AA433" s="18">
        <f t="shared" si="378"/>
        <v>1.0039019840743548</v>
      </c>
      <c r="AB433" s="18">
        <f t="shared" si="379"/>
        <v>0.21843348717156202</v>
      </c>
      <c r="AC433" s="68" t="str">
        <f t="shared" si="380"/>
        <v>0.00634531271596148-0.0486236445991735i</v>
      </c>
      <c r="AD433" s="66">
        <f t="shared" si="381"/>
        <v>-26.189712797819389</v>
      </c>
      <c r="AE433" s="63">
        <f t="shared" si="382"/>
        <v>-82.565002356190817</v>
      </c>
      <c r="AF433" s="51" t="e">
        <f t="shared" si="383"/>
        <v>#NUM!</v>
      </c>
      <c r="AG433" s="51" t="str">
        <f t="shared" si="365"/>
        <v>1-380.367220551997i</v>
      </c>
      <c r="AH433" s="51">
        <f t="shared" si="384"/>
        <v>380.36853506888747</v>
      </c>
      <c r="AI433" s="51">
        <f t="shared" si="385"/>
        <v>-1.5681672945281024</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-0.000133283554228113</v>
      </c>
      <c r="AT433" s="32" t="str">
        <f t="shared" si="369"/>
        <v>0.0542276867433629i</v>
      </c>
      <c r="AU433" s="32">
        <f t="shared" si="393"/>
        <v>5.4227686743362903E-2</v>
      </c>
      <c r="AV433" s="32">
        <f t="shared" si="394"/>
        <v>1.5707963267948966</v>
      </c>
      <c r="AW433" s="32" t="str">
        <f t="shared" si="370"/>
        <v>1+9.48130912127726i</v>
      </c>
      <c r="AX433" s="32">
        <f t="shared" si="395"/>
        <v>9.5338986072443284</v>
      </c>
      <c r="AY433" s="32">
        <f t="shared" si="396"/>
        <v>1.4657141571611378</v>
      </c>
      <c r="AZ433" s="32" t="str">
        <f t="shared" si="371"/>
        <v>1+141.294631051229i</v>
      </c>
      <c r="BA433" s="32">
        <f t="shared" si="397"/>
        <v>141.29816971179395</v>
      </c>
      <c r="BB433" s="32">
        <f t="shared" si="398"/>
        <v>1.563719035205785</v>
      </c>
      <c r="BC433" s="60" t="str">
        <f t="shared" si="399"/>
        <v>-0.00356429576146353+0.0362520405478282i</v>
      </c>
      <c r="BD433" s="51">
        <f t="shared" si="400"/>
        <v>-28.77157011594317</v>
      </c>
      <c r="BE433" s="63">
        <f t="shared" si="401"/>
        <v>95.615265883652611</v>
      </c>
      <c r="BF433" s="60" t="str">
        <f t="shared" si="402"/>
        <v>0.00174008976437376+0.000403339584219429i</v>
      </c>
      <c r="BG433" s="66">
        <f t="shared" si="403"/>
        <v>-54.961282913762581</v>
      </c>
      <c r="BH433" s="63">
        <f t="shared" si="404"/>
        <v>13.050263527461839</v>
      </c>
      <c r="BI433" s="60" t="e">
        <f t="shared" si="357"/>
        <v>#NUM!</v>
      </c>
      <c r="BJ433" s="66" t="e">
        <f t="shared" si="405"/>
        <v>#NUM!</v>
      </c>
      <c r="BK433" s="63" t="e">
        <f t="shared" si="358"/>
        <v>#NUM!</v>
      </c>
      <c r="BL433" s="51">
        <f t="shared" si="406"/>
        <v>-54.961282913762581</v>
      </c>
      <c r="BM433" s="63">
        <f t="shared" si="407"/>
        <v>13.050263527461839</v>
      </c>
    </row>
    <row r="434" spans="14:65" x14ac:dyDescent="0.3">
      <c r="N434" s="11">
        <v>16</v>
      </c>
      <c r="O434" s="52">
        <f t="shared" si="408"/>
        <v>144543.97707459307</v>
      </c>
      <c r="P434" s="50" t="str">
        <f t="shared" si="360"/>
        <v>21.1560044893378</v>
      </c>
      <c r="Q434" s="18" t="str">
        <f t="shared" si="361"/>
        <v>1+632.985504209603i</v>
      </c>
      <c r="R434" s="18">
        <f t="shared" si="372"/>
        <v>632.98629411661466</v>
      </c>
      <c r="S434" s="18">
        <f t="shared" si="373"/>
        <v>1.5692165131002507</v>
      </c>
      <c r="T434" s="18" t="str">
        <f t="shared" si="362"/>
        <v>1+0.908196592996386i</v>
      </c>
      <c r="U434" s="18">
        <f t="shared" si="374"/>
        <v>1.3508593751868634</v>
      </c>
      <c r="V434" s="18">
        <f t="shared" si="375"/>
        <v>0.73732519392473661</v>
      </c>
      <c r="W434" s="32" t="str">
        <f t="shared" si="363"/>
        <v>1-0.407882375197785i</v>
      </c>
      <c r="X434" s="18">
        <f t="shared" si="376"/>
        <v>1.0799851998971961</v>
      </c>
      <c r="Y434" s="18">
        <f t="shared" si="377"/>
        <v>-0.38728300484385902</v>
      </c>
      <c r="Z434" s="32" t="str">
        <f t="shared" si="364"/>
        <v>0.97910703869146+0.222613463439824i</v>
      </c>
      <c r="AA434" s="18">
        <f t="shared" si="378"/>
        <v>1.004095287968146</v>
      </c>
      <c r="AB434" s="18">
        <f t="shared" si="379"/>
        <v>0.22356316652573691</v>
      </c>
      <c r="AC434" s="68" t="str">
        <f t="shared" si="380"/>
        <v>0.00620175003138403-0.0481638918693081i</v>
      </c>
      <c r="AD434" s="66">
        <f t="shared" si="381"/>
        <v>-26.27415279605383</v>
      </c>
      <c r="AE434" s="63">
        <f t="shared" si="382"/>
        <v>-82.662769153530434</v>
      </c>
      <c r="AF434" s="51" t="e">
        <f t="shared" si="383"/>
        <v>#NUM!</v>
      </c>
      <c r="AG434" s="51" t="str">
        <f t="shared" si="365"/>
        <v>1-389.227111284166i</v>
      </c>
      <c r="AH434" s="51">
        <f t="shared" si="384"/>
        <v>389.22839587909897</v>
      </c>
      <c r="AI434" s="51">
        <f t="shared" si="385"/>
        <v>-1.5682271383422817</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-0.000133283554228113</v>
      </c>
      <c r="AT434" s="32" t="str">
        <f t="shared" si="369"/>
        <v>0.0554908118320792i</v>
      </c>
      <c r="AU434" s="32">
        <f t="shared" si="393"/>
        <v>5.5490811832079198E-2</v>
      </c>
      <c r="AV434" s="32">
        <f t="shared" si="394"/>
        <v>1.5707963267948966</v>
      </c>
      <c r="AW434" s="32" t="str">
        <f t="shared" si="370"/>
        <v>1+9.70215718145061i</v>
      </c>
      <c r="AX434" s="32">
        <f t="shared" si="395"/>
        <v>9.7535559655734598</v>
      </c>
      <c r="AY434" s="32">
        <f t="shared" si="396"/>
        <v>1.4680891400667782</v>
      </c>
      <c r="AZ434" s="32" t="str">
        <f t="shared" si="371"/>
        <v>1+144.585805801618i</v>
      </c>
      <c r="BA434" s="32">
        <f t="shared" si="397"/>
        <v>144.58926391438331</v>
      </c>
      <c r="BB434" s="32">
        <f t="shared" si="398"/>
        <v>1.5638801288333684</v>
      </c>
      <c r="BC434" s="60" t="str">
        <f t="shared" si="399"/>
        <v>-0.00340556231491228+0.0354432039933386i</v>
      </c>
      <c r="BD434" s="51">
        <f t="shared" si="400"/>
        <v>-28.969428933739486</v>
      </c>
      <c r="BE434" s="63">
        <f t="shared" si="401"/>
        <v>95.488419371710691</v>
      </c>
      <c r="BF434" s="60" t="str">
        <f t="shared" si="402"/>
        <v>0.0016859621984436+0.000383835026567664i</v>
      </c>
      <c r="BG434" s="66">
        <f t="shared" si="403"/>
        <v>-55.243581729793327</v>
      </c>
      <c r="BH434" s="63">
        <f t="shared" si="404"/>
        <v>12.825650218180289</v>
      </c>
      <c r="BI434" s="60" t="e">
        <f t="shared" ref="BI434:BI497" si="409">IMPRODUCT(AP434,BC434)</f>
        <v>#NUM!</v>
      </c>
      <c r="BJ434" s="66" t="e">
        <f t="shared" si="405"/>
        <v>#NUM!</v>
      </c>
      <c r="BK434" s="63" t="e">
        <f t="shared" ref="BK434:BK497" si="410">(180/PI())*IMARGUMENT(BI434)</f>
        <v>#NUM!</v>
      </c>
      <c r="BL434" s="51">
        <f t="shared" si="406"/>
        <v>-55.243581729793327</v>
      </c>
      <c r="BM434" s="63">
        <f t="shared" si="407"/>
        <v>12.825650218180289</v>
      </c>
    </row>
    <row r="435" spans="14:65" x14ac:dyDescent="0.3">
      <c r="N435" s="11">
        <v>17</v>
      </c>
      <c r="O435" s="52">
        <f t="shared" si="408"/>
        <v>147910.83881682079</v>
      </c>
      <c r="P435" s="50" t="str">
        <f t="shared" si="360"/>
        <v>21.1560044893378</v>
      </c>
      <c r="Q435" s="18" t="str">
        <f t="shared" si="361"/>
        <v>1+647.729630672986i</v>
      </c>
      <c r="R435" s="18">
        <f t="shared" si="372"/>
        <v>647.73040259954041</v>
      </c>
      <c r="S435" s="18">
        <f t="shared" si="373"/>
        <v>1.5692524739925058</v>
      </c>
      <c r="T435" s="18" t="str">
        <f t="shared" si="362"/>
        <v>1+0.929351209226456i</v>
      </c>
      <c r="U435" s="18">
        <f t="shared" si="374"/>
        <v>1.3651716632316524</v>
      </c>
      <c r="V435" s="18">
        <f t="shared" si="375"/>
        <v>0.74879661628008987</v>
      </c>
      <c r="W435" s="32" t="str">
        <f t="shared" si="363"/>
        <v>1-0.417383176214722i</v>
      </c>
      <c r="X435" s="18">
        <f t="shared" si="376"/>
        <v>1.0836091157733445</v>
      </c>
      <c r="Y435" s="18">
        <f t="shared" si="377"/>
        <v>-0.39540148137023179</v>
      </c>
      <c r="Z435" s="32" t="str">
        <f t="shared" si="364"/>
        <v>0.978122383760505+0.22779879712532i</v>
      </c>
      <c r="AA435" s="18">
        <f t="shared" si="378"/>
        <v>1.004298605786683</v>
      </c>
      <c r="AB435" s="18">
        <f t="shared" si="379"/>
        <v>0.2288152074970449</v>
      </c>
      <c r="AC435" s="68" t="str">
        <f t="shared" si="380"/>
        <v>0.0060517557207325-0.0477279763077764i</v>
      </c>
      <c r="AD435" s="66">
        <f t="shared" si="381"/>
        <v>-26.355271528403669</v>
      </c>
      <c r="AE435" s="63">
        <f t="shared" si="382"/>
        <v>-82.773639697433154</v>
      </c>
      <c r="AF435" s="51" t="e">
        <f t="shared" si="383"/>
        <v>#NUM!</v>
      </c>
      <c r="AG435" s="51" t="str">
        <f t="shared" si="365"/>
        <v>1-398.293375382767i</v>
      </c>
      <c r="AH435" s="51">
        <f t="shared" si="384"/>
        <v>398.29463073684258</v>
      </c>
      <c r="AI435" s="51">
        <f t="shared" si="385"/>
        <v>-1.5682856199627233</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-0.000133283554228113</v>
      </c>
      <c r="AT435" s="32" t="str">
        <f t="shared" si="369"/>
        <v>0.0567833588837365i</v>
      </c>
      <c r="AU435" s="32">
        <f t="shared" si="393"/>
        <v>5.67833588837365E-2</v>
      </c>
      <c r="AV435" s="32">
        <f t="shared" si="394"/>
        <v>1.5707963267948966</v>
      </c>
      <c r="AW435" s="32" t="str">
        <f t="shared" si="370"/>
        <v>1+9.92814945378478i</v>
      </c>
      <c r="AX435" s="32">
        <f t="shared" si="395"/>
        <v>9.9783842167300314</v>
      </c>
      <c r="AY435" s="32">
        <f t="shared" si="396"/>
        <v>1.4704111858404205</v>
      </c>
      <c r="AZ435" s="32" t="str">
        <f t="shared" si="371"/>
        <v>1+147.953641860061i</v>
      </c>
      <c r="BA435" s="32">
        <f t="shared" si="397"/>
        <v>147.95702125838838</v>
      </c>
      <c r="BB435" s="32">
        <f t="shared" si="398"/>
        <v>1.5640375558691721</v>
      </c>
      <c r="BC435" s="60" t="str">
        <f t="shared" si="399"/>
        <v>-0.00325382616539399+0.0346517015994312i</v>
      </c>
      <c r="BD435" s="51">
        <f t="shared" si="400"/>
        <v>-29.167383125662035</v>
      </c>
      <c r="BE435" s="63">
        <f t="shared" si="401"/>
        <v>95.364395853777609</v>
      </c>
      <c r="BF435" s="60" t="str">
        <f t="shared" si="402"/>
        <v>0.0016341642318511+0.000365002171519021i</v>
      </c>
      <c r="BG435" s="66">
        <f t="shared" si="403"/>
        <v>-55.522654654065697</v>
      </c>
      <c r="BH435" s="63">
        <f t="shared" si="404"/>
        <v>12.590756156344456</v>
      </c>
      <c r="BI435" s="60" t="e">
        <f t="shared" si="409"/>
        <v>#NUM!</v>
      </c>
      <c r="BJ435" s="66" t="e">
        <f t="shared" si="405"/>
        <v>#NUM!</v>
      </c>
      <c r="BK435" s="63" t="e">
        <f t="shared" si="410"/>
        <v>#NUM!</v>
      </c>
      <c r="BL435" s="51">
        <f t="shared" si="406"/>
        <v>-55.522654654065697</v>
      </c>
      <c r="BM435" s="63">
        <f t="shared" si="407"/>
        <v>12.590756156344456</v>
      </c>
    </row>
    <row r="436" spans="14:65" x14ac:dyDescent="0.3">
      <c r="N436" s="11">
        <v>18</v>
      </c>
      <c r="O436" s="52">
        <f t="shared" si="408"/>
        <v>151356.12484362084</v>
      </c>
      <c r="P436" s="50" t="str">
        <f t="shared" si="360"/>
        <v>21.1560044893378</v>
      </c>
      <c r="Q436" s="18" t="str">
        <f t="shared" si="361"/>
        <v>1+662.817191960267i</v>
      </c>
      <c r="R436" s="18">
        <f t="shared" si="372"/>
        <v>662.8179463156481</v>
      </c>
      <c r="S436" s="18">
        <f t="shared" si="373"/>
        <v>1.5692876163187748</v>
      </c>
      <c r="T436" s="18" t="str">
        <f t="shared" si="362"/>
        <v>1+0.950998579769078i</v>
      </c>
      <c r="U436" s="18">
        <f t="shared" si="374"/>
        <v>1.379999383595081</v>
      </c>
      <c r="V436" s="18">
        <f t="shared" si="375"/>
        <v>0.76028737090733967</v>
      </c>
      <c r="W436" s="32" t="str">
        <f t="shared" si="363"/>
        <v>1-0.427105279316409i</v>
      </c>
      <c r="X436" s="18">
        <f t="shared" si="376"/>
        <v>1.087390877109031</v>
      </c>
      <c r="Y436" s="18">
        <f t="shared" si="377"/>
        <v>-0.40365248570390216</v>
      </c>
      <c r="Z436" s="32" t="str">
        <f t="shared" si="364"/>
        <v>0.977091323472322+0.233104912748325i</v>
      </c>
      <c r="AA436" s="18">
        <f t="shared" si="378"/>
        <v>1.0045124960657772</v>
      </c>
      <c r="AB436" s="18">
        <f t="shared" si="379"/>
        <v>0.23419265286991289</v>
      </c>
      <c r="AC436" s="68" t="str">
        <f t="shared" si="380"/>
        <v>0.00589502726906846-0.0473155434772849i</v>
      </c>
      <c r="AD436" s="66">
        <f t="shared" si="381"/>
        <v>-26.433027489681194</v>
      </c>
      <c r="AE436" s="63">
        <f t="shared" si="382"/>
        <v>-82.898134110339797</v>
      </c>
      <c r="AF436" s="51" t="e">
        <f t="shared" si="383"/>
        <v>#NUM!</v>
      </c>
      <c r="AG436" s="51" t="str">
        <f t="shared" si="365"/>
        <v>1-407.570819901034i</v>
      </c>
      <c r="AH436" s="51">
        <f t="shared" si="384"/>
        <v>407.57204667984905</v>
      </c>
      <c r="AI436" s="51">
        <f t="shared" si="385"/>
        <v>-1.5683427703955555</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-0.000133283554228113</v>
      </c>
      <c r="AT436" s="32" t="str">
        <f t="shared" si="369"/>
        <v>0.0581060132238906i</v>
      </c>
      <c r="AU436" s="32">
        <f t="shared" si="393"/>
        <v>5.8106013223890599E-2</v>
      </c>
      <c r="AV436" s="32">
        <f t="shared" si="394"/>
        <v>1.5707963267948966</v>
      </c>
      <c r="AW436" s="32" t="str">
        <f t="shared" si="370"/>
        <v>1+10.159405762374i</v>
      </c>
      <c r="AX436" s="32">
        <f t="shared" si="395"/>
        <v>10.20850260540487</v>
      </c>
      <c r="AY436" s="32">
        <f t="shared" si="396"/>
        <v>1.4726814254447853</v>
      </c>
      <c r="AZ436" s="32" t="str">
        <f t="shared" si="371"/>
        <v>1+151.399924897817i</v>
      </c>
      <c r="BA436" s="32">
        <f t="shared" si="397"/>
        <v>151.40322737334441</v>
      </c>
      <c r="BB436" s="32">
        <f t="shared" si="398"/>
        <v>1.5641913997518644</v>
      </c>
      <c r="BC436" s="60" t="str">
        <f t="shared" si="399"/>
        <v>-0.003108785116501+0.0338772091012118i</v>
      </c>
      <c r="BD436" s="51">
        <f t="shared" si="400"/>
        <v>-29.365428485852789</v>
      </c>
      <c r="BE436" s="63">
        <f t="shared" si="401"/>
        <v>95.243135311146247</v>
      </c>
      <c r="BF436" s="60" t="str">
        <f t="shared" si="402"/>
        <v>0.00158459218708201+0.000346800928792917i</v>
      </c>
      <c r="BG436" s="66">
        <f t="shared" si="403"/>
        <v>-55.798455975533983</v>
      </c>
      <c r="BH436" s="63">
        <f t="shared" si="404"/>
        <v>12.345001200806458</v>
      </c>
      <c r="BI436" s="60" t="e">
        <f t="shared" si="409"/>
        <v>#NUM!</v>
      </c>
      <c r="BJ436" s="66" t="e">
        <f t="shared" si="405"/>
        <v>#NUM!</v>
      </c>
      <c r="BK436" s="63" t="e">
        <f t="shared" si="410"/>
        <v>#NUM!</v>
      </c>
      <c r="BL436" s="51">
        <f t="shared" si="406"/>
        <v>-55.798455975533983</v>
      </c>
      <c r="BM436" s="63">
        <f t="shared" si="407"/>
        <v>12.345001200806458</v>
      </c>
    </row>
    <row r="437" spans="14:65" x14ac:dyDescent="0.3">
      <c r="N437" s="11">
        <v>19</v>
      </c>
      <c r="O437" s="52">
        <f t="shared" si="408"/>
        <v>154881.66189124843</v>
      </c>
      <c r="P437" s="50" t="str">
        <f t="shared" si="360"/>
        <v>21.1560044893378</v>
      </c>
      <c r="Q437" s="18" t="str">
        <f t="shared" si="361"/>
        <v>1+678.25618769615i</v>
      </c>
      <c r="R437" s="18">
        <f t="shared" si="372"/>
        <v>678.2569248803253</v>
      </c>
      <c r="S437" s="18">
        <f t="shared" si="373"/>
        <v>1.5693219587116367</v>
      </c>
      <c r="T437" s="18" t="str">
        <f t="shared" si="362"/>
        <v>1+0.973150182346649i</v>
      </c>
      <c r="U437" s="18">
        <f t="shared" si="374"/>
        <v>1.3953570429826612</v>
      </c>
      <c r="V437" s="18">
        <f t="shared" si="375"/>
        <v>0.7717914137192905</v>
      </c>
      <c r="W437" s="32" t="str">
        <f t="shared" si="363"/>
        <v>1-0.437053839290596i</v>
      </c>
      <c r="X437" s="18">
        <f t="shared" si="376"/>
        <v>1.091336821718506</v>
      </c>
      <c r="Y437" s="18">
        <f t="shared" si="377"/>
        <v>-0.41203589781962047</v>
      </c>
      <c r="Z437" s="32" t="str">
        <f t="shared" si="364"/>
        <v>0.976011670809805+0.238534623681578i</v>
      </c>
      <c r="AA437" s="18">
        <f t="shared" si="378"/>
        <v>1.0047375519268</v>
      </c>
      <c r="AB437" s="18">
        <f t="shared" si="379"/>
        <v>0.23969862848255793</v>
      </c>
      <c r="AC437" s="68" t="str">
        <f t="shared" si="380"/>
        <v>0.00573124953286018-0.046926242379721i</v>
      </c>
      <c r="AD437" s="66">
        <f t="shared" si="381"/>
        <v>-26.507381258582864</v>
      </c>
      <c r="AE437" s="63">
        <f t="shared" si="382"/>
        <v>-83.036771980902657</v>
      </c>
      <c r="AF437" s="51" t="e">
        <f t="shared" si="383"/>
        <v>#NUM!</v>
      </c>
      <c r="AG437" s="51" t="str">
        <f t="shared" si="365"/>
        <v>1-417.06436386285i</v>
      </c>
      <c r="AH437" s="51">
        <f t="shared" si="384"/>
        <v>417.06556271685116</v>
      </c>
      <c r="AI437" s="51">
        <f t="shared" si="385"/>
        <v>-1.5683986199412001</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-0.000133283554228113</v>
      </c>
      <c r="AT437" s="32" t="str">
        <f t="shared" si="369"/>
        <v>0.0594594761413802i</v>
      </c>
      <c r="AU437" s="32">
        <f t="shared" si="393"/>
        <v>5.9459476141380203E-2</v>
      </c>
      <c r="AV437" s="32">
        <f t="shared" si="394"/>
        <v>1.5707963267948966</v>
      </c>
      <c r="AW437" s="32" t="str">
        <f t="shared" si="370"/>
        <v>1+10.396048722374i</v>
      </c>
      <c r="AX437" s="32">
        <f t="shared" si="395"/>
        <v>10.444033178708985</v>
      </c>
      <c r="AY437" s="32">
        <f t="shared" si="396"/>
        <v>1.4749009689332977</v>
      </c>
      <c r="AZ437" s="32" t="str">
        <f t="shared" si="371"/>
        <v>1+154.926482179769i</v>
      </c>
      <c r="BA437" s="32">
        <f t="shared" si="397"/>
        <v>154.92970948335986</v>
      </c>
      <c r="BB437" s="32">
        <f t="shared" si="398"/>
        <v>1.564341742022362</v>
      </c>
      <c r="BC437" s="60" t="str">
        <f t="shared" si="399"/>
        <v>-0.00297014947673144+0.033119405092317i</v>
      </c>
      <c r="BD437" s="51">
        <f t="shared" si="400"/>
        <v>-29.563560990231114</v>
      </c>
      <c r="BE437" s="63">
        <f t="shared" si="401"/>
        <v>95.124578814390659</v>
      </c>
      <c r="BF437" s="60" t="str">
        <f t="shared" si="402"/>
        <v>0.00153714656303319+0.00032919352921305i</v>
      </c>
      <c r="BG437" s="66">
        <f t="shared" si="403"/>
        <v>-56.070942248813992</v>
      </c>
      <c r="BH437" s="63">
        <f t="shared" si="404"/>
        <v>12.087806833488015</v>
      </c>
      <c r="BI437" s="60" t="e">
        <f t="shared" si="409"/>
        <v>#NUM!</v>
      </c>
      <c r="BJ437" s="66" t="e">
        <f t="shared" si="405"/>
        <v>#NUM!</v>
      </c>
      <c r="BK437" s="63" t="e">
        <f t="shared" si="410"/>
        <v>#NUM!</v>
      </c>
      <c r="BL437" s="51">
        <f t="shared" si="406"/>
        <v>-56.070942248813992</v>
      </c>
      <c r="BM437" s="63">
        <f t="shared" si="407"/>
        <v>12.087806833488015</v>
      </c>
    </row>
    <row r="438" spans="14:65" x14ac:dyDescent="0.3">
      <c r="N438" s="11">
        <v>20</v>
      </c>
      <c r="O438" s="52">
        <f t="shared" si="408"/>
        <v>158489.31924611164</v>
      </c>
      <c r="P438" s="50" t="str">
        <f t="shared" si="360"/>
        <v>21.1560044893378</v>
      </c>
      <c r="Q438" s="18" t="str">
        <f t="shared" si="361"/>
        <v>1+694.05480384053i</v>
      </c>
      <c r="R438" s="18">
        <f t="shared" si="372"/>
        <v>694.05552424436223</v>
      </c>
      <c r="S438" s="18">
        <f t="shared" si="373"/>
        <v>1.5693555193795583</v>
      </c>
      <c r="T438" s="18" t="str">
        <f t="shared" si="362"/>
        <v>1+0.995817762032063i</v>
      </c>
      <c r="U438" s="18">
        <f t="shared" si="374"/>
        <v>1.4112593720427675</v>
      </c>
      <c r="V438" s="18">
        <f t="shared" si="375"/>
        <v>0.78330266553890648</v>
      </c>
      <c r="W438" s="32" t="str">
        <f t="shared" si="363"/>
        <v>1-0.447234130995465i</v>
      </c>
      <c r="X438" s="18">
        <f t="shared" si="376"/>
        <v>1.0954534987516671</v>
      </c>
      <c r="Y438" s="18">
        <f t="shared" si="377"/>
        <v>-0.42055144806591971</v>
      </c>
      <c r="Z438" s="32" t="str">
        <f t="shared" si="364"/>
        <v>0.974881135684904+0.244090808829685i</v>
      </c>
      <c r="AA438" s="18">
        <f t="shared" si="378"/>
        <v>1.0049744034896699</v>
      </c>
      <c r="AB438" s="18">
        <f t="shared" si="379"/>
        <v>0.24533634583746364</v>
      </c>
      <c r="AC438" s="68" t="str">
        <f t="shared" si="380"/>
        <v>0.00556009425212845-0.0465597246074328i</v>
      </c>
      <c r="AD438" s="66">
        <f t="shared" si="381"/>
        <v>-26.578295588700254</v>
      </c>
      <c r="AE438" s="63">
        <f t="shared" si="382"/>
        <v>-83.190071219224123</v>
      </c>
      <c r="AF438" s="51" t="e">
        <f t="shared" si="383"/>
        <v>#NUM!</v>
      </c>
      <c r="AG438" s="51" t="str">
        <f t="shared" si="365"/>
        <v>1-426.779040870885i</v>
      </c>
      <c r="AH438" s="51">
        <f t="shared" si="384"/>
        <v>426.78021243571328</v>
      </c>
      <c r="AI438" s="51">
        <f t="shared" si="385"/>
        <v>-1.5684531982104308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-0.000133283554228113</v>
      </c>
      <c r="AT438" s="32" t="str">
        <f t="shared" si="369"/>
        <v>0.0608444652601591i</v>
      </c>
      <c r="AU438" s="32">
        <f t="shared" si="393"/>
        <v>6.0844465260159103E-2</v>
      </c>
      <c r="AV438" s="32">
        <f t="shared" si="394"/>
        <v>1.5707963267948966</v>
      </c>
      <c r="AW438" s="32" t="str">
        <f t="shared" si="370"/>
        <v>1+10.6382038050146i</v>
      </c>
      <c r="AX438" s="32">
        <f t="shared" si="395"/>
        <v>10.685100851046148</v>
      </c>
      <c r="AY438" s="32">
        <f t="shared" si="396"/>
        <v>1.4770709056147999</v>
      </c>
      <c r="AZ438" s="32" t="str">
        <f t="shared" si="371"/>
        <v>1+158.535183533266i</v>
      </c>
      <c r="BA438" s="32">
        <f t="shared" si="397"/>
        <v>158.53833737593672</v>
      </c>
      <c r="BB438" s="32">
        <f t="shared" si="398"/>
        <v>1.5644886623669256</v>
      </c>
      <c r="BC438" s="60" t="str">
        <f t="shared" si="399"/>
        <v>-0.00283764159004689+0.0323779712436126i</v>
      </c>
      <c r="BD438" s="51">
        <f t="shared" si="400"/>
        <v>-29.761776788959942</v>
      </c>
      <c r="BE438" s="63">
        <f t="shared" si="401"/>
        <v>95.008668516398075</v>
      </c>
      <c r="BF438" s="60" t="str">
        <f t="shared" si="402"/>
        <v>0.00149173186975556+0.000312144382774372i</v>
      </c>
      <c r="BG438" s="66">
        <f t="shared" si="403"/>
        <v>-56.340072377660199</v>
      </c>
      <c r="BH438" s="63">
        <f t="shared" si="404"/>
        <v>11.818597297173966</v>
      </c>
      <c r="BI438" s="60" t="e">
        <f t="shared" si="409"/>
        <v>#NUM!</v>
      </c>
      <c r="BJ438" s="66" t="e">
        <f t="shared" si="405"/>
        <v>#NUM!</v>
      </c>
      <c r="BK438" s="63" t="e">
        <f t="shared" si="410"/>
        <v>#NUM!</v>
      </c>
      <c r="BL438" s="51">
        <f t="shared" si="406"/>
        <v>-56.340072377660199</v>
      </c>
      <c r="BM438" s="63">
        <f t="shared" si="407"/>
        <v>11.818597297173966</v>
      </c>
    </row>
    <row r="439" spans="14:65" x14ac:dyDescent="0.3">
      <c r="N439" s="11">
        <v>21</v>
      </c>
      <c r="O439" s="52">
        <f t="shared" si="408"/>
        <v>162181.00973589328</v>
      </c>
      <c r="P439" s="50" t="str">
        <f t="shared" si="360"/>
        <v>21.1560044893378</v>
      </c>
      <c r="Q439" s="18" t="str">
        <f t="shared" si="361"/>
        <v>1+710.221417028805i</v>
      </c>
      <c r="R439" s="18">
        <f t="shared" si="372"/>
        <v>710.22212103426057</v>
      </c>
      <c r="S439" s="18">
        <f t="shared" si="373"/>
        <v>1.5693883161165478</v>
      </c>
      <c r="T439" s="18" t="str">
        <f t="shared" si="362"/>
        <v>1+1.01901333747611i</v>
      </c>
      <c r="U439" s="18">
        <f t="shared" si="374"/>
        <v>1.4277213250330751</v>
      </c>
      <c r="V439" s="18">
        <f t="shared" si="375"/>
        <v>0.79481502811175009</v>
      </c>
      <c r="W439" s="32" t="str">
        <f t="shared" si="363"/>
        <v>1-0.457651552156431i</v>
      </c>
      <c r="X439" s="18">
        <f t="shared" si="376"/>
        <v>1.0997476725100128</v>
      </c>
      <c r="Y439" s="18">
        <f t="shared" si="377"/>
        <v>-0.42919871044077401</v>
      </c>
      <c r="Z439" s="32" t="str">
        <f t="shared" si="364"/>
        <v>0.973697320081046+0.249776414155557i</v>
      </c>
      <c r="AA439" s="18">
        <f t="shared" si="378"/>
        <v>1.00522372047292</v>
      </c>
      <c r="AB439" s="18">
        <f t="shared" si="379"/>
        <v>0.25110910479723175</v>
      </c>
      <c r="AC439" s="68" t="str">
        <f t="shared" si="380"/>
        <v>0.00538121955513114-0.0462156434470697i</v>
      </c>
      <c r="AD439" s="66">
        <f t="shared" si="381"/>
        <v>-26.645735495628614</v>
      </c>
      <c r="AE439" s="63">
        <f t="shared" si="382"/>
        <v>-83.358546909149609</v>
      </c>
      <c r="AF439" s="51" t="e">
        <f t="shared" si="383"/>
        <v>#NUM!</v>
      </c>
      <c r="AG439" s="51" t="str">
        <f t="shared" si="365"/>
        <v>1-436.720001775476i</v>
      </c>
      <c r="AH439" s="51">
        <f t="shared" si="384"/>
        <v>436.72114667230369</v>
      </c>
      <c r="AI439" s="51">
        <f t="shared" si="385"/>
        <v>-1.5685065341400672</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-0.000133283554228113</v>
      </c>
      <c r="AT439" s="32" t="str">
        <f t="shared" si="369"/>
        <v>0.0622617149197906i</v>
      </c>
      <c r="AU439" s="32">
        <f t="shared" si="393"/>
        <v>6.2261714919790601E-2</v>
      </c>
      <c r="AV439" s="32">
        <f t="shared" si="394"/>
        <v>1.5707963267948966</v>
      </c>
      <c r="AW439" s="32" t="str">
        <f t="shared" si="370"/>
        <v>1+10.8859994041259i</v>
      </c>
      <c r="AX439" s="32">
        <f t="shared" si="395"/>
        <v>10.931833470494757</v>
      </c>
      <c r="AY439" s="32">
        <f t="shared" si="396"/>
        <v>1.4791923042340611</v>
      </c>
      <c r="AZ439" s="32" t="str">
        <f t="shared" si="371"/>
        <v>1+162.227942339534i</v>
      </c>
      <c r="BA439" s="32">
        <f t="shared" si="397"/>
        <v>162.23102439336063</v>
      </c>
      <c r="BB439" s="32">
        <f t="shared" si="398"/>
        <v>1.5646322386592812</v>
      </c>
      <c r="BC439" s="60" t="str">
        <f t="shared" si="399"/>
        <v>-0.00271099537973195+0.0316525924998831i</v>
      </c>
      <c r="BD439" s="51">
        <f t="shared" si="400"/>
        <v>-29.960072199195608</v>
      </c>
      <c r="BE439" s="63">
        <f t="shared" si="401"/>
        <v>94.895347644439624</v>
      </c>
      <c r="BF439" s="60" t="str">
        <f t="shared" si="402"/>
        <v>0.00144825646779871+0.000295619945587313i</v>
      </c>
      <c r="BG439" s="66">
        <f t="shared" si="403"/>
        <v>-56.605807694824207</v>
      </c>
      <c r="BH439" s="63">
        <f t="shared" si="404"/>
        <v>11.53680073528996</v>
      </c>
      <c r="BI439" s="60" t="e">
        <f t="shared" si="409"/>
        <v>#NUM!</v>
      </c>
      <c r="BJ439" s="66" t="e">
        <f t="shared" si="405"/>
        <v>#NUM!</v>
      </c>
      <c r="BK439" s="63" t="e">
        <f t="shared" si="410"/>
        <v>#NUM!</v>
      </c>
      <c r="BL439" s="51">
        <f t="shared" si="406"/>
        <v>-56.605807694824207</v>
      </c>
      <c r="BM439" s="63">
        <f t="shared" si="407"/>
        <v>11.53680073528996</v>
      </c>
    </row>
    <row r="440" spans="14:65" x14ac:dyDescent="0.3">
      <c r="N440" s="11">
        <v>22</v>
      </c>
      <c r="O440" s="52">
        <f t="shared" si="408"/>
        <v>165958.69074375604</v>
      </c>
      <c r="P440" s="50" t="str">
        <f t="shared" si="360"/>
        <v>21.1560044893378</v>
      </c>
      <c r="Q440" s="18" t="str">
        <f t="shared" si="361"/>
        <v>1+726.764599013286i</v>
      </c>
      <c r="R440" s="18">
        <f t="shared" si="372"/>
        <v>726.76528699363621</v>
      </c>
      <c r="S440" s="18">
        <f t="shared" si="373"/>
        <v>1.5694203663115867</v>
      </c>
      <c r="T440" s="18" t="str">
        <f t="shared" si="362"/>
        <v>1+1.04274920727993i</v>
      </c>
      <c r="U440" s="18">
        <f t="shared" si="374"/>
        <v>1.4447580798469073</v>
      </c>
      <c r="V440" s="18">
        <f t="shared" si="375"/>
        <v>0.80632240024142177</v>
      </c>
      <c r="W440" s="32" t="str">
        <f t="shared" si="363"/>
        <v>1-0.468311626228087i</v>
      </c>
      <c r="X440" s="18">
        <f t="shared" si="376"/>
        <v>1.104226326103664</v>
      </c>
      <c r="Y440" s="18">
        <f t="shared" si="377"/>
        <v>-0.43797709599784734</v>
      </c>
      <c r="Z440" s="32" t="str">
        <f t="shared" si="364"/>
        <v>0.972457712966618+0.255594454242398i</v>
      </c>
      <c r="AA440" s="18">
        <f t="shared" si="378"/>
        <v>1.0054862149963741</v>
      </c>
      <c r="AB440" s="18">
        <f t="shared" si="379"/>
        <v>0.25702029636665957</v>
      </c>
      <c r="AC440" s="68" t="str">
        <f t="shared" si="380"/>
        <v>0.00519426945690385-0.0458936529319955i</v>
      </c>
      <c r="AD440" s="66">
        <f t="shared" si="381"/>
        <v>-26.709668340244413</v>
      </c>
      <c r="AE440" s="63">
        <f t="shared" si="382"/>
        <v>-83.542710165921704</v>
      </c>
      <c r="AF440" s="51" t="e">
        <f t="shared" si="383"/>
        <v>#NUM!</v>
      </c>
      <c r="AG440" s="51" t="str">
        <f t="shared" si="365"/>
        <v>1-446.892517405685i</v>
      </c>
      <c r="AH440" s="51">
        <f t="shared" si="384"/>
        <v>446.8936362415451</v>
      </c>
      <c r="AI440" s="51">
        <f t="shared" si="385"/>
        <v>-1.5685586560083107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-0.000133283554228113</v>
      </c>
      <c r="AT440" s="32" t="str">
        <f t="shared" si="369"/>
        <v>0.0637119765648036i</v>
      </c>
      <c r="AU440" s="32">
        <f t="shared" si="393"/>
        <v>6.3711976564803596E-2</v>
      </c>
      <c r="AV440" s="32">
        <f t="shared" si="394"/>
        <v>1.5707963267948966</v>
      </c>
      <c r="AW440" s="32" t="str">
        <f t="shared" si="370"/>
        <v>1+11.1395669042145i</v>
      </c>
      <c r="AX440" s="32">
        <f t="shared" si="395"/>
        <v>11.184361886735918</v>
      </c>
      <c r="AY440" s="32">
        <f t="shared" si="396"/>
        <v>1.4812662131665644</v>
      </c>
      <c r="AZ440" s="32" t="str">
        <f t="shared" si="371"/>
        <v>1+166.006716548172i</v>
      </c>
      <c r="BA440" s="32">
        <f t="shared" si="397"/>
        <v>166.00972844717603</v>
      </c>
      <c r="BB440" s="32">
        <f t="shared" si="398"/>
        <v>1.5647725470017886</v>
      </c>
      <c r="BC440" s="60" t="str">
        <f t="shared" si="399"/>
        <v>-0.00258995590559662+0.0309429572559501i</v>
      </c>
      <c r="BD440" s="51">
        <f t="shared" si="400"/>
        <v>-30.158443698113647</v>
      </c>
      <c r="BE440" s="63">
        <f t="shared" si="401"/>
        <v>94.784560491368836</v>
      </c>
      <c r="BF440" s="60" t="str">
        <f t="shared" si="402"/>
        <v>0.00140663241213898+0.000279588595221486i</v>
      </c>
      <c r="BG440" s="66">
        <f t="shared" si="403"/>
        <v>-56.868112038358035</v>
      </c>
      <c r="BH440" s="63">
        <f t="shared" si="404"/>
        <v>11.241850325447121</v>
      </c>
      <c r="BI440" s="60" t="e">
        <f t="shared" si="409"/>
        <v>#NUM!</v>
      </c>
      <c r="BJ440" s="66" t="e">
        <f t="shared" si="405"/>
        <v>#NUM!</v>
      </c>
      <c r="BK440" s="63" t="e">
        <f t="shared" si="410"/>
        <v>#NUM!</v>
      </c>
      <c r="BL440" s="51">
        <f t="shared" si="406"/>
        <v>-56.868112038358035</v>
      </c>
      <c r="BM440" s="63">
        <f t="shared" si="407"/>
        <v>11.241850325447121</v>
      </c>
    </row>
    <row r="441" spans="14:65" x14ac:dyDescent="0.3">
      <c r="N441" s="11">
        <v>23</v>
      </c>
      <c r="O441" s="52">
        <f t="shared" si="408"/>
        <v>169824.36524617471</v>
      </c>
      <c r="P441" s="50" t="str">
        <f t="shared" si="360"/>
        <v>21.1560044893378</v>
      </c>
      <c r="Q441" s="18" t="str">
        <f t="shared" si="361"/>
        <v>1+743.693121208025i</v>
      </c>
      <c r="R441" s="18">
        <f t="shared" si="372"/>
        <v>743.69379352804481</v>
      </c>
      <c r="S441" s="18">
        <f t="shared" si="373"/>
        <v>1.5694516869578492</v>
      </c>
      <c r="T441" s="18" t="str">
        <f t="shared" si="362"/>
        <v>1+1.06703795651586i</v>
      </c>
      <c r="U441" s="18">
        <f t="shared" si="374"/>
        <v>1.4623850384373953</v>
      </c>
      <c r="V441" s="18">
        <f t="shared" si="375"/>
        <v>0.81781869394397333</v>
      </c>
      <c r="W441" s="32" t="str">
        <f t="shared" si="363"/>
        <v>1-0.479220005322804i</v>
      </c>
      <c r="X441" s="18">
        <f t="shared" si="376"/>
        <v>1.108896664933928</v>
      </c>
      <c r="Y441" s="18">
        <f t="shared" si="377"/>
        <v>-0.44688584642763324</v>
      </c>
      <c r="Z441" s="32" t="str">
        <f t="shared" si="364"/>
        <v>0.971159684968734+0.261548013892069i</v>
      </c>
      <c r="AA441" s="18">
        <f t="shared" si="378"/>
        <v>1.0057626446033163</v>
      </c>
      <c r="AB441" s="18">
        <f t="shared" si="379"/>
        <v>0.26307340556148923</v>
      </c>
      <c r="AC441" s="68" t="str">
        <f t="shared" si="380"/>
        <v>0.00499887335323692-0.0455934068390223i</v>
      </c>
      <c r="AD441" s="66">
        <f t="shared" si="381"/>
        <v>-26.770063908299612</v>
      </c>
      <c r="AE441" s="63">
        <f t="shared" si="382"/>
        <v>-83.743067007722885</v>
      </c>
      <c r="AF441" s="51" t="e">
        <f t="shared" si="383"/>
        <v>#NUM!</v>
      </c>
      <c r="AG441" s="51" t="str">
        <f t="shared" si="365"/>
        <v>1-457.301981363941i</v>
      </c>
      <c r="AH441" s="51">
        <f t="shared" si="384"/>
        <v>457.30307473204937</v>
      </c>
      <c r="AI441" s="51">
        <f t="shared" si="385"/>
        <v>-1.568609591449732</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-0.000133283554228113</v>
      </c>
      <c r="AT441" s="32" t="str">
        <f t="shared" si="369"/>
        <v>0.0651960191431193i</v>
      </c>
      <c r="AU441" s="32">
        <f t="shared" si="393"/>
        <v>6.5196019143119302E-2</v>
      </c>
      <c r="AV441" s="32">
        <f t="shared" si="394"/>
        <v>1.5707963267948966</v>
      </c>
      <c r="AW441" s="32" t="str">
        <f t="shared" si="370"/>
        <v>1+11.3990407501253i</v>
      </c>
      <c r="AX441" s="32">
        <f t="shared" si="395"/>
        <v>11.442820020563861</v>
      </c>
      <c r="AY441" s="32">
        <f t="shared" si="396"/>
        <v>1.4832936606261273</v>
      </c>
      <c r="AZ441" s="32" t="str">
        <f t="shared" si="371"/>
        <v>1+169.873509715281i</v>
      </c>
      <c r="BA441" s="32">
        <f t="shared" si="397"/>
        <v>169.87645305629516</v>
      </c>
      <c r="BB441" s="32">
        <f t="shared" si="398"/>
        <v>1.5649096617656779</v>
      </c>
      <c r="BC441" s="60" t="str">
        <f t="shared" si="399"/>
        <v>-0.00247427893451042+0.0302487575135827i</v>
      </c>
      <c r="BD441" s="51">
        <f t="shared" si="400"/>
        <v>-30.356887916202492</v>
      </c>
      <c r="BE441" s="63">
        <f t="shared" si="401"/>
        <v>94.676252406031153</v>
      </c>
      <c r="BF441" s="60" t="str">
        <f t="shared" si="402"/>
        <v>0.00136677530065751+0.00026402051399753i</v>
      </c>
      <c r="BG441" s="66">
        <f t="shared" si="403"/>
        <v>-57.126951824502108</v>
      </c>
      <c r="BH441" s="63">
        <f t="shared" si="404"/>
        <v>10.933185398308286</v>
      </c>
      <c r="BI441" s="60" t="e">
        <f t="shared" si="409"/>
        <v>#NUM!</v>
      </c>
      <c r="BJ441" s="66" t="e">
        <f t="shared" si="405"/>
        <v>#NUM!</v>
      </c>
      <c r="BK441" s="63" t="e">
        <f t="shared" si="410"/>
        <v>#NUM!</v>
      </c>
      <c r="BL441" s="51">
        <f t="shared" si="406"/>
        <v>-57.126951824502108</v>
      </c>
      <c r="BM441" s="63">
        <f t="shared" si="407"/>
        <v>10.933185398308286</v>
      </c>
    </row>
    <row r="442" spans="14:65" x14ac:dyDescent="0.3">
      <c r="N442" s="11">
        <v>24</v>
      </c>
      <c r="O442" s="52">
        <f t="shared" si="408"/>
        <v>173780.0828749378</v>
      </c>
      <c r="P442" s="50" t="str">
        <f t="shared" si="360"/>
        <v>21.1560044893378</v>
      </c>
      <c r="Q442" s="18" t="str">
        <f t="shared" si="361"/>
        <v>1+761.015959339576i</v>
      </c>
      <c r="R442" s="18">
        <f t="shared" si="372"/>
        <v>761.01661635573714</v>
      </c>
      <c r="S442" s="18">
        <f t="shared" si="373"/>
        <v>1.5694822946617104</v>
      </c>
      <c r="T442" s="18" t="str">
        <f t="shared" si="362"/>
        <v>1+1.09189246340026i</v>
      </c>
      <c r="U442" s="18">
        <f t="shared" si="374"/>
        <v>1.4806178276754229</v>
      </c>
      <c r="V442" s="18">
        <f t="shared" si="375"/>
        <v>0.82929785051711802</v>
      </c>
      <c r="W442" s="32" t="str">
        <f t="shared" si="363"/>
        <v>1-0.490382473207573i</v>
      </c>
      <c r="X442" s="18">
        <f t="shared" si="376"/>
        <v>1.1137661199862277</v>
      </c>
      <c r="Y442" s="18">
        <f t="shared" si="377"/>
        <v>-0.4559240278603488</v>
      </c>
      <c r="Z442" s="32" t="str">
        <f t="shared" si="364"/>
        <v>0.96980048279598+0.267640249760704i</v>
      </c>
      <c r="AA442" s="18">
        <f t="shared" si="378"/>
        <v>1.0060538155204661</v>
      </c>
      <c r="AB442" s="18">
        <f t="shared" si="379"/>
        <v>0.26927201436382348</v>
      </c>
      <c r="AC442" s="68" t="str">
        <f t="shared" si="380"/>
        <v>0.00479464551197889-0.0453145576249413i</v>
      </c>
      <c r="AD442" s="66">
        <f t="shared" si="381"/>
        <v>-26.826894486554412</v>
      </c>
      <c r="AE442" s="63">
        <f t="shared" si="382"/>
        <v>-83.960117249758142</v>
      </c>
      <c r="AF442" s="51" t="e">
        <f t="shared" si="383"/>
        <v>#NUM!</v>
      </c>
      <c r="AG442" s="51" t="str">
        <f t="shared" si="365"/>
        <v>1-467.953912885826i</v>
      </c>
      <c r="AH442" s="51">
        <f t="shared" si="384"/>
        <v>467.95498136589509</v>
      </c>
      <c r="AI442" s="51">
        <f t="shared" si="385"/>
        <v>-1.568659367469919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-0.000133283554228113</v>
      </c>
      <c r="AT442" s="32" t="str">
        <f t="shared" si="369"/>
        <v>0.0667146295137559i</v>
      </c>
      <c r="AU442" s="32">
        <f t="shared" si="393"/>
        <v>6.6714629513755896E-2</v>
      </c>
      <c r="AV442" s="32">
        <f t="shared" si="394"/>
        <v>1.5707963267948966</v>
      </c>
      <c r="AW442" s="32" t="str">
        <f t="shared" si="370"/>
        <v>1+11.664558518326i</v>
      </c>
      <c r="AX442" s="32">
        <f t="shared" si="395"/>
        <v>11.707344935016293</v>
      </c>
      <c r="AY442" s="32">
        <f t="shared" si="396"/>
        <v>1.485275654884016</v>
      </c>
      <c r="AZ442" s="32" t="str">
        <f t="shared" si="371"/>
        <v>1+173.830372065785i</v>
      </c>
      <c r="BA442" s="32">
        <f t="shared" si="397"/>
        <v>173.83324840929956</v>
      </c>
      <c r="BB442" s="32">
        <f t="shared" si="398"/>
        <v>1.5650436556303775</v>
      </c>
      <c r="BC442" s="60" t="str">
        <f t="shared" si="399"/>
        <v>-0.00236373052421202+0.029569689020497i</v>
      </c>
      <c r="BD442" s="51">
        <f t="shared" si="400"/>
        <v>-30.555401630815432</v>
      </c>
      <c r="BE442" s="63">
        <f t="shared" si="401"/>
        <v>94.570369782962885</v>
      </c>
      <c r="BF442" s="60" t="str">
        <f t="shared" si="402"/>
        <v>0.00132860412712146+0.000248887579801976i</v>
      </c>
      <c r="BG442" s="66">
        <f t="shared" si="403"/>
        <v>-57.382296117369869</v>
      </c>
      <c r="BH442" s="63">
        <f t="shared" si="404"/>
        <v>10.610252533204799</v>
      </c>
      <c r="BI442" s="60" t="e">
        <f t="shared" si="409"/>
        <v>#NUM!</v>
      </c>
      <c r="BJ442" s="66" t="e">
        <f t="shared" si="405"/>
        <v>#NUM!</v>
      </c>
      <c r="BK442" s="63" t="e">
        <f t="shared" si="410"/>
        <v>#NUM!</v>
      </c>
      <c r="BL442" s="51">
        <f t="shared" si="406"/>
        <v>-57.382296117369869</v>
      </c>
      <c r="BM442" s="63">
        <f t="shared" si="407"/>
        <v>10.610252533204799</v>
      </c>
    </row>
    <row r="443" spans="14:65" x14ac:dyDescent="0.3">
      <c r="N443" s="11">
        <v>25</v>
      </c>
      <c r="O443" s="52">
        <f t="shared" si="408"/>
        <v>177827.94100389251</v>
      </c>
      <c r="P443" s="50" t="str">
        <f t="shared" si="360"/>
        <v>21.1560044893378</v>
      </c>
      <c r="Q443" s="18" t="str">
        <f t="shared" si="361"/>
        <v>1+778.742298206007i</v>
      </c>
      <c r="R443" s="18">
        <f t="shared" si="372"/>
        <v>778.74294026666689</v>
      </c>
      <c r="S443" s="18">
        <f t="shared" si="373"/>
        <v>1.5695122056515505</v>
      </c>
      <c r="T443" s="18" t="str">
        <f t="shared" si="362"/>
        <v>1+1.11732590612166i</v>
      </c>
      <c r="U443" s="18">
        <f t="shared" si="374"/>
        <v>1.4994723006746704</v>
      </c>
      <c r="V443" s="18">
        <f t="shared" si="375"/>
        <v>0.84075385642093015</v>
      </c>
      <c r="W443" s="32" t="str">
        <f t="shared" si="363"/>
        <v>1-0.501804948370616i</v>
      </c>
      <c r="X443" s="18">
        <f t="shared" si="376"/>
        <v>1.1188423509186791</v>
      </c>
      <c r="Y443" s="18">
        <f t="shared" si="377"/>
        <v>-0.46509052493967917</v>
      </c>
      <c r="Z443" s="32" t="str">
        <f t="shared" si="364"/>
        <v>0.968377223398316+0.273874392032401i</v>
      </c>
      <c r="AA443" s="18">
        <f t="shared" si="378"/>
        <v>1.0063605861756257</v>
      </c>
      <c r="AB443" s="18">
        <f t="shared" si="379"/>
        <v>0.27561980476354453</v>
      </c>
      <c r="AC443" s="68" t="str">
        <f t="shared" si="380"/>
        <v>0.00458118456389903-0.0450567552980563i</v>
      </c>
      <c r="AD443" s="66">
        <f t="shared" si="381"/>
        <v>-26.880134935738624</v>
      </c>
      <c r="AE443" s="63">
        <f t="shared" si="382"/>
        <v>-84.194353429573923</v>
      </c>
      <c r="AF443" s="51" t="e">
        <f t="shared" si="383"/>
        <v>#NUM!</v>
      </c>
      <c r="AG443" s="51" t="str">
        <f t="shared" si="365"/>
        <v>1-478.853959766426i</v>
      </c>
      <c r="AH443" s="51">
        <f t="shared" si="384"/>
        <v>478.855003924973</v>
      </c>
      <c r="AI443" s="51">
        <f t="shared" si="385"/>
        <v>-1.568708010459789</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-0.000133283554228113</v>
      </c>
      <c r="AT443" s="32" t="str">
        <f t="shared" si="369"/>
        <v>0.0682686128640332i</v>
      </c>
      <c r="AU443" s="32">
        <f t="shared" si="393"/>
        <v>6.8268612864033199E-2</v>
      </c>
      <c r="AV443" s="32">
        <f t="shared" si="394"/>
        <v>1.5707963267948966</v>
      </c>
      <c r="AW443" s="32" t="str">
        <f t="shared" si="370"/>
        <v>1+11.9362609898518i</v>
      </c>
      <c r="AX443" s="32">
        <f t="shared" si="395"/>
        <v>11.97807690816259</v>
      </c>
      <c r="AY443" s="32">
        <f t="shared" si="396"/>
        <v>1.4872131844982968</v>
      </c>
      <c r="AZ443" s="32" t="str">
        <f t="shared" si="371"/>
        <v>1+177.879401580474i</v>
      </c>
      <c r="BA443" s="32">
        <f t="shared" si="397"/>
        <v>177.88221245146332</v>
      </c>
      <c r="BB443" s="32">
        <f t="shared" si="398"/>
        <v>1.5651745996219506</v>
      </c>
      <c r="BC443" s="60" t="str">
        <f t="shared" si="399"/>
        <v>-0.00225808662029597+0.028905451392655i</v>
      </c>
      <c r="BD443" s="51">
        <f t="shared" si="400"/>
        <v>-30.753981759975701</v>
      </c>
      <c r="BE443" s="63">
        <f t="shared" si="401"/>
        <v>94.46686005145277</v>
      </c>
      <c r="BF443" s="60" t="str">
        <f t="shared" si="402"/>
        <v>0.00129204113860987+0.000234163264025055i</v>
      </c>
      <c r="BG443" s="66">
        <f t="shared" si="403"/>
        <v>-57.634116695714326</v>
      </c>
      <c r="BH443" s="63">
        <f t="shared" si="404"/>
        <v>10.272506621878831</v>
      </c>
      <c r="BI443" s="60" t="e">
        <f t="shared" si="409"/>
        <v>#NUM!</v>
      </c>
      <c r="BJ443" s="66" t="e">
        <f t="shared" si="405"/>
        <v>#NUM!</v>
      </c>
      <c r="BK443" s="63" t="e">
        <f t="shared" si="410"/>
        <v>#NUM!</v>
      </c>
      <c r="BL443" s="51">
        <f t="shared" si="406"/>
        <v>-57.634116695714326</v>
      </c>
      <c r="BM443" s="63">
        <f t="shared" si="407"/>
        <v>10.272506621878831</v>
      </c>
    </row>
    <row r="444" spans="14:65" x14ac:dyDescent="0.3">
      <c r="N444" s="11">
        <v>26</v>
      </c>
      <c r="O444" s="52">
        <f t="shared" si="408"/>
        <v>181970.08586099857</v>
      </c>
      <c r="P444" s="50" t="str">
        <f t="shared" si="360"/>
        <v>21.1560044893378</v>
      </c>
      <c r="Q444" s="18" t="str">
        <f t="shared" si="361"/>
        <v>1+796.88153654681i</v>
      </c>
      <c r="R444" s="18">
        <f t="shared" si="372"/>
        <v>796.88216399239661</v>
      </c>
      <c r="S444" s="18">
        <f t="shared" si="373"/>
        <v>1.5695414357863582</v>
      </c>
      <c r="T444" s="18" t="str">
        <f t="shared" si="362"/>
        <v>1+1.14335176982803i</v>
      </c>
      <c r="U444" s="18">
        <f t="shared" si="374"/>
        <v>1.5189645386146737</v>
      </c>
      <c r="V444" s="18">
        <f t="shared" si="375"/>
        <v>0.85218075886915512</v>
      </c>
      <c r="W444" s="32" t="str">
        <f t="shared" si="363"/>
        <v>1-0.513493487159453i</v>
      </c>
      <c r="X444" s="18">
        <f t="shared" si="376"/>
        <v>1.1241332489323388</v>
      </c>
      <c r="Y444" s="18">
        <f t="shared" si="377"/>
        <v>-0.47438403521860267</v>
      </c>
      <c r="Z444" s="32" t="str">
        <f t="shared" si="364"/>
        <v>0.966886887851741+0.280253746131906i</v>
      </c>
      <c r="AA444" s="18">
        <f t="shared" si="378"/>
        <v>1.00668387099456</v>
      </c>
      <c r="AB444" s="18">
        <f t="shared" si="379"/>
        <v>0.28212056188446388</v>
      </c>
      <c r="AC444" s="68" t="str">
        <f t="shared" si="380"/>
        <v>0.00435807299573616-0.0448196462196207i</v>
      </c>
      <c r="AD444" s="66">
        <f t="shared" si="381"/>
        <v>-26.929762760700207</v>
      </c>
      <c r="AE444" s="63">
        <f t="shared" si="382"/>
        <v>-84.44625977225401</v>
      </c>
      <c r="AF444" s="51" t="e">
        <f t="shared" si="383"/>
        <v>#NUM!</v>
      </c>
      <c r="AG444" s="51" t="str">
        <f t="shared" si="365"/>
        <v>1-490.007901354871i</v>
      </c>
      <c r="AH444" s="51">
        <f t="shared" si="384"/>
        <v>490.0089217455178</v>
      </c>
      <c r="AI444" s="51">
        <f t="shared" si="385"/>
        <v>-1.5687555462095779</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-0.000133283554228113</v>
      </c>
      <c r="AT444" s="32" t="str">
        <f t="shared" si="369"/>
        <v>0.0698587931364929i</v>
      </c>
      <c r="AU444" s="32">
        <f t="shared" si="393"/>
        <v>6.9858793136492903E-2</v>
      </c>
      <c r="AV444" s="32">
        <f t="shared" si="394"/>
        <v>1.5707963267948966</v>
      </c>
      <c r="AW444" s="32" t="str">
        <f t="shared" si="370"/>
        <v>1+12.2142922249494i</v>
      </c>
      <c r="AX444" s="32">
        <f t="shared" si="395"/>
        <v>12.25515950758942</v>
      </c>
      <c r="AY444" s="32">
        <f t="shared" si="396"/>
        <v>1.4891072185522656</v>
      </c>
      <c r="AZ444" s="32" t="str">
        <f t="shared" si="371"/>
        <v>1+182.022745108392i</v>
      </c>
      <c r="BA444" s="32">
        <f t="shared" si="397"/>
        <v>182.02549199712291</v>
      </c>
      <c r="BB444" s="32">
        <f t="shared" si="398"/>
        <v>1.565302563150663</v>
      </c>
      <c r="BC444" s="60" t="str">
        <f t="shared" si="399"/>
        <v>-0.00215713266624412+0.0282557482210301i</v>
      </c>
      <c r="BD444" s="51">
        <f t="shared" si="400"/>
        <v>-30.952625356423219</v>
      </c>
      <c r="BE444" s="63">
        <f t="shared" si="401"/>
        <v>94.365671664033101</v>
      </c>
      <c r="BF444" s="60" t="str">
        <f t="shared" si="402"/>
        <v>0.00125701169731627+0.00021982253624624i</v>
      </c>
      <c r="BG444" s="66">
        <f t="shared" si="403"/>
        <v>-57.882388117123405</v>
      </c>
      <c r="BH444" s="63">
        <f t="shared" si="404"/>
        <v>9.9194118917790792</v>
      </c>
      <c r="BI444" s="60" t="e">
        <f t="shared" si="409"/>
        <v>#NUM!</v>
      </c>
      <c r="BJ444" s="66" t="e">
        <f t="shared" si="405"/>
        <v>#NUM!</v>
      </c>
      <c r="BK444" s="63" t="e">
        <f t="shared" si="410"/>
        <v>#NUM!</v>
      </c>
      <c r="BL444" s="51">
        <f t="shared" si="406"/>
        <v>-57.882388117123405</v>
      </c>
      <c r="BM444" s="63">
        <f t="shared" si="407"/>
        <v>9.9194118917790792</v>
      </c>
    </row>
    <row r="445" spans="14:65" x14ac:dyDescent="0.3">
      <c r="N445" s="11">
        <v>27</v>
      </c>
      <c r="O445" s="52">
        <f t="shared" si="408"/>
        <v>186208.71366628664</v>
      </c>
      <c r="P445" s="50" t="str">
        <f t="shared" si="360"/>
        <v>21.1560044893378</v>
      </c>
      <c r="Q445" s="18" t="str">
        <f t="shared" si="361"/>
        <v>1+815.44329202627i</v>
      </c>
      <c r="R445" s="18">
        <f t="shared" si="372"/>
        <v>815.44390518946216</v>
      </c>
      <c r="S445" s="18">
        <f t="shared" si="373"/>
        <v>1.569570000564138</v>
      </c>
      <c r="T445" s="18" t="str">
        <f t="shared" si="362"/>
        <v>1+1.16998385377682i</v>
      </c>
      <c r="U445" s="18">
        <f t="shared" si="374"/>
        <v>1.5391108530896855</v>
      </c>
      <c r="V445" s="18">
        <f t="shared" si="375"/>
        <v>0.86357268103357865</v>
      </c>
      <c r="W445" s="32" t="str">
        <f t="shared" si="363"/>
        <v>1-0.525454286992075i</v>
      </c>
      <c r="X445" s="18">
        <f t="shared" si="376"/>
        <v>1.1296469394099866</v>
      </c>
      <c r="Y445" s="18">
        <f t="shared" si="377"/>
        <v>-0.48380306393016953</v>
      </c>
      <c r="Z445" s="32" t="str">
        <f t="shared" si="364"/>
        <v>0.965326314954747+0.286781694477208i</v>
      </c>
      <c r="AA445" s="18">
        <f t="shared" si="378"/>
        <v>1.007024644500486</v>
      </c>
      <c r="AB445" s="18">
        <f t="shared" si="379"/>
        <v>0.28877817719310261</v>
      </c>
      <c r="AC445" s="68" t="str">
        <f t="shared" si="380"/>
        <v>0.00412487664850146-0.0446028718297881i</v>
      </c>
      <c r="AD445" s="66">
        <f t="shared" si="381"/>
        <v>-26.975758178157893</v>
      </c>
      <c r="AE445" s="63">
        <f t="shared" si="382"/>
        <v>-84.716311203992603</v>
      </c>
      <c r="AF445" s="51" t="e">
        <f t="shared" si="383"/>
        <v>#NUM!</v>
      </c>
      <c r="AG445" s="51" t="str">
        <f t="shared" si="365"/>
        <v>1-501.421651618638i</v>
      </c>
      <c r="AH445" s="51">
        <f t="shared" si="384"/>
        <v>501.42264878240468</v>
      </c>
      <c r="AI445" s="51">
        <f t="shared" si="385"/>
        <v>-1.5688019999225096</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-0.000133283554228113</v>
      </c>
      <c r="AT445" s="32" t="str">
        <f t="shared" si="369"/>
        <v>0.0714860134657639i</v>
      </c>
      <c r="AU445" s="32">
        <f t="shared" si="393"/>
        <v>7.1486013465763901E-2</v>
      </c>
      <c r="AV445" s="32">
        <f t="shared" si="394"/>
        <v>1.5707963267948966</v>
      </c>
      <c r="AW445" s="32" t="str">
        <f t="shared" si="370"/>
        <v>1+12.49879963946i</v>
      </c>
      <c r="AX445" s="32">
        <f t="shared" si="395"/>
        <v>12.538739666623812</v>
      </c>
      <c r="AY445" s="32">
        <f t="shared" si="396"/>
        <v>1.4909587069008652</v>
      </c>
      <c r="AZ445" s="32" t="str">
        <f t="shared" si="371"/>
        <v>1+186.262599505123i</v>
      </c>
      <c r="BA445" s="32">
        <f t="shared" si="397"/>
        <v>186.26528386794425</v>
      </c>
      <c r="BB445" s="32">
        <f t="shared" si="398"/>
        <v>1.5654276140476988</v>
      </c>
      <c r="BC445" s="60" t="str">
        <f t="shared" si="399"/>
        <v>-0.00206066322633754+0.0276202871639181i</v>
      </c>
      <c r="BD445" s="51">
        <f t="shared" si="400"/>
        <v>-31.151329601897871</v>
      </c>
      <c r="BE445" s="63">
        <f t="shared" si="401"/>
        <v>94.266754084465177</v>
      </c>
      <c r="BF445" s="60" t="str">
        <f t="shared" si="402"/>
        <v>0.00122344414665144+0.000205841775316041i</v>
      </c>
      <c r="BG445" s="66">
        <f t="shared" si="403"/>
        <v>-58.127087780055732</v>
      </c>
      <c r="BH445" s="63">
        <f t="shared" si="404"/>
        <v>9.5504428804725325</v>
      </c>
      <c r="BI445" s="60" t="e">
        <f t="shared" si="409"/>
        <v>#NUM!</v>
      </c>
      <c r="BJ445" s="66" t="e">
        <f t="shared" si="405"/>
        <v>#NUM!</v>
      </c>
      <c r="BK445" s="63" t="e">
        <f t="shared" si="410"/>
        <v>#NUM!</v>
      </c>
      <c r="BL445" s="51">
        <f t="shared" si="406"/>
        <v>-58.127087780055732</v>
      </c>
      <c r="BM445" s="63">
        <f t="shared" si="407"/>
        <v>9.5504428804725325</v>
      </c>
    </row>
    <row r="446" spans="14:65" x14ac:dyDescent="0.3">
      <c r="N446" s="11">
        <v>28</v>
      </c>
      <c r="O446" s="52">
        <f t="shared" si="408"/>
        <v>190546.07179632492</v>
      </c>
      <c r="P446" s="50" t="str">
        <f t="shared" si="360"/>
        <v>21.1560044893378</v>
      </c>
      <c r="Q446" s="18" t="str">
        <f t="shared" si="361"/>
        <v>1+834.437406332837i</v>
      </c>
      <c r="R446" s="18">
        <f t="shared" si="372"/>
        <v>834.43800553874109</v>
      </c>
      <c r="S446" s="18">
        <f t="shared" si="373"/>
        <v>1.5695979151301265</v>
      </c>
      <c r="T446" s="18" t="str">
        <f t="shared" si="362"/>
        <v>1+1.19723627865146i</v>
      </c>
      <c r="U446" s="18">
        <f t="shared" si="374"/>
        <v>1.559927789007939</v>
      </c>
      <c r="V446" s="18">
        <f t="shared" si="375"/>
        <v>0.8749238367684441</v>
      </c>
      <c r="W446" s="32" t="str">
        <f t="shared" si="363"/>
        <v>1-0.537693689642875i</v>
      </c>
      <c r="X446" s="18">
        <f t="shared" si="376"/>
        <v>1.1353917843113752</v>
      </c>
      <c r="Y446" s="18">
        <f t="shared" si="377"/>
        <v>-0.49334591918739579</v>
      </c>
      <c r="Z446" s="32" t="str">
        <f t="shared" si="364"/>
        <v>0.963692194522989+0.29346169827293i</v>
      </c>
      <c r="AA446" s="18">
        <f t="shared" si="378"/>
        <v>1.0073839457415266</v>
      </c>
      <c r="AB446" s="18">
        <f t="shared" si="379"/>
        <v>0.29559665178700445</v>
      </c>
      <c r="AC446" s="68" t="str">
        <f t="shared" si="380"/>
        <v>0.00388114422460987-0.0444060672923771i</v>
      </c>
      <c r="AD446" s="66">
        <f t="shared" si="381"/>
        <v>-27.01810418252829</v>
      </c>
      <c r="AE446" s="63">
        <f t="shared" si="382"/>
        <v>-85.004972422298138</v>
      </c>
      <c r="AF446" s="51" t="e">
        <f t="shared" si="383"/>
        <v>#NUM!</v>
      </c>
      <c r="AG446" s="51" t="str">
        <f t="shared" si="365"/>
        <v>1-513.101262279198i</v>
      </c>
      <c r="AH446" s="51">
        <f t="shared" si="384"/>
        <v>513.10223674478982</v>
      </c>
      <c r="AI446" s="51">
        <f t="shared" si="385"/>
        <v>-1.5688473962281551</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-0.000133283554228113</v>
      </c>
      <c r="AT446" s="32" t="str">
        <f t="shared" si="369"/>
        <v>0.0731511366256039i</v>
      </c>
      <c r="AU446" s="32">
        <f t="shared" si="393"/>
        <v>7.3151136625603894E-2</v>
      </c>
      <c r="AV446" s="32">
        <f t="shared" si="394"/>
        <v>1.5707963267948966</v>
      </c>
      <c r="AW446" s="32" t="str">
        <f t="shared" si="370"/>
        <v>1+12.7899340829807i</v>
      </c>
      <c r="AX446" s="32">
        <f t="shared" si="395"/>
        <v>12.828967762333466</v>
      </c>
      <c r="AY446" s="32">
        <f t="shared" si="396"/>
        <v>1.4927685804240753</v>
      </c>
      <c r="AZ446" s="32" t="str">
        <f t="shared" si="371"/>
        <v>1+190.601212797591i</v>
      </c>
      <c r="BA446" s="32">
        <f t="shared" si="397"/>
        <v>190.60383605770522</v>
      </c>
      <c r="BB446" s="32">
        <f t="shared" si="398"/>
        <v>1.5655498186010461</v>
      </c>
      <c r="BC446" s="60" t="str">
        <f t="shared" si="399"/>
        <v>-0.00196848162125837+0.0269987800258287i</v>
      </c>
      <c r="BD446" s="51">
        <f t="shared" si="400"/>
        <v>-31.35009180164953</v>
      </c>
      <c r="BE446" s="63">
        <f t="shared" si="401"/>
        <v>94.170057775276831</v>
      </c>
      <c r="BF446" s="60" t="str">
        <f t="shared" si="402"/>
        <v>0.00119126968156344+0.000192198686506164i</v>
      </c>
      <c r="BG446" s="66">
        <f t="shared" si="403"/>
        <v>-58.368195984177817</v>
      </c>
      <c r="BH446" s="63">
        <f t="shared" si="404"/>
        <v>9.1650853529786733</v>
      </c>
      <c r="BI446" s="60" t="e">
        <f t="shared" si="409"/>
        <v>#NUM!</v>
      </c>
      <c r="BJ446" s="66" t="e">
        <f t="shared" si="405"/>
        <v>#NUM!</v>
      </c>
      <c r="BK446" s="63" t="e">
        <f t="shared" si="410"/>
        <v>#NUM!</v>
      </c>
      <c r="BL446" s="51">
        <f t="shared" si="406"/>
        <v>-58.368195984177817</v>
      </c>
      <c r="BM446" s="63">
        <f t="shared" si="407"/>
        <v>9.1650853529786733</v>
      </c>
    </row>
    <row r="447" spans="14:65" x14ac:dyDescent="0.3">
      <c r="N447" s="11">
        <v>29</v>
      </c>
      <c r="O447" s="52">
        <f t="shared" si="408"/>
        <v>194984.45997580473</v>
      </c>
      <c r="P447" s="50" t="str">
        <f t="shared" si="360"/>
        <v>21.1560044893378</v>
      </c>
      <c r="Q447" s="18" t="str">
        <f t="shared" si="361"/>
        <v>1+853.873950397315i</v>
      </c>
      <c r="R447" s="18">
        <f t="shared" si="372"/>
        <v>853.87453596363684</v>
      </c>
      <c r="S447" s="18">
        <f t="shared" si="373"/>
        <v>1.5696251942848221</v>
      </c>
      <c r="T447" s="18" t="str">
        <f t="shared" si="362"/>
        <v>1+1.22512349404832i</v>
      </c>
      <c r="U447" s="18">
        <f t="shared" si="374"/>
        <v>1.581432128062777</v>
      </c>
      <c r="V447" s="18">
        <f t="shared" si="375"/>
        <v>0.8862285447676076</v>
      </c>
      <c r="W447" s="32" t="str">
        <f t="shared" si="363"/>
        <v>1-0.550218184605133i</v>
      </c>
      <c r="X447" s="18">
        <f t="shared" si="376"/>
        <v>1.1413763843142053</v>
      </c>
      <c r="Y447" s="18">
        <f t="shared" si="377"/>
        <v>-0.50301070766738265</v>
      </c>
      <c r="Z447" s="32" t="str">
        <f t="shared" si="364"/>
        <v>0.961981060367944+0.300297299345496i</v>
      </c>
      <c r="AA447" s="18">
        <f t="shared" si="378"/>
        <v>1.0077628830736087</v>
      </c>
      <c r="AB447" s="18">
        <f t="shared" si="379"/>
        <v>0.30258009975845968</v>
      </c>
      <c r="AC447" s="68" t="str">
        <f t="shared" si="380"/>
        <v>0.00362640680797568-0.0442288600524395i</v>
      </c>
      <c r="AD447" s="66">
        <f t="shared" si="381"/>
        <v>-27.056786610343465</v>
      </c>
      <c r="AE447" s="63">
        <f t="shared" si="382"/>
        <v>-85.312697030754549</v>
      </c>
      <c r="AF447" s="51" t="e">
        <f t="shared" si="383"/>
        <v>#NUM!</v>
      </c>
      <c r="AG447" s="51" t="str">
        <f t="shared" si="365"/>
        <v>1-525.052926020709i</v>
      </c>
      <c r="AH447" s="51">
        <f t="shared" si="384"/>
        <v>525.05387830479663</v>
      </c>
      <c r="AI447" s="51">
        <f t="shared" si="385"/>
        <v>-1.5688917591954878</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-0.000133283554228113</v>
      </c>
      <c r="AT447" s="32" t="str">
        <f t="shared" si="369"/>
        <v>0.0748550454863525i</v>
      </c>
      <c r="AU447" s="32">
        <f t="shared" si="393"/>
        <v>7.4855045486352495E-2</v>
      </c>
      <c r="AV447" s="32">
        <f t="shared" si="394"/>
        <v>1.5707963267948966</v>
      </c>
      <c r="AW447" s="32" t="str">
        <f t="shared" si="370"/>
        <v>1+13.0878499188469i</v>
      </c>
      <c r="AX447" s="32">
        <f t="shared" si="395"/>
        <v>13.12599769534723</v>
      </c>
      <c r="AY447" s="32">
        <f t="shared" si="396"/>
        <v>1.4945377512863385</v>
      </c>
      <c r="AZ447" s="32" t="str">
        <f t="shared" si="371"/>
        <v>1+195.040885375986i</v>
      </c>
      <c r="BA447" s="32">
        <f t="shared" si="397"/>
        <v>195.04344892420383</v>
      </c>
      <c r="BB447" s="32">
        <f t="shared" si="398"/>
        <v>1.5656692415905678</v>
      </c>
      <c r="BC447" s="60" t="str">
        <f t="shared" si="399"/>
        <v>-0.00188039957616797+0.0263909428239198i</v>
      </c>
      <c r="BD447" s="51">
        <f t="shared" si="400"/>
        <v>-31.548909379168819</v>
      </c>
      <c r="BE447" s="63">
        <f t="shared" si="401"/>
        <v>94.075534184908079</v>
      </c>
      <c r="BF447" s="60" t="str">
        <f t="shared" si="402"/>
        <v>0.00116042222298635+0.000178872224422559i</v>
      </c>
      <c r="BG447" s="66">
        <f t="shared" si="403"/>
        <v>-58.605695989512299</v>
      </c>
      <c r="BH447" s="63">
        <f t="shared" si="404"/>
        <v>8.7628371541535195</v>
      </c>
      <c r="BI447" s="60" t="e">
        <f t="shared" si="409"/>
        <v>#NUM!</v>
      </c>
      <c r="BJ447" s="66" t="e">
        <f t="shared" si="405"/>
        <v>#NUM!</v>
      </c>
      <c r="BK447" s="63" t="e">
        <f t="shared" si="410"/>
        <v>#NUM!</v>
      </c>
      <c r="BL447" s="51">
        <f t="shared" si="406"/>
        <v>-58.605695989512299</v>
      </c>
      <c r="BM447" s="63">
        <f t="shared" si="407"/>
        <v>8.7628371541535195</v>
      </c>
    </row>
    <row r="448" spans="14:65" x14ac:dyDescent="0.3">
      <c r="N448" s="11">
        <v>30</v>
      </c>
      <c r="O448" s="52">
        <f t="shared" si="408"/>
        <v>199526.23149688813</v>
      </c>
      <c r="P448" s="50" t="str">
        <f t="shared" si="360"/>
        <v>21.1560044893378</v>
      </c>
      <c r="Q448" s="18" t="str">
        <f t="shared" si="361"/>
        <v>1+873.763229732658i</v>
      </c>
      <c r="R448" s="18">
        <f t="shared" si="372"/>
        <v>873.76380196987213</v>
      </c>
      <c r="S448" s="18">
        <f t="shared" si="373"/>
        <v>1.5696518524918308</v>
      </c>
      <c r="T448" s="18" t="str">
        <f t="shared" si="362"/>
        <v>1+1.25366028613816i</v>
      </c>
      <c r="U448" s="18">
        <f t="shared" si="374"/>
        <v>1.6036408927936494</v>
      </c>
      <c r="V448" s="18">
        <f t="shared" si="375"/>
        <v>0.89748124207361035</v>
      </c>
      <c r="W448" s="32" t="str">
        <f t="shared" si="363"/>
        <v>1-0.563034412531872i</v>
      </c>
      <c r="X448" s="18">
        <f t="shared" si="376"/>
        <v>1.1476095806915827</v>
      </c>
      <c r="Y448" s="18">
        <f t="shared" si="377"/>
        <v>-0.51279533083511919</v>
      </c>
      <c r="Z448" s="32" t="str">
        <f t="shared" si="364"/>
        <v>0.96018928294465+0.307292122021083i</v>
      </c>
      <c r="AA448" s="18">
        <f t="shared" si="378"/>
        <v>1.0081626393285863</v>
      </c>
      <c r="AB448" s="18">
        <f t="shared" si="379"/>
        <v>0.30973275162825403</v>
      </c>
      <c r="AC448" s="68" t="str">
        <f t="shared" si="380"/>
        <v>0.00336017740184925-0.0440708683003059i</v>
      </c>
      <c r="AD448" s="66">
        <f t="shared" si="381"/>
        <v>-27.091794203812242</v>
      </c>
      <c r="AE448" s="63">
        <f t="shared" si="382"/>
        <v>-85.639926745836135</v>
      </c>
      <c r="AF448" s="51" t="e">
        <f t="shared" si="383"/>
        <v>#NUM!</v>
      </c>
      <c r="AG448" s="51" t="str">
        <f t="shared" si="365"/>
        <v>1-537.282979773498i</v>
      </c>
      <c r="AH448" s="51">
        <f t="shared" si="384"/>
        <v>537.2839103809913</v>
      </c>
      <c r="AI448" s="51">
        <f t="shared" si="385"/>
        <v>-1.5689351123456414</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-0.000133283554228113</v>
      </c>
      <c r="AT448" s="32" t="str">
        <f t="shared" si="369"/>
        <v>0.0765986434830416i</v>
      </c>
      <c r="AU448" s="32">
        <f t="shared" si="393"/>
        <v>7.6598643483041601E-2</v>
      </c>
      <c r="AV448" s="32">
        <f t="shared" si="394"/>
        <v>1.5707963267948966</v>
      </c>
      <c r="AW448" s="32" t="str">
        <f t="shared" si="370"/>
        <v>1+13.3927051059783i</v>
      </c>
      <c r="AX448" s="32">
        <f t="shared" si="395"/>
        <v>13.429986971538625</v>
      </c>
      <c r="AY448" s="32">
        <f t="shared" si="396"/>
        <v>1.496267113201158</v>
      </c>
      <c r="AZ448" s="32" t="str">
        <f t="shared" si="371"/>
        <v>1+199.583971213481i</v>
      </c>
      <c r="BA448" s="32">
        <f t="shared" si="397"/>
        <v>199.58647640895813</v>
      </c>
      <c r="BB448" s="32">
        <f t="shared" si="398"/>
        <v>1.5657859463222807</v>
      </c>
      <c r="BC448" s="60" t="str">
        <f t="shared" si="399"/>
        <v>-0.00179623688102843+0.0257964958428939i</v>
      </c>
      <c r="BD448" s="51">
        <f t="shared" si="400"/>
        <v>-31.747779871128824</v>
      </c>
      <c r="BE448" s="63">
        <f t="shared" si="401"/>
        <v>93.983135734514619</v>
      </c>
      <c r="BF448" s="60" t="str">
        <f t="shared" si="402"/>
        <v>0.00113083829632557+0.000165842521398146i</v>
      </c>
      <c r="BG448" s="66">
        <f t="shared" si="403"/>
        <v>-58.839574074941027</v>
      </c>
      <c r="BH448" s="63">
        <f t="shared" si="404"/>
        <v>8.3432089886784517</v>
      </c>
      <c r="BI448" s="60" t="e">
        <f t="shared" si="409"/>
        <v>#NUM!</v>
      </c>
      <c r="BJ448" s="66" t="e">
        <f t="shared" si="405"/>
        <v>#NUM!</v>
      </c>
      <c r="BK448" s="63" t="e">
        <f t="shared" si="410"/>
        <v>#NUM!</v>
      </c>
      <c r="BL448" s="51">
        <f t="shared" si="406"/>
        <v>-58.839574074941027</v>
      </c>
      <c r="BM448" s="63">
        <f t="shared" si="407"/>
        <v>8.3432089886784517</v>
      </c>
    </row>
    <row r="449" spans="14:65" x14ac:dyDescent="0.3">
      <c r="N449" s="11">
        <v>31</v>
      </c>
      <c r="O449" s="52">
        <f t="shared" si="408"/>
        <v>204173.79446695308</v>
      </c>
      <c r="P449" s="50" t="str">
        <f t="shared" si="360"/>
        <v>21.1560044893378</v>
      </c>
      <c r="Q449" s="18" t="str">
        <f t="shared" si="361"/>
        <v>1+894.115789898025i</v>
      </c>
      <c r="R449" s="18">
        <f t="shared" si="372"/>
        <v>894.11634910953796</v>
      </c>
      <c r="S449" s="18">
        <f t="shared" si="373"/>
        <v>1.5696779038855355</v>
      </c>
      <c r="T449" s="18" t="str">
        <f t="shared" si="362"/>
        <v>1+1.28286178550586i</v>
      </c>
      <c r="U449" s="18">
        <f t="shared" si="374"/>
        <v>1.6265713512512396</v>
      </c>
      <c r="V449" s="18">
        <f t="shared" si="375"/>
        <v>0.90867649686505725</v>
      </c>
      <c r="W449" s="32" t="str">
        <f t="shared" si="363"/>
        <v>1-0.576149168756774i</v>
      </c>
      <c r="X449" s="18">
        <f t="shared" si="376"/>
        <v>1.1541004569183402</v>
      </c>
      <c r="Y449" s="18">
        <f t="shared" si="377"/>
        <v>-0.52269748176209985</v>
      </c>
      <c r="Z449" s="32" t="str">
        <f t="shared" si="364"/>
        <v>0.958313061652967+0.314449875047255i</v>
      </c>
      <c r="AA449" s="18">
        <f t="shared" si="378"/>
        <v>1.0085844773998447</v>
      </c>
      <c r="AB449" s="18">
        <f t="shared" si="379"/>
        <v>0.31705895784244564</v>
      </c>
      <c r="AC449" s="68" t="str">
        <f t="shared" si="380"/>
        <v>0.00308195048989135-0.0439316993354805i</v>
      </c>
      <c r="AD449" s="66">
        <f t="shared" si="381"/>
        <v>-27.123118674104884</v>
      </c>
      <c r="AE449" s="63">
        <f t="shared" si="382"/>
        <v>-85.98709068275565</v>
      </c>
      <c r="AF449" s="51" t="e">
        <f t="shared" si="383"/>
        <v>#NUM!</v>
      </c>
      <c r="AG449" s="51" t="str">
        <f t="shared" si="365"/>
        <v>1-549.797908073941i</v>
      </c>
      <c r="AH449" s="51">
        <f t="shared" si="384"/>
        <v>549.79881749825699</v>
      </c>
      <c r="AI449" s="51">
        <f t="shared" si="385"/>
        <v>-1.5689774786643775</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-0.000133283554228113</v>
      </c>
      <c r="AT449" s="32" t="str">
        <f t="shared" si="369"/>
        <v>0.0783828550944083i</v>
      </c>
      <c r="AU449" s="32">
        <f t="shared" si="393"/>
        <v>7.8382855094408302E-2</v>
      </c>
      <c r="AV449" s="32">
        <f t="shared" si="394"/>
        <v>1.5707963267948966</v>
      </c>
      <c r="AW449" s="32" t="str">
        <f t="shared" si="370"/>
        <v>1+13.7046612826302i</v>
      </c>
      <c r="AX449" s="32">
        <f t="shared" si="395"/>
        <v>13.741096785614431</v>
      </c>
      <c r="AY449" s="32">
        <f t="shared" si="396"/>
        <v>1.4979575417000399</v>
      </c>
      <c r="AZ449" s="32" t="str">
        <f t="shared" si="371"/>
        <v>1+204.232879114318i</v>
      </c>
      <c r="BA449" s="32">
        <f t="shared" si="397"/>
        <v>204.23532728527559</v>
      </c>
      <c r="BB449" s="32">
        <f t="shared" si="398"/>
        <v>1.5658999946618546</v>
      </c>
      <c r="BC449" s="60" t="str">
        <f t="shared" si="399"/>
        <v>-0.00171582106291808+0.0252151636792048i</v>
      </c>
      <c r="BD449" s="51">
        <f t="shared" si="400"/>
        <v>-31.946700922533214</v>
      </c>
      <c r="BE449" s="63">
        <f t="shared" si="401"/>
        <v>93.892815804478118</v>
      </c>
      <c r="BF449" s="60" t="str">
        <f t="shared" si="402"/>
        <v>0.00110245691388433+0.000153090821103417i</v>
      </c>
      <c r="BG449" s="66">
        <f t="shared" si="403"/>
        <v>-59.069819596638084</v>
      </c>
      <c r="BH449" s="63">
        <f t="shared" si="404"/>
        <v>7.9057251217224298</v>
      </c>
      <c r="BI449" s="60" t="e">
        <f t="shared" si="409"/>
        <v>#NUM!</v>
      </c>
      <c r="BJ449" s="66" t="e">
        <f t="shared" si="405"/>
        <v>#NUM!</v>
      </c>
      <c r="BK449" s="63" t="e">
        <f t="shared" si="410"/>
        <v>#NUM!</v>
      </c>
      <c r="BL449" s="51">
        <f t="shared" si="406"/>
        <v>-59.069819596638084</v>
      </c>
      <c r="BM449" s="63">
        <f t="shared" si="407"/>
        <v>7.9057251217224298</v>
      </c>
    </row>
    <row r="450" spans="14:65" x14ac:dyDescent="0.3">
      <c r="N450" s="11">
        <v>32</v>
      </c>
      <c r="O450" s="52">
        <f t="shared" si="408"/>
        <v>208929.61308540447</v>
      </c>
      <c r="P450" s="50" t="str">
        <f t="shared" si="360"/>
        <v>21.1560044893378</v>
      </c>
      <c r="Q450" s="18" t="str">
        <f t="shared" si="361"/>
        <v>1+914.942422090225i</v>
      </c>
      <c r="R450" s="18">
        <f t="shared" si="372"/>
        <v>914.94296857253755</v>
      </c>
      <c r="S450" s="18">
        <f t="shared" si="373"/>
        <v>1.5697033622785888</v>
      </c>
      <c r="T450" s="18" t="str">
        <f t="shared" si="362"/>
        <v>1+1.31274347517293i</v>
      </c>
      <c r="U450" s="18">
        <f t="shared" si="374"/>
        <v>1.6502410222779886</v>
      </c>
      <c r="V450" s="18">
        <f t="shared" si="375"/>
        <v>0.91980902045696422</v>
      </c>
      <c r="W450" s="32" t="str">
        <f t="shared" si="363"/>
        <v>1-0.589569406897192i</v>
      </c>
      <c r="X450" s="18">
        <f t="shared" si="376"/>
        <v>1.160858340000668</v>
      </c>
      <c r="Y450" s="18">
        <f t="shared" si="377"/>
        <v>-0.53271464259431611</v>
      </c>
      <c r="Z450" s="32" t="str">
        <f t="shared" si="364"/>
        <v>0.956348416775983+0.321774353559417i</v>
      </c>
      <c r="AA450" s="18">
        <f t="shared" si="378"/>
        <v>1.0090297462803117</v>
      </c>
      <c r="AB450" s="18">
        <f t="shared" si="379"/>
        <v>0.32456319232370923</v>
      </c>
      <c r="AC450" s="68" t="str">
        <f t="shared" si="380"/>
        <v>0.00279120162678381-0.043810947823448i</v>
      </c>
      <c r="AD450" s="66">
        <f t="shared" si="381"/>
        <v>-27.1507547649611</v>
      </c>
      <c r="AE450" s="63">
        <f t="shared" si="382"/>
        <v>-86.354604726727274</v>
      </c>
      <c r="AF450" s="51" t="e">
        <f t="shared" si="383"/>
        <v>#NUM!</v>
      </c>
      <c r="AG450" s="51" t="str">
        <f t="shared" si="365"/>
        <v>1-562.604346502685i</v>
      </c>
      <c r="AH450" s="51">
        <f t="shared" si="384"/>
        <v>562.60523522600931</v>
      </c>
      <c r="AI450" s="51">
        <f t="shared" si="385"/>
        <v>-1.5690188806142706</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-0.000133283554228113</v>
      </c>
      <c r="AT450" s="32" t="str">
        <f t="shared" si="369"/>
        <v>0.080208626333066i</v>
      </c>
      <c r="AU450" s="32">
        <f t="shared" si="393"/>
        <v>8.0208626333065997E-2</v>
      </c>
      <c r="AV450" s="32">
        <f t="shared" si="394"/>
        <v>1.5707963267948966</v>
      </c>
      <c r="AW450" s="32" t="str">
        <f t="shared" si="370"/>
        <v>1+14.0238838520969i</v>
      </c>
      <c r="AX450" s="32">
        <f t="shared" si="395"/>
        <v>14.059492106655354</v>
      </c>
      <c r="AY450" s="32">
        <f t="shared" si="396"/>
        <v>1.4996098944050511</v>
      </c>
      <c r="AZ450" s="32" t="str">
        <f t="shared" si="371"/>
        <v>1+208.990073991005i</v>
      </c>
      <c r="BA450" s="32">
        <f t="shared" si="397"/>
        <v>208.99246643543339</v>
      </c>
      <c r="BB450" s="32">
        <f t="shared" si="398"/>
        <v>1.5660114470673547</v>
      </c>
      <c r="BC450" s="60" t="str">
        <f t="shared" si="399"/>
        <v>-0.00163898707007826+0.0246466752753902i</v>
      </c>
      <c r="BD450" s="51">
        <f t="shared" si="400"/>
        <v>-32.145670282060685</v>
      </c>
      <c r="BE450" s="63">
        <f t="shared" si="401"/>
        <v>93.804528720665672</v>
      </c>
      <c r="BF450" s="60" t="str">
        <f t="shared" si="402"/>
        <v>0.00107521946113531+0.000140599417133986i</v>
      </c>
      <c r="BG450" s="66">
        <f t="shared" si="403"/>
        <v>-59.296425047021742</v>
      </c>
      <c r="BH450" s="63">
        <f t="shared" si="404"/>
        <v>7.4499239939383708</v>
      </c>
      <c r="BI450" s="60" t="e">
        <f t="shared" si="409"/>
        <v>#NUM!</v>
      </c>
      <c r="BJ450" s="66" t="e">
        <f t="shared" si="405"/>
        <v>#NUM!</v>
      </c>
      <c r="BK450" s="63" t="e">
        <f t="shared" si="410"/>
        <v>#NUM!</v>
      </c>
      <c r="BL450" s="51">
        <f t="shared" si="406"/>
        <v>-59.296425047021742</v>
      </c>
      <c r="BM450" s="63">
        <f t="shared" si="407"/>
        <v>7.4499239939383708</v>
      </c>
    </row>
    <row r="451" spans="14:65" x14ac:dyDescent="0.3">
      <c r="N451" s="11">
        <v>33</v>
      </c>
      <c r="O451" s="52">
        <f t="shared" si="408"/>
        <v>213796.20895022334</v>
      </c>
      <c r="P451" s="50" t="str">
        <f t="shared" si="360"/>
        <v>21.1560044893378</v>
      </c>
      <c r="Q451" s="18" t="str">
        <f t="shared" si="361"/>
        <v>1+936.254168865305i</v>
      </c>
      <c r="R451" s="18">
        <f t="shared" si="372"/>
        <v>936.2547029081685</v>
      </c>
      <c r="S451" s="18">
        <f t="shared" si="373"/>
        <v>1.5697282411692348</v>
      </c>
      <c r="T451" s="18" t="str">
        <f t="shared" si="362"/>
        <v>1+1.34332119880674i</v>
      </c>
      <c r="U451" s="18">
        <f t="shared" si="374"/>
        <v>1.6746676814113231</v>
      </c>
      <c r="V451" s="18">
        <f t="shared" si="375"/>
        <v>0.93087367845703417</v>
      </c>
      <c r="W451" s="32" t="str">
        <f t="shared" si="363"/>
        <v>1-0.603302242541015i</v>
      </c>
      <c r="X451" s="18">
        <f t="shared" si="376"/>
        <v>1.167892801525473</v>
      </c>
      <c r="Y451" s="18">
        <f t="shared" si="377"/>
        <v>-0.54284408272247242</v>
      </c>
      <c r="Z451" s="32" t="str">
        <f t="shared" si="364"/>
        <v>0.954291181038512+0.32926944109302i</v>
      </c>
      <c r="AA451" s="18">
        <f t="shared" si="378"/>
        <v>1.009499887590676</v>
      </c>
      <c r="AB451" s="18">
        <f t="shared" si="379"/>
        <v>0.33225005606659763</v>
      </c>
      <c r="AC451" s="68" t="str">
        <f t="shared" si="380"/>
        <v>0.00248738706558549-0.0437081939381775i</v>
      </c>
      <c r="AD451" s="66">
        <f t="shared" si="381"/>
        <v>-27.174700317228538</v>
      </c>
      <c r="AE451" s="63">
        <f t="shared" si="382"/>
        <v>-86.742870995334144</v>
      </c>
      <c r="AF451" s="51" t="e">
        <f t="shared" si="383"/>
        <v>#NUM!</v>
      </c>
      <c r="AG451" s="51" t="str">
        <f t="shared" si="365"/>
        <v>1-575.709085202889i</v>
      </c>
      <c r="AH451" s="51">
        <f t="shared" si="384"/>
        <v>575.70995369643151</v>
      </c>
      <c r="AI451" s="51">
        <f t="shared" si="385"/>
        <v>-1.5690593401466142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-0.000133283554228113</v>
      </c>
      <c r="AT451" s="32" t="str">
        <f t="shared" si="369"/>
        <v>0.0820769252470918i</v>
      </c>
      <c r="AU451" s="32">
        <f t="shared" si="393"/>
        <v>8.20769252470918E-2</v>
      </c>
      <c r="AV451" s="32">
        <f t="shared" si="394"/>
        <v>1.5707963267948966</v>
      </c>
      <c r="AW451" s="32" t="str">
        <f t="shared" si="370"/>
        <v>1+14.35054207041i</v>
      </c>
      <c r="AX451" s="32">
        <f t="shared" si="395"/>
        <v>14.385341765651846</v>
      </c>
      <c r="AY451" s="32">
        <f t="shared" si="396"/>
        <v>1.5012250113042804</v>
      </c>
      <c r="AZ451" s="32" t="str">
        <f t="shared" si="371"/>
        <v>1+213.858078171232i</v>
      </c>
      <c r="BA451" s="32">
        <f t="shared" si="397"/>
        <v>213.86041615757875</v>
      </c>
      <c r="BB451" s="32">
        <f t="shared" si="398"/>
        <v>1.5661203626212401</v>
      </c>
      <c r="BC451" s="60" t="str">
        <f t="shared" si="399"/>
        <v>-0.00156557696741768+0.0240907639452819i</v>
      </c>
      <c r="BD451" s="51">
        <f t="shared" si="400"/>
        <v>-32.344685797600285</v>
      </c>
      <c r="BE451" s="63">
        <f t="shared" si="401"/>
        <v>93.718229740480524</v>
      </c>
      <c r="BF451" s="60" t="str">
        <f t="shared" si="402"/>
        <v>0.0010490695867403+0.000128351596354603i</v>
      </c>
      <c r="BG451" s="66">
        <f t="shared" si="403"/>
        <v>-59.519386114828841</v>
      </c>
      <c r="BH451" s="63">
        <f t="shared" si="404"/>
        <v>6.9753587451463863</v>
      </c>
      <c r="BI451" s="60" t="e">
        <f t="shared" si="409"/>
        <v>#NUM!</v>
      </c>
      <c r="BJ451" s="66" t="e">
        <f t="shared" si="405"/>
        <v>#NUM!</v>
      </c>
      <c r="BK451" s="63" t="e">
        <f t="shared" si="410"/>
        <v>#NUM!</v>
      </c>
      <c r="BL451" s="51">
        <f t="shared" si="406"/>
        <v>-59.519386114828841</v>
      </c>
      <c r="BM451" s="63">
        <f t="shared" si="407"/>
        <v>6.9753587451463863</v>
      </c>
    </row>
    <row r="452" spans="14:65" x14ac:dyDescent="0.3">
      <c r="N452" s="11">
        <v>34</v>
      </c>
      <c r="O452" s="52">
        <f t="shared" si="408"/>
        <v>218776.16239495538</v>
      </c>
      <c r="P452" s="50" t="str">
        <f t="shared" si="360"/>
        <v>21.1560044893378</v>
      </c>
      <c r="Q452" s="18" t="str">
        <f t="shared" si="361"/>
        <v>1+958.062329993509i</v>
      </c>
      <c r="R452" s="18">
        <f t="shared" si="372"/>
        <v>958.06285188007973</v>
      </c>
      <c r="S452" s="18">
        <f t="shared" si="373"/>
        <v>1.569752553748468</v>
      </c>
      <c r="T452" s="18" t="str">
        <f t="shared" si="362"/>
        <v>1+1.37461116912112i</v>
      </c>
      <c r="U452" s="18">
        <f t="shared" si="374"/>
        <v>1.6998693674140177</v>
      </c>
      <c r="V452" s="18">
        <f t="shared" si="375"/>
        <v>0.94186550103002109</v>
      </c>
      <c r="W452" s="32" t="str">
        <f t="shared" si="363"/>
        <v>1-0.617354957019485i</v>
      </c>
      <c r="X452" s="18">
        <f t="shared" si="376"/>
        <v>1.175213658428343</v>
      </c>
      <c r="Y452" s="18">
        <f t="shared" si="377"/>
        <v>-0.55308285770533971</v>
      </c>
      <c r="Z452" s="32" t="str">
        <f t="shared" si="364"/>
        <v>0.952136990767736+0.336939111642689i</v>
      </c>
      <c r="AA452" s="18">
        <f t="shared" si="378"/>
        <v>1.0099964426386876</v>
      </c>
      <c r="AB452" s="18">
        <f t="shared" si="379"/>
        <v>0.34012428076407764</v>
      </c>
      <c r="AC452" s="68" t="str">
        <f t="shared" si="380"/>
        <v>0.00216994343005192-0.0436230013828398i</v>
      </c>
      <c r="AD452" s="66">
        <f t="shared" si="381"/>
        <v>-27.194956334940642</v>
      </c>
      <c r="AE452" s="63">
        <f t="shared" si="382"/>
        <v>-87.152277396930188</v>
      </c>
      <c r="AF452" s="51" t="e">
        <f t="shared" si="383"/>
        <v>#NUM!</v>
      </c>
      <c r="AG452" s="51" t="str">
        <f t="shared" si="365"/>
        <v>1-589.119072480481i</v>
      </c>
      <c r="AH452" s="51">
        <f t="shared" si="384"/>
        <v>589.11992120472564</v>
      </c>
      <c r="AI452" s="51">
        <f t="shared" si="385"/>
        <v>-1.5690988787130582</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-0.000133283554228113</v>
      </c>
      <c r="AT452" s="32" t="str">
        <f t="shared" si="369"/>
        <v>0.0839887424333003i</v>
      </c>
      <c r="AU452" s="32">
        <f t="shared" si="393"/>
        <v>8.3988742433300304E-2</v>
      </c>
      <c r="AV452" s="32">
        <f t="shared" si="394"/>
        <v>1.5707963267948966</v>
      </c>
      <c r="AW452" s="32" t="str">
        <f t="shared" si="370"/>
        <v>1+14.6848091360807i</v>
      </c>
      <c r="AX452" s="32">
        <f t="shared" si="395"/>
        <v>14.718818545084359</v>
      </c>
      <c r="AY452" s="32">
        <f t="shared" si="396"/>
        <v>1.5028037150295774</v>
      </c>
      <c r="AZ452" s="32" t="str">
        <f t="shared" si="371"/>
        <v>1+218.839472735251i</v>
      </c>
      <c r="BA452" s="32">
        <f t="shared" si="397"/>
        <v>218.84175750309325</v>
      </c>
      <c r="BB452" s="32">
        <f t="shared" si="398"/>
        <v>1.5662267990616365</v>
      </c>
      <c r="BC452" s="60" t="str">
        <f t="shared" si="399"/>
        <v>-0.00149543964319169+0.0235471673908046i</v>
      </c>
      <c r="BD452" s="51">
        <f t="shared" si="400"/>
        <v>-32.543745411970797</v>
      </c>
      <c r="BE452" s="63">
        <f t="shared" si="401"/>
        <v>93.633875038740555</v>
      </c>
      <c r="BF452" s="60" t="str">
        <f t="shared" si="402"/>
        <v>0.00102395309622225+0.000116331586798914i</v>
      </c>
      <c r="BG452" s="66">
        <f t="shared" si="403"/>
        <v>-59.738701746911403</v>
      </c>
      <c r="BH452" s="63">
        <f t="shared" si="404"/>
        <v>6.4815976418103567</v>
      </c>
      <c r="BI452" s="60" t="e">
        <f t="shared" si="409"/>
        <v>#NUM!</v>
      </c>
      <c r="BJ452" s="66" t="e">
        <f t="shared" si="405"/>
        <v>#NUM!</v>
      </c>
      <c r="BK452" s="63" t="e">
        <f t="shared" si="410"/>
        <v>#NUM!</v>
      </c>
      <c r="BL452" s="51">
        <f t="shared" si="406"/>
        <v>-59.738701746911403</v>
      </c>
      <c r="BM452" s="63">
        <f t="shared" si="407"/>
        <v>6.4815976418103567</v>
      </c>
    </row>
    <row r="453" spans="14:65" x14ac:dyDescent="0.3">
      <c r="N453" s="11">
        <v>35</v>
      </c>
      <c r="O453" s="52">
        <f t="shared" si="408"/>
        <v>223872.11385683404</v>
      </c>
      <c r="P453" s="50" t="str">
        <f t="shared" si="360"/>
        <v>21.1560044893378</v>
      </c>
      <c r="Q453" s="18" t="str">
        <f t="shared" si="361"/>
        <v>1+980.378468450532i</v>
      </c>
      <c r="R453" s="18">
        <f t="shared" si="372"/>
        <v>980.37897845752025</v>
      </c>
      <c r="S453" s="18">
        <f t="shared" si="373"/>
        <v>1.5697763129070244</v>
      </c>
      <c r="T453" s="18" t="str">
        <f t="shared" si="362"/>
        <v>1+1.4066299764725i</v>
      </c>
      <c r="U453" s="18">
        <f t="shared" si="374"/>
        <v>1.7258643894324452</v>
      </c>
      <c r="V453" s="18">
        <f t="shared" si="375"/>
        <v>0.95277969223132397</v>
      </c>
      <c r="W453" s="32" t="str">
        <f t="shared" si="363"/>
        <v>1-0.631735001267827i</v>
      </c>
      <c r="X453" s="18">
        <f t="shared" si="376"/>
        <v>1.1828309734813598</v>
      </c>
      <c r="Y453" s="18">
        <f t="shared" si="377"/>
        <v>-0.56342780899406619</v>
      </c>
      <c r="Z453" s="32" t="str">
        <f t="shared" si="364"/>
        <v>0.949881276637272+0.344787431769267i</v>
      </c>
      <c r="AA453" s="18">
        <f t="shared" si="378"/>
        <v>1.0105210600537233</v>
      </c>
      <c r="AB453" s="18">
        <f t="shared" si="379"/>
        <v>0.34819073244994281</v>
      </c>
      <c r="AC453" s="68" t="str">
        <f t="shared" si="380"/>
        <v>0.00183828744127143-0.0435549152810313i</v>
      </c>
      <c r="AD453" s="66">
        <f t="shared" si="381"/>
        <v>-27.21152705353208</v>
      </c>
      <c r="AE453" s="63">
        <f t="shared" si="382"/>
        <v>-87.583197289165412</v>
      </c>
      <c r="AF453" s="51" t="e">
        <f t="shared" si="383"/>
        <v>#NUM!</v>
      </c>
      <c r="AG453" s="51" t="str">
        <f t="shared" si="365"/>
        <v>1-602.841418488215i</v>
      </c>
      <c r="AH453" s="51">
        <f t="shared" si="384"/>
        <v>602.84224789316409</v>
      </c>
      <c r="AI453" s="51">
        <f t="shared" si="385"/>
        <v>-1.5691375172769786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-0.000133283554228113</v>
      </c>
      <c r="AT453" s="32" t="str">
        <f t="shared" si="369"/>
        <v>0.0859450915624694i</v>
      </c>
      <c r="AU453" s="32">
        <f t="shared" si="393"/>
        <v>8.5945091562469406E-2</v>
      </c>
      <c r="AV453" s="32">
        <f t="shared" si="394"/>
        <v>1.5707963267948966</v>
      </c>
      <c r="AW453" s="32" t="str">
        <f t="shared" si="370"/>
        <v>1+15.0268622819318i</v>
      </c>
      <c r="AX453" s="32">
        <f t="shared" si="395"/>
        <v>15.060099270593957</v>
      </c>
      <c r="AY453" s="32">
        <f t="shared" si="396"/>
        <v>1.5043468111359677</v>
      </c>
      <c r="AZ453" s="32" t="str">
        <f t="shared" si="371"/>
        <v>1+223.936898884398i</v>
      </c>
      <c r="BA453" s="32">
        <f t="shared" si="397"/>
        <v>223.93913164509928</v>
      </c>
      <c r="BB453" s="32">
        <f t="shared" si="398"/>
        <v>1.5663308128129021</v>
      </c>
      <c r="BC453" s="60" t="str">
        <f t="shared" si="399"/>
        <v>-0.00142843052656801+0.0230156277110348i</v>
      </c>
      <c r="BD453" s="51">
        <f t="shared" si="400"/>
        <v>-32.742847158815607</v>
      </c>
      <c r="BE453" s="63">
        <f t="shared" si="401"/>
        <v>93.551421693420139</v>
      </c>
      <c r="BF453" s="60" t="str">
        <f t="shared" si="402"/>
        <v>0.000999817849196158+0.000104524509943683i</v>
      </c>
      <c r="BG453" s="66">
        <f t="shared" si="403"/>
        <v>-59.954374212347695</v>
      </c>
      <c r="BH453" s="63">
        <f t="shared" si="404"/>
        <v>5.968224404254749</v>
      </c>
      <c r="BI453" s="60" t="e">
        <f t="shared" si="409"/>
        <v>#NUM!</v>
      </c>
      <c r="BJ453" s="66" t="e">
        <f t="shared" si="405"/>
        <v>#NUM!</v>
      </c>
      <c r="BK453" s="63" t="e">
        <f t="shared" si="410"/>
        <v>#NUM!</v>
      </c>
      <c r="BL453" s="51">
        <f t="shared" si="406"/>
        <v>-59.954374212347695</v>
      </c>
      <c r="BM453" s="63">
        <f t="shared" si="407"/>
        <v>5.968224404254749</v>
      </c>
    </row>
    <row r="454" spans="14:65" x14ac:dyDescent="0.3">
      <c r="N454" s="11">
        <v>36</v>
      </c>
      <c r="O454" s="52">
        <f t="shared" si="408"/>
        <v>229086.76527677779</v>
      </c>
      <c r="P454" s="50" t="str">
        <f t="shared" si="360"/>
        <v>21.1560044893378</v>
      </c>
      <c r="Q454" s="18" t="str">
        <f t="shared" si="361"/>
        <v>1+1003.21441654837i</v>
      </c>
      <c r="R454" s="18">
        <f t="shared" si="372"/>
        <v>1003.2149149461876</v>
      </c>
      <c r="S454" s="18">
        <f t="shared" si="373"/>
        <v>1.569799531242217</v>
      </c>
      <c r="T454" s="18" t="str">
        <f t="shared" si="362"/>
        <v>1+1.43939459765635i</v>
      </c>
      <c r="U454" s="18">
        <f t="shared" si="374"/>
        <v>1.7526713347807927</v>
      </c>
      <c r="V454" s="18">
        <f t="shared" si="375"/>
        <v>0.96361163838045227</v>
      </c>
      <c r="W454" s="32" t="str">
        <f t="shared" si="363"/>
        <v>1-0.64644999977584i</v>
      </c>
      <c r="X454" s="18">
        <f t="shared" si="376"/>
        <v>1.1907550555047766</v>
      </c>
      <c r="Y454" s="18">
        <f t="shared" si="377"/>
        <v>-0.5738755645018</v>
      </c>
      <c r="Z454" s="32" t="str">
        <f t="shared" si="364"/>
        <v>0.947519253975022+0.352818562755969i</v>
      </c>
      <c r="AA454" s="18">
        <f t="shared" si="378"/>
        <v>1.0110755040443666</v>
      </c>
      <c r="AB454" s="18">
        <f t="shared" si="379"/>
        <v>0.35645441513899245</v>
      </c>
      <c r="AC454" s="68" t="str">
        <f t="shared" si="380"/>
        <v>0.00149181570923221-0.0435034599306053i</v>
      </c>
      <c r="AD454" s="66">
        <f t="shared" si="381"/>
        <v>-27.224420010775354</v>
      </c>
      <c r="AE454" s="63">
        <f t="shared" si="382"/>
        <v>-88.035989240816889</v>
      </c>
      <c r="AF454" s="51" t="e">
        <f t="shared" si="383"/>
        <v>#NUM!</v>
      </c>
      <c r="AG454" s="51" t="str">
        <f t="shared" si="365"/>
        <v>1-616.883398995579i</v>
      </c>
      <c r="AH454" s="51">
        <f t="shared" si="384"/>
        <v>616.88420952099159</v>
      </c>
      <c r="AI454" s="51">
        <f t="shared" si="385"/>
        <v>-1.5691752763245919</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-0.000133283554228113</v>
      </c>
      <c r="AT454" s="32" t="str">
        <f t="shared" si="369"/>
        <v>0.0879470099168029i</v>
      </c>
      <c r="AU454" s="32">
        <f t="shared" si="393"/>
        <v>8.7947009916802904E-2</v>
      </c>
      <c r="AV454" s="32">
        <f t="shared" si="394"/>
        <v>1.5707963267948966</v>
      </c>
      <c r="AW454" s="32" t="str">
        <f t="shared" si="370"/>
        <v>1+15.3768828690688i</v>
      </c>
      <c r="AX454" s="32">
        <f t="shared" si="395"/>
        <v>15.409364904792847</v>
      </c>
      <c r="AY454" s="32">
        <f t="shared" si="396"/>
        <v>1.5058550883822033</v>
      </c>
      <c r="AZ454" s="32" t="str">
        <f t="shared" si="371"/>
        <v>1+229.153059341488i</v>
      </c>
      <c r="BA454" s="32">
        <f t="shared" si="397"/>
        <v>229.15524127884032</v>
      </c>
      <c r="BB454" s="32">
        <f t="shared" si="398"/>
        <v>1.5664324590154965</v>
      </c>
      <c r="BC454" s="60" t="str">
        <f t="shared" si="399"/>
        <v>-0.00136441131578481+0.0224958914041376i</v>
      </c>
      <c r="BD454" s="51">
        <f t="shared" si="400"/>
        <v>-32.941989158669116</v>
      </c>
      <c r="BE454" s="63">
        <f t="shared" si="401"/>
        <v>93.470827671287452</v>
      </c>
      <c r="BF454" s="60" t="str">
        <f t="shared" si="402"/>
        <v>0.000976613660068406+0.0000929163371949832i</v>
      </c>
      <c r="BG454" s="66">
        <f t="shared" si="403"/>
        <v>-60.166409169444471</v>
      </c>
      <c r="BH454" s="63">
        <f t="shared" si="404"/>
        <v>5.4348384304705526</v>
      </c>
      <c r="BI454" s="60" t="e">
        <f t="shared" si="409"/>
        <v>#NUM!</v>
      </c>
      <c r="BJ454" s="66" t="e">
        <f t="shared" si="405"/>
        <v>#NUM!</v>
      </c>
      <c r="BK454" s="63" t="e">
        <f t="shared" si="410"/>
        <v>#NUM!</v>
      </c>
      <c r="BL454" s="51">
        <f t="shared" si="406"/>
        <v>-60.166409169444471</v>
      </c>
      <c r="BM454" s="63">
        <f t="shared" si="407"/>
        <v>5.4348384304705526</v>
      </c>
    </row>
    <row r="455" spans="14:65" x14ac:dyDescent="0.3">
      <c r="N455" s="11">
        <v>37</v>
      </c>
      <c r="O455" s="52">
        <f t="shared" si="408"/>
        <v>234422.88153199267</v>
      </c>
      <c r="P455" s="50" t="str">
        <f t="shared" si="360"/>
        <v>21.1560044893378</v>
      </c>
      <c r="Q455" s="18" t="str">
        <f t="shared" si="361"/>
        <v>1+1026.58228220897i</v>
      </c>
      <c r="R455" s="18">
        <f t="shared" si="372"/>
        <v>1026.5827692618736</v>
      </c>
      <c r="S455" s="18">
        <f t="shared" si="373"/>
        <v>1.5698222210646144</v>
      </c>
      <c r="T455" s="18" t="str">
        <f t="shared" si="362"/>
        <v>1+1.47292240490852i</v>
      </c>
      <c r="U455" s="18">
        <f t="shared" si="374"/>
        <v>1.780309077346262</v>
      </c>
      <c r="V455" s="18">
        <f t="shared" si="375"/>
        <v>0.97435691545417047</v>
      </c>
      <c r="W455" s="32" t="str">
        <f t="shared" si="363"/>
        <v>1-0.661507754630513i</v>
      </c>
      <c r="X455" s="18">
        <f t="shared" si="376"/>
        <v>1.1989964593093272</v>
      </c>
      <c r="Y455" s="18">
        <f t="shared" si="377"/>
        <v>-0.58442254005849981</v>
      </c>
      <c r="Z455" s="32" t="str">
        <f t="shared" si="364"/>
        <v>0.945045912614237+0.361036762814751i</v>
      </c>
      <c r="AA455" s="18">
        <f t="shared" si="378"/>
        <v>1.0116616633304985</v>
      </c>
      <c r="AB455" s="18">
        <f t="shared" si="379"/>
        <v>0.36492047444347403</v>
      </c>
      <c r="AC455" s="68" t="str">
        <f t="shared" si="380"/>
        <v>0.00112990460134131-0.0434681364120953i</v>
      </c>
      <c r="AD455" s="66">
        <f t="shared" si="381"/>
        <v>-27.233646120995921</v>
      </c>
      <c r="AE455" s="63">
        <f t="shared" si="382"/>
        <v>-88.510996899136146</v>
      </c>
      <c r="AF455" s="51" t="e">
        <f t="shared" si="383"/>
        <v>#NUM!</v>
      </c>
      <c r="AG455" s="51" t="str">
        <f t="shared" si="365"/>
        <v>1-631.252459246509i</v>
      </c>
      <c r="AH455" s="51">
        <f t="shared" si="384"/>
        <v>631.25325132213413</v>
      </c>
      <c r="AI455" s="51">
        <f t="shared" si="385"/>
        <v>-1.569212175875814</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-0.000133283554228113</v>
      </c>
      <c r="AT455" s="32" t="str">
        <f t="shared" si="369"/>
        <v>0.0899955589399104i</v>
      </c>
      <c r="AU455" s="32">
        <f t="shared" si="393"/>
        <v>8.9995558939910403E-2</v>
      </c>
      <c r="AV455" s="32">
        <f t="shared" si="394"/>
        <v>1.5707963267948966</v>
      </c>
      <c r="AW455" s="32" t="str">
        <f t="shared" si="370"/>
        <v>1+15.7350564830401i</v>
      </c>
      <c r="AX455" s="32">
        <f t="shared" si="395"/>
        <v>15.76680064326502</v>
      </c>
      <c r="AY455" s="32">
        <f t="shared" si="396"/>
        <v>1.5073293190119448</v>
      </c>
      <c r="AZ455" s="32" t="str">
        <f t="shared" si="371"/>
        <v>1+234.490719783841i</v>
      </c>
      <c r="BA455" s="32">
        <f t="shared" si="397"/>
        <v>234.49285205469238</v>
      </c>
      <c r="BB455" s="32">
        <f t="shared" si="398"/>
        <v>1.5665317915551757</v>
      </c>
      <c r="BC455" s="60" t="str">
        <f t="shared" si="399"/>
        <v>-0.00130324971660447+0.0219877093627728i</v>
      </c>
      <c r="BD455" s="51">
        <f t="shared" si="400"/>
        <v>-33.141169615185795</v>
      </c>
      <c r="BE455" s="63">
        <f t="shared" si="401"/>
        <v>93.392051813466267</v>
      </c>
      <c r="BF455" s="60" t="str">
        <f t="shared" si="402"/>
        <v>0.000954292202119025+0.00008149385044234i</v>
      </c>
      <c r="BG455" s="66">
        <f t="shared" si="403"/>
        <v>-60.374815736181723</v>
      </c>
      <c r="BH455" s="63">
        <f t="shared" si="404"/>
        <v>4.8810549143301243</v>
      </c>
      <c r="BI455" s="60" t="e">
        <f t="shared" si="409"/>
        <v>#NUM!</v>
      </c>
      <c r="BJ455" s="66" t="e">
        <f t="shared" si="405"/>
        <v>#NUM!</v>
      </c>
      <c r="BK455" s="63" t="e">
        <f t="shared" si="410"/>
        <v>#NUM!</v>
      </c>
      <c r="BL455" s="51">
        <f t="shared" si="406"/>
        <v>-60.374815736181723</v>
      </c>
      <c r="BM455" s="63">
        <f t="shared" si="407"/>
        <v>4.8810549143301243</v>
      </c>
    </row>
    <row r="456" spans="14:65" x14ac:dyDescent="0.3">
      <c r="N456" s="11">
        <v>38</v>
      </c>
      <c r="O456" s="52">
        <f t="shared" si="408"/>
        <v>239883.29190194907</v>
      </c>
      <c r="P456" s="50" t="str">
        <f t="shared" si="360"/>
        <v>21.1560044893378</v>
      </c>
      <c r="Q456" s="18" t="str">
        <f t="shared" si="361"/>
        <v>1+1050.49445538402i</v>
      </c>
      <c r="R456" s="18">
        <f t="shared" si="372"/>
        <v>1050.4949313502514</v>
      </c>
      <c r="S456" s="18">
        <f t="shared" si="373"/>
        <v>1.5698443944045672</v>
      </c>
      <c r="T456" s="18" t="str">
        <f t="shared" si="362"/>
        <v>1+1.5072311751162i</v>
      </c>
      <c r="U456" s="18">
        <f t="shared" si="374"/>
        <v>1.80879678660765</v>
      </c>
      <c r="V456" s="18">
        <f t="shared" si="375"/>
        <v>0.98501129548824573</v>
      </c>
      <c r="W456" s="32" t="str">
        <f t="shared" si="363"/>
        <v>1-0.676916249652779i</v>
      </c>
      <c r="X456" s="18">
        <f t="shared" si="376"/>
        <v>1.2075659853788461</v>
      </c>
      <c r="Y456" s="18">
        <f t="shared" si="377"/>
        <v>-0.5950649417856535</v>
      </c>
      <c r="Z456" s="32" t="str">
        <f t="shared" si="364"/>
        <v>0.942456006266284+0.369446389344062i</v>
      </c>
      <c r="AA456" s="18">
        <f t="shared" si="378"/>
        <v>1.0122815608054698</v>
      </c>
      <c r="AB456" s="18">
        <f t="shared" si="379"/>
        <v>0.37359420114059189</v>
      </c>
      <c r="AC456" s="68" t="str">
        <f t="shared" si="380"/>
        <v>0.000751910201475157-0.0434484200436548i</v>
      </c>
      <c r="AD456" s="66">
        <f t="shared" si="381"/>
        <v>-27.23921975309533</v>
      </c>
      <c r="AE456" s="63">
        <f t="shared" si="382"/>
        <v>-89.008548963895677</v>
      </c>
      <c r="AF456" s="51" t="e">
        <f t="shared" si="383"/>
        <v>#NUM!</v>
      </c>
      <c r="AG456" s="51" t="str">
        <f t="shared" si="365"/>
        <v>1-645.956217906944i</v>
      </c>
      <c r="AH456" s="51">
        <f t="shared" si="384"/>
        <v>645.95699195274847</v>
      </c>
      <c r="AI456" s="51">
        <f t="shared" si="385"/>
        <v>-1.5692482354948734</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-0.000133283554228113</v>
      </c>
      <c r="AT456" s="32" t="str">
        <f t="shared" si="369"/>
        <v>0.0920918247995997i</v>
      </c>
      <c r="AU456" s="32">
        <f t="shared" si="393"/>
        <v>9.2091824799599695E-2</v>
      </c>
      <c r="AV456" s="32">
        <f t="shared" si="394"/>
        <v>1.5707963267948966</v>
      </c>
      <c r="AW456" s="32" t="str">
        <f t="shared" si="370"/>
        <v>1+16.1015730322367i</v>
      </c>
      <c r="AX456" s="32">
        <f t="shared" si="395"/>
        <v>16.13259601280749</v>
      </c>
      <c r="AY456" s="32">
        <f t="shared" si="396"/>
        <v>1.5087702590351153</v>
      </c>
      <c r="AZ456" s="32" t="str">
        <f t="shared" si="371"/>
        <v>1+239.952710309674i</v>
      </c>
      <c r="BA456" s="32">
        <f t="shared" si="397"/>
        <v>239.9547940445415</v>
      </c>
      <c r="BB456" s="32">
        <f t="shared" si="398"/>
        <v>1.5666288630915215</v>
      </c>
      <c r="BC456" s="60" t="str">
        <f t="shared" si="399"/>
        <v>-0.00124481919076465+0.0214908368635129i</v>
      </c>
      <c r="BD456" s="51">
        <f t="shared" si="400"/>
        <v>-33.340386811527893</v>
      </c>
      <c r="BE456" s="63">
        <f t="shared" si="401"/>
        <v>93.315053820950581</v>
      </c>
      <c r="BF456" s="60" t="str">
        <f t="shared" si="402"/>
        <v>0.000932806914887041+0.0000702446065546587i</v>
      </c>
      <c r="BG456" s="66">
        <f t="shared" si="403"/>
        <v>-60.579606564623219</v>
      </c>
      <c r="BH456" s="63">
        <f t="shared" si="404"/>
        <v>4.3065048570549127</v>
      </c>
      <c r="BI456" s="60" t="e">
        <f t="shared" si="409"/>
        <v>#NUM!</v>
      </c>
      <c r="BJ456" s="66" t="e">
        <f t="shared" si="405"/>
        <v>#NUM!</v>
      </c>
      <c r="BK456" s="63" t="e">
        <f t="shared" si="410"/>
        <v>#NUM!</v>
      </c>
      <c r="BL456" s="51">
        <f t="shared" si="406"/>
        <v>-60.579606564623219</v>
      </c>
      <c r="BM456" s="63">
        <f t="shared" si="407"/>
        <v>4.3065048570549127</v>
      </c>
    </row>
    <row r="457" spans="14:65" x14ac:dyDescent="0.3">
      <c r="N457" s="11">
        <v>39</v>
      </c>
      <c r="O457" s="52">
        <f t="shared" si="408"/>
        <v>245470.89156850305</v>
      </c>
      <c r="P457" s="50" t="str">
        <f t="shared" si="360"/>
        <v>21.1560044893378</v>
      </c>
      <c r="Q457" s="18" t="str">
        <f t="shared" si="361"/>
        <v>1+1074.96361462425i</v>
      </c>
      <c r="R457" s="18">
        <f t="shared" si="372"/>
        <v>1074.9640797561717</v>
      </c>
      <c r="S457" s="18">
        <f t="shared" si="373"/>
        <v>1.5698660630185863</v>
      </c>
      <c r="T457" s="18" t="str">
        <f t="shared" si="362"/>
        <v>1+1.54233909924349i</v>
      </c>
      <c r="U457" s="18">
        <f t="shared" si="374"/>
        <v>1.8381539372574922</v>
      </c>
      <c r="V457" s="18">
        <f t="shared" si="375"/>
        <v>0.9955707519855812</v>
      </c>
      <c r="W457" s="32" t="str">
        <f t="shared" si="363"/>
        <v>1-0.692683654630656i</v>
      </c>
      <c r="X457" s="18">
        <f t="shared" si="376"/>
        <v>1.2164746793059369</v>
      </c>
      <c r="Y457" s="18">
        <f t="shared" si="377"/>
        <v>-0.60579876941981192</v>
      </c>
      <c r="Z457" s="32" t="str">
        <f t="shared" si="364"/>
        <v>0.939744041392565+0.378051901239205i</v>
      </c>
      <c r="AA457" s="18">
        <f t="shared" si="378"/>
        <v>1.0129373639882224</v>
      </c>
      <c r="AB457" s="18">
        <f t="shared" si="379"/>
        <v>0.38248103466172123</v>
      </c>
      <c r="AC457" s="68" t="str">
        <f t="shared" si="380"/>
        <v>0.000357168374872107-0.0434437576744965i</v>
      </c>
      <c r="AD457" s="66">
        <f t="shared" si="381"/>
        <v>-27.241158812874588</v>
      </c>
      <c r="AE457" s="63">
        <f t="shared" si="382"/>
        <v>-89.528959268231844</v>
      </c>
      <c r="AF457" s="51" t="e">
        <f t="shared" si="383"/>
        <v>#NUM!</v>
      </c>
      <c r="AG457" s="51" t="str">
        <f t="shared" si="365"/>
        <v>1-661.002471104354i</v>
      </c>
      <c r="AH457" s="51">
        <f t="shared" si="384"/>
        <v>661.00322753074533</v>
      </c>
      <c r="AI457" s="51">
        <f t="shared" si="385"/>
        <v>-1.5692834743006818</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-0.000133283554228113</v>
      </c>
      <c r="AT457" s="32" t="str">
        <f t="shared" si="369"/>
        <v>0.0942369189637773i</v>
      </c>
      <c r="AU457" s="32">
        <f t="shared" si="393"/>
        <v>9.4236918963777297E-2</v>
      </c>
      <c r="AV457" s="32">
        <f t="shared" si="394"/>
        <v>1.5707963267948966</v>
      </c>
      <c r="AW457" s="32" t="str">
        <f t="shared" si="370"/>
        <v>1+16.4766268485846i</v>
      </c>
      <c r="AX457" s="32">
        <f t="shared" si="395"/>
        <v>16.506944971965556</v>
      </c>
      <c r="AY457" s="32">
        <f t="shared" si="396"/>
        <v>1.510178648509003</v>
      </c>
      <c r="AZ457" s="32" t="str">
        <f t="shared" si="371"/>
        <v>1+245.541926938663i</v>
      </c>
      <c r="BA457" s="32">
        <f t="shared" si="397"/>
        <v>245.54396324233204</v>
      </c>
      <c r="BB457" s="32">
        <f t="shared" si="398"/>
        <v>1.5667237250858257</v>
      </c>
      <c r="BC457" s="60" t="str">
        <f t="shared" si="399"/>
        <v>-0.00118899871412778+0.0210050335507905i</v>
      </c>
      <c r="BD457" s="51">
        <f t="shared" si="400"/>
        <v>-33.539639106903294</v>
      </c>
      <c r="BE457" s="63">
        <f t="shared" si="401"/>
        <v>93.239794240095975</v>
      </c>
      <c r="BF457" s="60" t="str">
        <f t="shared" si="402"/>
        <v>0.000912112914786761+0.0000591569057093251i</v>
      </c>
      <c r="BG457" s="66">
        <f t="shared" si="403"/>
        <v>-60.780797919777889</v>
      </c>
      <c r="BH457" s="63">
        <f t="shared" si="404"/>
        <v>3.7108349718641294</v>
      </c>
      <c r="BI457" s="60" t="e">
        <f t="shared" si="409"/>
        <v>#NUM!</v>
      </c>
      <c r="BJ457" s="66" t="e">
        <f t="shared" si="405"/>
        <v>#NUM!</v>
      </c>
      <c r="BK457" s="63" t="e">
        <f t="shared" si="410"/>
        <v>#NUM!</v>
      </c>
      <c r="BL457" s="51">
        <f t="shared" si="406"/>
        <v>-60.780797919777889</v>
      </c>
      <c r="BM457" s="63">
        <f t="shared" si="407"/>
        <v>3.7108349718641294</v>
      </c>
    </row>
    <row r="458" spans="14:65" x14ac:dyDescent="0.3">
      <c r="N458" s="11">
        <v>40</v>
      </c>
      <c r="O458" s="52">
        <f t="shared" si="408"/>
        <v>251188.64315095844</v>
      </c>
      <c r="P458" s="50" t="str">
        <f t="shared" si="360"/>
        <v>21.1560044893378</v>
      </c>
      <c r="Q458" s="18" t="str">
        <f t="shared" si="361"/>
        <v>1+1100.00273380179i</v>
      </c>
      <c r="R458" s="18">
        <f t="shared" si="372"/>
        <v>1100.003188346021</v>
      </c>
      <c r="S458" s="18">
        <f t="shared" si="373"/>
        <v>1.5698872383955766</v>
      </c>
      <c r="T458" s="18" t="str">
        <f t="shared" si="362"/>
        <v>1+1.57826479197648i</v>
      </c>
      <c r="U458" s="18">
        <f t="shared" si="374"/>
        <v>1.8684003194156658</v>
      </c>
      <c r="V458" s="18">
        <f t="shared" si="375"/>
        <v>1.0060314643368555</v>
      </c>
      <c r="W458" s="32" t="str">
        <f t="shared" si="363"/>
        <v>1-0.708818329650976i</v>
      </c>
      <c r="X458" s="18">
        <f t="shared" si="376"/>
        <v>1.2257338309964361</v>
      </c>
      <c r="Y458" s="18">
        <f t="shared" si="377"/>
        <v>-0.61661982060718046</v>
      </c>
      <c r="Z458" s="32" t="str">
        <f t="shared" si="364"/>
        <v>0.93690426555198+0.386857861256496i</v>
      </c>
      <c r="AA458" s="18">
        <f t="shared" si="378"/>
        <v>1.0136313963297732</v>
      </c>
      <c r="AB458" s="18">
        <f t="shared" si="379"/>
        <v>0.3915865664691639</v>
      </c>
      <c r="AC458" s="68" t="str">
        <f t="shared" si="380"/>
        <v>-0.000055005043916858-0.043453564808969i</v>
      </c>
      <c r="AD458" s="66">
        <f t="shared" si="381"/>
        <v>-27.239484830113231</v>
      </c>
      <c r="AE458" s="63">
        <f t="shared" si="382"/>
        <v>-90.072526965254468</v>
      </c>
      <c r="AF458" s="51" t="e">
        <f t="shared" si="383"/>
        <v>#NUM!</v>
      </c>
      <c r="AG458" s="51" t="str">
        <f t="shared" si="365"/>
        <v>1-676.39919656135i</v>
      </c>
      <c r="AH458" s="51">
        <f t="shared" si="384"/>
        <v>676.39993576939355</v>
      </c>
      <c r="AI458" s="51">
        <f t="shared" si="385"/>
        <v>-1.5693179109769706</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-0.000133283554228113</v>
      </c>
      <c r="AT458" s="32" t="str">
        <f t="shared" si="369"/>
        <v>0.0964319787897628i</v>
      </c>
      <c r="AU458" s="32">
        <f t="shared" si="393"/>
        <v>9.6431978789762798E-2</v>
      </c>
      <c r="AV458" s="32">
        <f t="shared" si="394"/>
        <v>1.5707963267948966</v>
      </c>
      <c r="AW458" s="32" t="str">
        <f t="shared" si="370"/>
        <v>1+16.8604167905816i</v>
      </c>
      <c r="AX458" s="32">
        <f t="shared" si="395"/>
        <v>16.890046013913814</v>
      </c>
      <c r="AY458" s="32">
        <f t="shared" si="396"/>
        <v>1.5115552118187205</v>
      </c>
      <c r="AZ458" s="32" t="str">
        <f t="shared" si="371"/>
        <v>1+251.261333147447i</v>
      </c>
      <c r="BA458" s="32">
        <f t="shared" si="397"/>
        <v>251.26332309955697</v>
      </c>
      <c r="BB458" s="32">
        <f t="shared" si="398"/>
        <v>1.5668164278283401</v>
      </c>
      <c r="BC458" s="60" t="str">
        <f t="shared" si="399"/>
        <v>-0.00113567254423094+0.020530063415848i</v>
      </c>
      <c r="BD458" s="51">
        <f t="shared" si="400"/>
        <v>-33.73892493325026</v>
      </c>
      <c r="BE458" s="63">
        <f t="shared" si="401"/>
        <v>93.166234448111936</v>
      </c>
      <c r="BF458" s="60" t="str">
        <f t="shared" si="402"/>
        <v>0.000892166908890965+0.0000482197634627013i</v>
      </c>
      <c r="BG458" s="66">
        <f t="shared" si="403"/>
        <v>-60.978409763363494</v>
      </c>
      <c r="BH458" s="63">
        <f t="shared" si="404"/>
        <v>3.0937074828574884</v>
      </c>
      <c r="BI458" s="60" t="e">
        <f t="shared" si="409"/>
        <v>#NUM!</v>
      </c>
      <c r="BJ458" s="66" t="e">
        <f t="shared" si="405"/>
        <v>#NUM!</v>
      </c>
      <c r="BK458" s="63" t="e">
        <f t="shared" si="410"/>
        <v>#NUM!</v>
      </c>
      <c r="BL458" s="51">
        <f t="shared" si="406"/>
        <v>-60.978409763363494</v>
      </c>
      <c r="BM458" s="63">
        <f t="shared" si="407"/>
        <v>3.0937074828574884</v>
      </c>
    </row>
    <row r="459" spans="14:65" x14ac:dyDescent="0.3">
      <c r="N459" s="11">
        <v>41</v>
      </c>
      <c r="O459" s="52">
        <f t="shared" si="408"/>
        <v>257039.57827688678</v>
      </c>
      <c r="P459" s="50" t="str">
        <f t="shared" si="360"/>
        <v>21.1560044893378</v>
      </c>
      <c r="Q459" s="18" t="str">
        <f t="shared" si="361"/>
        <v>1+1125.62508898904i</v>
      </c>
      <c r="R459" s="18">
        <f t="shared" si="372"/>
        <v>1125.625533186585</v>
      </c>
      <c r="S459" s="18">
        <f t="shared" si="373"/>
        <v>1.5699079317629272</v>
      </c>
      <c r="T459" s="18" t="str">
        <f t="shared" si="362"/>
        <v>1+1.61502730159297i</v>
      </c>
      <c r="U459" s="18">
        <f t="shared" si="374"/>
        <v>1.8995560494206718</v>
      </c>
      <c r="V459" s="18">
        <f t="shared" si="375"/>
        <v>1.0163898212677382</v>
      </c>
      <c r="W459" s="32" t="str">
        <f t="shared" si="363"/>
        <v>1-0.725328829531991i</v>
      </c>
      <c r="X459" s="18">
        <f t="shared" si="376"/>
        <v>1.2353549736615173</v>
      </c>
      <c r="Y459" s="18">
        <f t="shared" si="377"/>
        <v>-0.62752369618430148</v>
      </c>
      <c r="Z459" s="32" t="str">
        <f t="shared" si="364"/>
        <v>0.93393065519924+0.395868938432492i</v>
      </c>
      <c r="AA459" s="18">
        <f t="shared" si="378"/>
        <v>1.0143661494433605</v>
      </c>
      <c r="AB459" s="18">
        <f t="shared" si="379"/>
        <v>0.4009165432809994</v>
      </c>
      <c r="AC459" s="68" t="str">
        <f t="shared" si="380"/>
        <v>-0.000485313920698065-0.0434772225537355i</v>
      </c>
      <c r="AD459" s="66">
        <f t="shared" si="381"/>
        <v>-27.234223050816162</v>
      </c>
      <c r="AE459" s="63">
        <f t="shared" si="382"/>
        <v>-90.639536818215674</v>
      </c>
      <c r="AF459" s="51" t="e">
        <f t="shared" si="383"/>
        <v>#NUM!</v>
      </c>
      <c r="AG459" s="51" t="str">
        <f t="shared" si="365"/>
        <v>1-692.15455782556i</v>
      </c>
      <c r="AH459" s="51">
        <f t="shared" si="384"/>
        <v>692.15528020719205</v>
      </c>
      <c r="AI459" s="51">
        <f t="shared" si="385"/>
        <v>-1.569351563782194</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-0.000133283554228113</v>
      </c>
      <c r="AT459" s="32" t="str">
        <f t="shared" si="369"/>
        <v>0.0986781681273306i</v>
      </c>
      <c r="AU459" s="32">
        <f t="shared" si="393"/>
        <v>9.8678168127330601E-2</v>
      </c>
      <c r="AV459" s="32">
        <f t="shared" si="394"/>
        <v>1.5707963267948966</v>
      </c>
      <c r="AW459" s="32" t="str">
        <f t="shared" si="370"/>
        <v>1+17.2531463487349i</v>
      </c>
      <c r="AX459" s="32">
        <f t="shared" si="395"/>
        <v>17.282102271739522</v>
      </c>
      <c r="AY459" s="32">
        <f t="shared" si="396"/>
        <v>1.5129006579566742</v>
      </c>
      <c r="AZ459" s="32" t="str">
        <f t="shared" si="371"/>
        <v>1+257.113961440902i</v>
      </c>
      <c r="BA459" s="32">
        <f t="shared" si="397"/>
        <v>257.11590609651836</v>
      </c>
      <c r="BB459" s="32">
        <f t="shared" si="398"/>
        <v>1.5669070204649089</v>
      </c>
      <c r="BC459" s="60" t="str">
        <f t="shared" si="399"/>
        <v>-0.00108472999693999+0.0200656947711421i</v>
      </c>
      <c r="BD459" s="51">
        <f t="shared" si="400"/>
        <v>-33.938242792061018</v>
      </c>
      <c r="BE459" s="63">
        <f t="shared" si="401"/>
        <v>93.094336638575413</v>
      </c>
      <c r="BF459" s="60" t="str">
        <f t="shared" si="402"/>
        <v>0.000872927111827986+0.0000374228864867591i</v>
      </c>
      <c r="BG459" s="66">
        <f t="shared" si="403"/>
        <v>-61.172465842877173</v>
      </c>
      <c r="BH459" s="63">
        <f t="shared" si="404"/>
        <v>2.4547998203597436</v>
      </c>
      <c r="BI459" s="60" t="e">
        <f t="shared" si="409"/>
        <v>#NUM!</v>
      </c>
      <c r="BJ459" s="66" t="e">
        <f t="shared" si="405"/>
        <v>#NUM!</v>
      </c>
      <c r="BK459" s="63" t="e">
        <f t="shared" si="410"/>
        <v>#NUM!</v>
      </c>
      <c r="BL459" s="51">
        <f t="shared" si="406"/>
        <v>-61.172465842877173</v>
      </c>
      <c r="BM459" s="63">
        <f t="shared" si="407"/>
        <v>2.4547998203597436</v>
      </c>
    </row>
    <row r="460" spans="14:65" x14ac:dyDescent="0.3">
      <c r="N460" s="11">
        <v>42</v>
      </c>
      <c r="O460" s="52">
        <f t="shared" si="408"/>
        <v>263026.79918953858</v>
      </c>
      <c r="P460" s="50" t="str">
        <f t="shared" si="360"/>
        <v>21.1560044893378</v>
      </c>
      <c r="Q460" s="18" t="str">
        <f t="shared" si="361"/>
        <v>1+1151.84426549788i</v>
      </c>
      <c r="R460" s="18">
        <f t="shared" si="372"/>
        <v>1151.8446995842585</v>
      </c>
      <c r="S460" s="18">
        <f t="shared" si="373"/>
        <v>1.5699281540924641</v>
      </c>
      <c r="T460" s="18" t="str">
        <f t="shared" si="362"/>
        <v>1+1.65264612006218i</v>
      </c>
      <c r="U460" s="18">
        <f t="shared" si="374"/>
        <v>1.9316415811833669</v>
      </c>
      <c r="V460" s="18">
        <f t="shared" si="375"/>
        <v>1.0266424233340912</v>
      </c>
      <c r="W460" s="32" t="str">
        <f t="shared" si="363"/>
        <v>1-0.742223908359287i</v>
      </c>
      <c r="X460" s="18">
        <f t="shared" si="376"/>
        <v>1.2453498826193927</v>
      </c>
      <c r="Y460" s="18">
        <f t="shared" si="377"/>
        <v>-0.63850580645207922</v>
      </c>
      <c r="Z460" s="32" t="str">
        <f t="shared" si="364"/>
        <v>0.930816902908107+0.405089910559589i</v>
      </c>
      <c r="AA460" s="18">
        <f t="shared" si="378"/>
        <v>1.0151442963326032</v>
      </c>
      <c r="AB460" s="18">
        <f t="shared" si="379"/>
        <v>0.41047687009863448</v>
      </c>
      <c r="AC460" s="68" t="str">
        <f t="shared" si="380"/>
        <v>-0.000934481327304408-0.0435140743810071i</v>
      </c>
      <c r="AD460" s="66">
        <f t="shared" si="381"/>
        <v>-27.225402534999354</v>
      </c>
      <c r="AE460" s="63">
        <f t="shared" si="382"/>
        <v>-91.23025959082814</v>
      </c>
      <c r="AF460" s="51" t="e">
        <f t="shared" si="383"/>
        <v>#NUM!</v>
      </c>
      <c r="AG460" s="51" t="str">
        <f t="shared" si="365"/>
        <v>1-708.276908598078i</v>
      </c>
      <c r="AH460" s="51">
        <f t="shared" si="384"/>
        <v>708.27761453631308</v>
      </c>
      <c r="AI460" s="51">
        <f t="shared" si="385"/>
        <v>-1.5693844505592103</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-0.000133283554228113</v>
      </c>
      <c r="AT460" s="32" t="str">
        <f t="shared" si="369"/>
        <v>0.100976677935799i</v>
      </c>
      <c r="AU460" s="32">
        <f t="shared" si="393"/>
        <v>0.10097667793579899</v>
      </c>
      <c r="AV460" s="32">
        <f t="shared" si="394"/>
        <v>1.5707963267948966</v>
      </c>
      <c r="AW460" s="32" t="str">
        <f t="shared" si="370"/>
        <v>1+17.6550237534546i</v>
      </c>
      <c r="AX460" s="32">
        <f t="shared" si="395"/>
        <v>17.683321626183417</v>
      </c>
      <c r="AY460" s="32">
        <f t="shared" si="396"/>
        <v>1.5142156808007123</v>
      </c>
      <c r="AZ460" s="32" t="str">
        <f t="shared" si="371"/>
        <v>1+263.102914960019i</v>
      </c>
      <c r="BA460" s="32">
        <f t="shared" si="397"/>
        <v>263.10481535019267</v>
      </c>
      <c r="BB460" s="32">
        <f t="shared" si="398"/>
        <v>1.5669955510229958</v>
      </c>
      <c r="BC460" s="60" t="str">
        <f t="shared" si="399"/>
        <v>-0.00103606523191404+0.0196117002206149i</v>
      </c>
      <c r="BD460" s="51">
        <f t="shared" si="400"/>
        <v>-34.137591251340936</v>
      </c>
      <c r="BE460" s="63">
        <f t="shared" si="401"/>
        <v>93.024063806985026</v>
      </c>
      <c r="BF460" s="60" t="str">
        <f t="shared" si="402"/>
        <v>0.000854353165750943+0.0000267566519122265i</v>
      </c>
      <c r="BG460" s="66">
        <f t="shared" si="403"/>
        <v>-61.36299378634029</v>
      </c>
      <c r="BH460" s="63">
        <f t="shared" si="404"/>
        <v>1.7938042161568877</v>
      </c>
      <c r="BI460" s="60" t="e">
        <f t="shared" si="409"/>
        <v>#NUM!</v>
      </c>
      <c r="BJ460" s="66" t="e">
        <f t="shared" si="405"/>
        <v>#NUM!</v>
      </c>
      <c r="BK460" s="63" t="e">
        <f t="shared" si="410"/>
        <v>#NUM!</v>
      </c>
      <c r="BL460" s="51">
        <f t="shared" si="406"/>
        <v>-61.36299378634029</v>
      </c>
      <c r="BM460" s="63">
        <f t="shared" si="407"/>
        <v>1.7938042161568877</v>
      </c>
    </row>
    <row r="461" spans="14:65" x14ac:dyDescent="0.3">
      <c r="N461" s="11">
        <v>43</v>
      </c>
      <c r="O461" s="52">
        <f t="shared" si="408"/>
        <v>269153.48039269145</v>
      </c>
      <c r="P461" s="50" t="str">
        <f t="shared" si="360"/>
        <v>21.1560044893378</v>
      </c>
      <c r="Q461" s="18" t="str">
        <f t="shared" si="361"/>
        <v>1+1178.67416508276i</v>
      </c>
      <c r="R461" s="18">
        <f t="shared" si="372"/>
        <v>1178.6745892881297</v>
      </c>
      <c r="S461" s="18">
        <f t="shared" si="373"/>
        <v>1.5699479161062682</v>
      </c>
      <c r="T461" s="18" t="str">
        <f t="shared" si="362"/>
        <v>1+1.69114119337961i</v>
      </c>
      <c r="U461" s="18">
        <f t="shared" si="374"/>
        <v>1.9646777180864581</v>
      </c>
      <c r="V461" s="18">
        <f t="shared" si="375"/>
        <v>1.0367860844931573</v>
      </c>
      <c r="W461" s="32" t="str">
        <f t="shared" si="363"/>
        <v>1-0.759512524127293i</v>
      </c>
      <c r="X461" s="18">
        <f t="shared" si="376"/>
        <v>1.2557305739314513</v>
      </c>
      <c r="Y461" s="18">
        <f t="shared" si="377"/>
        <v>-0.64956137844192219</v>
      </c>
      <c r="Z461" s="32" t="str">
        <f t="shared" si="364"/>
        <v>0.927556403992501+0.414525666719266i</v>
      </c>
      <c r="AA461" s="18">
        <f t="shared" si="378"/>
        <v>1.01596870569745</v>
      </c>
      <c r="AB461" s="18">
        <f t="shared" si="379"/>
        <v>0.42027361298489735</v>
      </c>
      <c r="AC461" s="68" t="str">
        <f t="shared" si="380"/>
        <v>-0.00140324885911347-0.0435634227015054i</v>
      </c>
      <c r="AD461" s="66">
        <f t="shared" si="381"/>
        <v>-27.213056260341336</v>
      </c>
      <c r="AE461" s="63">
        <f t="shared" si="382"/>
        <v>-91.844952533067286</v>
      </c>
      <c r="AF461" s="51" t="e">
        <f t="shared" si="383"/>
        <v>#NUM!</v>
      </c>
      <c r="AG461" s="51" t="str">
        <f t="shared" si="365"/>
        <v>1-724.774797162691i</v>
      </c>
      <c r="AH461" s="51">
        <f t="shared" si="384"/>
        <v>724.77548703182549</v>
      </c>
      <c r="AI461" s="51">
        <f t="shared" si="385"/>
        <v>-1.5694165887447387</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-0.000133283554228113</v>
      </c>
      <c r="AT461" s="32" t="str">
        <f t="shared" si="369"/>
        <v>0.103328726915494i</v>
      </c>
      <c r="AU461" s="32">
        <f t="shared" si="393"/>
        <v>0.103328726915494</v>
      </c>
      <c r="AV461" s="32">
        <f t="shared" si="394"/>
        <v>1.5707963267948966</v>
      </c>
      <c r="AW461" s="32" t="str">
        <f t="shared" si="370"/>
        <v>1+18.0662620854604i</v>
      </c>
      <c r="AX461" s="32">
        <f t="shared" si="395"/>
        <v>18.093916815895447</v>
      </c>
      <c r="AY461" s="32">
        <f t="shared" si="396"/>
        <v>1.5155009593906652</v>
      </c>
      <c r="AZ461" s="32" t="str">
        <f t="shared" si="371"/>
        <v>1+269.231369127227i</v>
      </c>
      <c r="BA461" s="32">
        <f t="shared" si="397"/>
        <v>269.23322625954091</v>
      </c>
      <c r="BB461" s="32">
        <f t="shared" si="398"/>
        <v>1.5670820664371203</v>
      </c>
      <c r="BC461" s="60" t="str">
        <f t="shared" si="399"/>
        <v>-0.000989577046590607+0.019167856626225i</v>
      </c>
      <c r="BD461" s="51">
        <f t="shared" si="400"/>
        <v>-34.336968942696267</v>
      </c>
      <c r="BE461" s="63">
        <f t="shared" si="401"/>
        <v>92.955379736374397</v>
      </c>
      <c r="BF461" s="60" t="str">
        <f t="shared" si="402"/>
        <v>0.000836406063351724+0.0000162120902339331i</v>
      </c>
      <c r="BG461" s="66">
        <f t="shared" si="403"/>
        <v>-61.550025203037606</v>
      </c>
      <c r="BH461" s="63">
        <f t="shared" si="404"/>
        <v>1.1104272033071203</v>
      </c>
      <c r="BI461" s="60" t="e">
        <f t="shared" si="409"/>
        <v>#NUM!</v>
      </c>
      <c r="BJ461" s="66" t="e">
        <f t="shared" si="405"/>
        <v>#NUM!</v>
      </c>
      <c r="BK461" s="63" t="e">
        <f t="shared" si="410"/>
        <v>#NUM!</v>
      </c>
      <c r="BL461" s="51">
        <f t="shared" si="406"/>
        <v>-61.550025203037606</v>
      </c>
      <c r="BM461" s="63">
        <f t="shared" si="407"/>
        <v>1.1104272033071203</v>
      </c>
    </row>
    <row r="462" spans="14:65" x14ac:dyDescent="0.3">
      <c r="N462" s="11">
        <v>44</v>
      </c>
      <c r="O462" s="52">
        <f t="shared" si="408"/>
        <v>275422.87033381703</v>
      </c>
      <c r="P462" s="50" t="str">
        <f t="shared" si="360"/>
        <v>21.1560044893378</v>
      </c>
      <c r="Q462" s="18" t="str">
        <f t="shared" si="361"/>
        <v>1+1206.12901331156i</v>
      </c>
      <c r="R462" s="18">
        <f t="shared" si="372"/>
        <v>1206.12942786084</v>
      </c>
      <c r="S462" s="18">
        <f t="shared" si="373"/>
        <v>1.5699672282823589</v>
      </c>
      <c r="T462" s="18" t="str">
        <f t="shared" si="362"/>
        <v>1+1.73053293214267i</v>
      </c>
      <c r="U462" s="18">
        <f t="shared" si="374"/>
        <v>1.9986856254124374</v>
      </c>
      <c r="V462" s="18">
        <f t="shared" si="375"/>
        <v>1.0468178327848114</v>
      </c>
      <c r="W462" s="32" t="str">
        <f t="shared" si="363"/>
        <v>1-0.777203843488927i</v>
      </c>
      <c r="X462" s="18">
        <f t="shared" si="376"/>
        <v>1.2665093029006775</v>
      </c>
      <c r="Y462" s="18">
        <f t="shared" si="377"/>
        <v>-0.66068546416414708</v>
      </c>
      <c r="Z462" s="32" t="str">
        <f t="shared" si="364"/>
        <v>0.924142242497081+0.424181209874333i</v>
      </c>
      <c r="AA462" s="18">
        <f t="shared" si="378"/>
        <v>1.0168424574033024</v>
      </c>
      <c r="AB462" s="18">
        <f t="shared" si="379"/>
        <v>0.43031300153314217</v>
      </c>
      <c r="AC462" s="68" t="str">
        <f t="shared" si="380"/>
        <v>-0.00189237573752967-0.0436245252418119i</v>
      </c>
      <c r="AD462" s="66">
        <f t="shared" si="381"/>
        <v>-27.197221231985115</v>
      </c>
      <c r="AE462" s="63">
        <f t="shared" si="382"/>
        <v>-92.483859956532783</v>
      </c>
      <c r="AF462" s="51" t="e">
        <f t="shared" si="383"/>
        <v>#NUM!</v>
      </c>
      <c r="AG462" s="51" t="str">
        <f t="shared" si="365"/>
        <v>1-741.656970918288i</v>
      </c>
      <c r="AH462" s="51">
        <f t="shared" si="384"/>
        <v>741.65764508409825</v>
      </c>
      <c r="AI462" s="51">
        <f t="shared" si="385"/>
        <v>-1.5694479953786051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-0.000133283554228113</v>
      </c>
      <c r="AT462" s="32" t="str">
        <f t="shared" si="369"/>
        <v>0.105735562153917i</v>
      </c>
      <c r="AU462" s="32">
        <f t="shared" si="393"/>
        <v>0.105735562153917</v>
      </c>
      <c r="AV462" s="32">
        <f t="shared" si="394"/>
        <v>1.5707963267948966</v>
      </c>
      <c r="AW462" s="32" t="str">
        <f t="shared" si="370"/>
        <v>1+18.4870793887592i</v>
      </c>
      <c r="AX462" s="32">
        <f t="shared" si="395"/>
        <v>18.51410555026316</v>
      </c>
      <c r="AY462" s="32">
        <f t="shared" si="396"/>
        <v>1.5167571582029993</v>
      </c>
      <c r="AZ462" s="32" t="str">
        <f t="shared" si="371"/>
        <v>1+275.502573330045i</v>
      </c>
      <c r="BA462" s="32">
        <f t="shared" si="397"/>
        <v>275.50438818914807</v>
      </c>
      <c r="BB462" s="32">
        <f t="shared" si="398"/>
        <v>1.5671666125737167</v>
      </c>
      <c r="BC462" s="60" t="str">
        <f t="shared" si="399"/>
        <v>-0.000945168678404893+0.0187339450711009i</v>
      </c>
      <c r="BD462" s="51">
        <f t="shared" si="400"/>
        <v>-34.536374558545234</v>
      </c>
      <c r="BE462" s="63">
        <f t="shared" si="401"/>
        <v>92.8882489829994</v>
      </c>
      <c r="BF462" s="60" t="str">
        <f t="shared" si="402"/>
        <v>0.000819048073907845+5.78087174807936E-06i</v>
      </c>
      <c r="BG462" s="66">
        <f t="shared" si="403"/>
        <v>-61.733595790530352</v>
      </c>
      <c r="BH462" s="63">
        <f t="shared" si="404"/>
        <v>0.40438902646662173</v>
      </c>
      <c r="BI462" s="60" t="e">
        <f t="shared" si="409"/>
        <v>#NUM!</v>
      </c>
      <c r="BJ462" s="66" t="e">
        <f t="shared" si="405"/>
        <v>#NUM!</v>
      </c>
      <c r="BK462" s="63" t="e">
        <f t="shared" si="410"/>
        <v>#NUM!</v>
      </c>
      <c r="BL462" s="51">
        <f t="shared" si="406"/>
        <v>-61.733595790530352</v>
      </c>
      <c r="BM462" s="63">
        <f t="shared" si="407"/>
        <v>0.40438902646662173</v>
      </c>
    </row>
    <row r="463" spans="14:65" x14ac:dyDescent="0.3">
      <c r="N463" s="11">
        <v>45</v>
      </c>
      <c r="O463" s="52">
        <f t="shared" si="408"/>
        <v>281838.29312644573</v>
      </c>
      <c r="P463" s="50" t="str">
        <f t="shared" si="360"/>
        <v>21.1560044893378</v>
      </c>
      <c r="Q463" s="18" t="str">
        <f t="shared" si="361"/>
        <v>1+1234.22336710822i</v>
      </c>
      <c r="R463" s="18">
        <f t="shared" si="372"/>
        <v>1234.2237722212092</v>
      </c>
      <c r="S463" s="18">
        <f t="shared" si="373"/>
        <v>1.56998610086025</v>
      </c>
      <c r="T463" s="18" t="str">
        <f t="shared" si="362"/>
        <v>1+1.77084222237266i</v>
      </c>
      <c r="U463" s="18">
        <f t="shared" si="374"/>
        <v>2.0336868432818616</v>
      </c>
      <c r="V463" s="18">
        <f t="shared" si="375"/>
        <v>1.0567349101621339</v>
      </c>
      <c r="W463" s="32" t="str">
        <f t="shared" si="363"/>
        <v>1-0.795307246615887i</v>
      </c>
      <c r="X463" s="18">
        <f t="shared" si="376"/>
        <v>1.2776985624628929</v>
      </c>
      <c r="Y463" s="18">
        <f t="shared" si="377"/>
        <v>-0.67187294981965484</v>
      </c>
      <c r="Z463" s="32" t="str">
        <f t="shared" si="364"/>
        <v>0.920567176527572+0.434061659521577i</v>
      </c>
      <c r="AA463" s="18">
        <f t="shared" si="378"/>
        <v>1.0177688592045697</v>
      </c>
      <c r="AB463" s="18">
        <f t="shared" si="379"/>
        <v>0.44060143095955345</v>
      </c>
      <c r="AC463" s="68" t="str">
        <f t="shared" si="380"/>
        <v>-0.00240263766757066-0.0436965912220481i</v>
      </c>
      <c r="AD463" s="66">
        <f t="shared" si="381"/>
        <v>-27.177938598736212</v>
      </c>
      <c r="AE463" s="63">
        <f t="shared" si="382"/>
        <v>-93.147213892144563</v>
      </c>
      <c r="AF463" s="51" t="e">
        <f t="shared" si="383"/>
        <v>#NUM!</v>
      </c>
      <c r="AG463" s="51" t="str">
        <f t="shared" si="365"/>
        <v>1-758.932381016855i</v>
      </c>
      <c r="AH463" s="51">
        <f t="shared" si="384"/>
        <v>758.93303983679129</v>
      </c>
      <c r="AI463" s="51">
        <f t="shared" si="385"/>
        <v>-1.5694786871127746</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-0.000133283554228113</v>
      </c>
      <c r="AT463" s="32" t="str">
        <f t="shared" si="369"/>
        <v>0.108198459786969i</v>
      </c>
      <c r="AU463" s="32">
        <f t="shared" si="393"/>
        <v>0.108198459786969</v>
      </c>
      <c r="AV463" s="32">
        <f t="shared" si="394"/>
        <v>1.5707963267948966</v>
      </c>
      <c r="AW463" s="32" t="str">
        <f t="shared" si="370"/>
        <v>1+18.9176987862552i</v>
      </c>
      <c r="AX463" s="32">
        <f t="shared" si="395"/>
        <v>18.944110624874465</v>
      </c>
      <c r="AY463" s="32">
        <f t="shared" si="396"/>
        <v>1.517984927423357</v>
      </c>
      <c r="AZ463" s="32" t="str">
        <f t="shared" si="371"/>
        <v>1+281.91985264395i</v>
      </c>
      <c r="BA463" s="32">
        <f t="shared" si="397"/>
        <v>281.92162619207932</v>
      </c>
      <c r="BB463" s="32">
        <f t="shared" si="398"/>
        <v>1.5672492342554285</v>
      </c>
      <c r="BC463" s="60" t="str">
        <f t="shared" si="399"/>
        <v>-0.000902747614961944+0.0183097508196507i</v>
      </c>
      <c r="BD463" s="51">
        <f t="shared" si="400"/>
        <v>-34.735806849449347</v>
      </c>
      <c r="BE463" s="63">
        <f t="shared" si="401"/>
        <v>92.822636862115175</v>
      </c>
      <c r="BF463" s="60" t="str">
        <f t="shared" si="402"/>
        <v>0.000802242672367854-0.0000045447034954546i</v>
      </c>
      <c r="BG463" s="66">
        <f t="shared" si="403"/>
        <v>-61.913745448185551</v>
      </c>
      <c r="BH463" s="63">
        <f t="shared" si="404"/>
        <v>-0.32457703002937349</v>
      </c>
      <c r="BI463" s="60" t="e">
        <f t="shared" si="409"/>
        <v>#NUM!</v>
      </c>
      <c r="BJ463" s="66" t="e">
        <f t="shared" si="405"/>
        <v>#NUM!</v>
      </c>
      <c r="BK463" s="63" t="e">
        <f t="shared" si="410"/>
        <v>#NUM!</v>
      </c>
      <c r="BL463" s="51">
        <f t="shared" si="406"/>
        <v>-61.913745448185551</v>
      </c>
      <c r="BM463" s="63">
        <f t="shared" si="407"/>
        <v>-0.32457703002937349</v>
      </c>
    </row>
    <row r="464" spans="14:65" x14ac:dyDescent="0.3">
      <c r="N464" s="11">
        <v>46</v>
      </c>
      <c r="O464" s="52">
        <f t="shared" si="408"/>
        <v>288403.1503126609</v>
      </c>
      <c r="P464" s="50" t="str">
        <f t="shared" si="360"/>
        <v>21.1560044893378</v>
      </c>
      <c r="Q464" s="18" t="str">
        <f t="shared" si="361"/>
        <v>1+1262.972122471i</v>
      </c>
      <c r="R464" s="18">
        <f t="shared" si="372"/>
        <v>1262.9725183624948</v>
      </c>
      <c r="S464" s="18">
        <f t="shared" si="373"/>
        <v>1.5700045438463783</v>
      </c>
      <c r="T464" s="18" t="str">
        <f t="shared" si="362"/>
        <v>1+1.81209043658882i</v>
      </c>
      <c r="U464" s="18">
        <f t="shared" si="374"/>
        <v>2.0697033000835314</v>
      </c>
      <c r="V464" s="18">
        <f t="shared" si="375"/>
        <v>1.066534771515067</v>
      </c>
      <c r="W464" s="32" t="str">
        <f t="shared" si="363"/>
        <v>1-0.813832332172139i</v>
      </c>
      <c r="X464" s="18">
        <f t="shared" si="376"/>
        <v>1.2893110815038948</v>
      </c>
      <c r="Y464" s="18">
        <f t="shared" si="377"/>
        <v>-0.68311856594662168</v>
      </c>
      <c r="Z464" s="32" t="str">
        <f t="shared" si="364"/>
        <v>0.916823622889733+0.444172254406185i</v>
      </c>
      <c r="AA464" s="18">
        <f t="shared" si="378"/>
        <v>1.0187514648200158</v>
      </c>
      <c r="AB464" s="18">
        <f t="shared" si="379"/>
        <v>0.45114546374161446</v>
      </c>
      <c r="AC464" s="68" t="str">
        <f t="shared" si="380"/>
        <v>-0.00293482541749895-0.0437787773315179i</v>
      </c>
      <c r="AD464" s="66">
        <f t="shared" si="381"/>
        <v>-27.155253775860736</v>
      </c>
      <c r="AE464" s="63">
        <f t="shared" si="382"/>
        <v>-93.835234821634145</v>
      </c>
      <c r="AF464" s="51" t="e">
        <f t="shared" si="383"/>
        <v>#NUM!</v>
      </c>
      <c r="AG464" s="51" t="str">
        <f t="shared" si="365"/>
        <v>1-776.610187109495i</v>
      </c>
      <c r="AH464" s="51">
        <f t="shared" si="384"/>
        <v>776.61083093287129</v>
      </c>
      <c r="AI464" s="51">
        <f t="shared" si="385"/>
        <v>-1.5695086802201794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-0.000133283554228113</v>
      </c>
      <c r="AT464" s="32" t="str">
        <f t="shared" si="369"/>
        <v>0.110718725675577i</v>
      </c>
      <c r="AU464" s="32">
        <f t="shared" si="393"/>
        <v>0.110718725675577</v>
      </c>
      <c r="AV464" s="32">
        <f t="shared" si="394"/>
        <v>1.5707963267948966</v>
      </c>
      <c r="AW464" s="32" t="str">
        <f t="shared" si="370"/>
        <v>1+19.3583485980531i</v>
      </c>
      <c r="AX464" s="32">
        <f t="shared" si="395"/>
        <v>19.384160039675294</v>
      </c>
      <c r="AY464" s="32">
        <f t="shared" si="396"/>
        <v>1.5191849032167521</v>
      </c>
      <c r="AZ464" s="32" t="str">
        <f t="shared" si="371"/>
        <v>1+288.486609595377i</v>
      </c>
      <c r="BA464" s="32">
        <f t="shared" si="397"/>
        <v>288.4883427728675</v>
      </c>
      <c r="BB464" s="32">
        <f t="shared" si="398"/>
        <v>1.56732997528485</v>
      </c>
      <c r="BC464" s="60" t="str">
        <f t="shared" si="399"/>
        <v>-0.000862225411885084+0.0178950632749456i</v>
      </c>
      <c r="BD464" s="51">
        <f t="shared" si="400"/>
        <v>-34.935264621558574</v>
      </c>
      <c r="BE464" s="63">
        <f t="shared" si="401"/>
        <v>92.758509433855195</v>
      </c>
      <c r="BF464" s="60" t="str">
        <f t="shared" si="402"/>
        <v>0.000785954471501681-0.000014771712230569i</v>
      </c>
      <c r="BG464" s="66">
        <f t="shared" si="403"/>
        <v>-62.090518397419309</v>
      </c>
      <c r="BH464" s="63">
        <f t="shared" si="404"/>
        <v>-1.0767253877789478</v>
      </c>
      <c r="BI464" s="60" t="e">
        <f t="shared" si="409"/>
        <v>#NUM!</v>
      </c>
      <c r="BJ464" s="66" t="e">
        <f t="shared" si="405"/>
        <v>#NUM!</v>
      </c>
      <c r="BK464" s="63" t="e">
        <f t="shared" si="410"/>
        <v>#NUM!</v>
      </c>
      <c r="BL464" s="51">
        <f t="shared" si="406"/>
        <v>-62.090518397419309</v>
      </c>
      <c r="BM464" s="63">
        <f t="shared" si="407"/>
        <v>-1.0767253877789478</v>
      </c>
    </row>
    <row r="465" spans="14:65" x14ac:dyDescent="0.3">
      <c r="N465" s="11">
        <v>47</v>
      </c>
      <c r="O465" s="52">
        <f t="shared" si="408"/>
        <v>295120.92266663886</v>
      </c>
      <c r="P465" s="50" t="str">
        <f t="shared" si="360"/>
        <v>21.1560044893378</v>
      </c>
      <c r="Q465" s="18" t="str">
        <f t="shared" si="361"/>
        <v>1+1292.39052237052i</v>
      </c>
      <c r="R465" s="18">
        <f t="shared" si="372"/>
        <v>1292.3909092504271</v>
      </c>
      <c r="S465" s="18">
        <f t="shared" si="373"/>
        <v>1.5700225670194088</v>
      </c>
      <c r="T465" s="18" t="str">
        <f t="shared" si="362"/>
        <v>1+1.85429944514031i</v>
      </c>
      <c r="U465" s="18">
        <f t="shared" si="374"/>
        <v>2.1067573263780672</v>
      </c>
      <c r="V465" s="18">
        <f t="shared" si="375"/>
        <v>1.0762150829346488</v>
      </c>
      <c r="W465" s="32" t="str">
        <f t="shared" si="363"/>
        <v>1-0.832788922403252i</v>
      </c>
      <c r="X465" s="18">
        <f t="shared" si="376"/>
        <v>1.3013598231379244</v>
      </c>
      <c r="Y465" s="18">
        <f t="shared" si="377"/>
        <v>-0.69441689846465915</v>
      </c>
      <c r="Z465" s="32" t="str">
        <f t="shared" si="364"/>
        <v>0.912903641004392+0.454518355299392i</v>
      </c>
      <c r="AA465" s="18">
        <f t="shared" si="378"/>
        <v>1.0197940934635481</v>
      </c>
      <c r="AB465" s="18">
        <f t="shared" si="379"/>
        <v>0.46195183071560125</v>
      </c>
      <c r="AC465" s="68" t="str">
        <f t="shared" si="380"/>
        <v>-0.0034897430840181-0.0438701835020393i</v>
      </c>
      <c r="AD465" s="66">
        <f t="shared" si="381"/>
        <v>-27.129216574654006</v>
      </c>
      <c r="AE465" s="63">
        <f t="shared" si="382"/>
        <v>-94.548132472965605</v>
      </c>
      <c r="AF465" s="51" t="e">
        <f t="shared" si="383"/>
        <v>#NUM!</v>
      </c>
      <c r="AG465" s="51" t="str">
        <f t="shared" si="365"/>
        <v>1-794.699762202991i</v>
      </c>
      <c r="AH465" s="51">
        <f t="shared" si="384"/>
        <v>794.70039137116976</v>
      </c>
      <c r="AI465" s="51">
        <f t="shared" si="385"/>
        <v>-1.5695379906033462</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-0.000133283554228113</v>
      </c>
      <c r="AT465" s="32" t="str">
        <f t="shared" si="369"/>
        <v>0.113297696098073i</v>
      </c>
      <c r="AU465" s="32">
        <f t="shared" si="393"/>
        <v>0.113297696098073</v>
      </c>
      <c r="AV465" s="32">
        <f t="shared" si="394"/>
        <v>1.5707963267948966</v>
      </c>
      <c r="AW465" s="32" t="str">
        <f t="shared" si="370"/>
        <v>1+19.8092624625157i</v>
      </c>
      <c r="AX465" s="32">
        <f t="shared" si="395"/>
        <v>19.834487119883732</v>
      </c>
      <c r="AY465" s="32">
        <f t="shared" si="396"/>
        <v>1.5203577079952286</v>
      </c>
      <c r="AZ465" s="32" t="str">
        <f t="shared" si="371"/>
        <v>1+295.206325965782i</v>
      </c>
      <c r="BA465" s="32">
        <f t="shared" si="397"/>
        <v>295.2080196915652</v>
      </c>
      <c r="BB465" s="32">
        <f t="shared" si="398"/>
        <v>1.5674088784677305</v>
      </c>
      <c r="BC465" s="60" t="str">
        <f t="shared" si="399"/>
        <v>-0.000823517518070164+0.0174896759336709i</v>
      </c>
      <c r="BD465" s="51">
        <f t="shared" si="400"/>
        <v>-35.134746734165077</v>
      </c>
      <c r="BE465" s="63">
        <f t="shared" si="401"/>
        <v>92.695833489224896</v>
      </c>
      <c r="BF465" s="60" t="str">
        <f t="shared" si="402"/>
        <v>0.000770149157164596-0.0000249066109963638i</v>
      </c>
      <c r="BG465" s="66">
        <f t="shared" si="403"/>
        <v>-62.263963308819086</v>
      </c>
      <c r="BH465" s="63">
        <f t="shared" si="404"/>
        <v>-1.85229898374071</v>
      </c>
      <c r="BI465" s="60" t="e">
        <f t="shared" si="409"/>
        <v>#NUM!</v>
      </c>
      <c r="BJ465" s="66" t="e">
        <f t="shared" si="405"/>
        <v>#NUM!</v>
      </c>
      <c r="BK465" s="63" t="e">
        <f t="shared" si="410"/>
        <v>#NUM!</v>
      </c>
      <c r="BL465" s="51">
        <f t="shared" si="406"/>
        <v>-62.263963308819086</v>
      </c>
      <c r="BM465" s="63">
        <f t="shared" si="407"/>
        <v>-1.85229898374071</v>
      </c>
    </row>
    <row r="466" spans="14:65" x14ac:dyDescent="0.3">
      <c r="N466" s="11">
        <v>48</v>
      </c>
      <c r="O466" s="52">
        <f t="shared" si="408"/>
        <v>301995.17204020242</v>
      </c>
      <c r="P466" s="50" t="str">
        <f t="shared" si="360"/>
        <v>21.1560044893378</v>
      </c>
      <c r="Q466" s="18" t="str">
        <f t="shared" si="361"/>
        <v>1+1322.49416483182i</v>
      </c>
      <c r="R466" s="18">
        <f t="shared" si="372"/>
        <v>1322.4945429052677</v>
      </c>
      <c r="S466" s="18">
        <f t="shared" si="373"/>
        <v>1.5700401799354198</v>
      </c>
      <c r="T466" s="18" t="str">
        <f t="shared" si="362"/>
        <v>1+1.89749162780217i</v>
      </c>
      <c r="U466" s="18">
        <f t="shared" si="374"/>
        <v>2.1448716692565384</v>
      </c>
      <c r="V466" s="18">
        <f t="shared" si="375"/>
        <v>1.0857737192683083</v>
      </c>
      <c r="W466" s="32" t="str">
        <f t="shared" si="363"/>
        <v>1-0.852187068344288i</v>
      </c>
      <c r="X466" s="18">
        <f t="shared" si="376"/>
        <v>1.3138579829849313</v>
      </c>
      <c r="Y466" s="18">
        <f t="shared" si="377"/>
        <v>-0.70576240056966544</v>
      </c>
      <c r="Z466" s="32" t="str">
        <f t="shared" si="364"/>
        <v>0.908798916064409+0.465105447840842i</v>
      </c>
      <c r="AA466" s="18">
        <f t="shared" si="378"/>
        <v>1.0209008509405184</v>
      </c>
      <c r="AB466" s="18">
        <f t="shared" si="379"/>
        <v>0.47302743153483473</v>
      </c>
      <c r="AC466" s="68" t="str">
        <f t="shared" si="380"/>
        <v>-0.00406820600292307-0.0439698484813354i</v>
      </c>
      <c r="AD466" s="66">
        <f t="shared" si="381"/>
        <v>-27.099881338912667</v>
      </c>
      <c r="AE466" s="63">
        <f t="shared" si="382"/>
        <v>-95.286106668486482</v>
      </c>
      <c r="AF466" s="51" t="e">
        <f t="shared" si="383"/>
        <v>#NUM!</v>
      </c>
      <c r="AG466" s="51" t="str">
        <f t="shared" si="365"/>
        <v>1-813.210697629503i</v>
      </c>
      <c r="AH466" s="51">
        <f t="shared" si="384"/>
        <v>813.21131247607661</v>
      </c>
      <c r="AI466" s="51">
        <f t="shared" si="385"/>
        <v>-1.5695666338028262</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-0.000133283554228113</v>
      </c>
      <c r="AT466" s="32" t="str">
        <f t="shared" si="369"/>
        <v>0.115936738458713i</v>
      </c>
      <c r="AU466" s="32">
        <f t="shared" si="393"/>
        <v>0.115936738458713</v>
      </c>
      <c r="AV466" s="32">
        <f t="shared" si="394"/>
        <v>1.5707963267948966</v>
      </c>
      <c r="AW466" s="32" t="str">
        <f t="shared" si="370"/>
        <v>1+20.2706794601425i</v>
      </c>
      <c r="AX466" s="32">
        <f t="shared" si="395"/>
        <v>20.295330639727034</v>
      </c>
      <c r="AY466" s="32">
        <f t="shared" si="396"/>
        <v>1.5215039506828063</v>
      </c>
      <c r="AZ466" s="32" t="str">
        <f t="shared" si="371"/>
        <v>1+302.082564637733i</v>
      </c>
      <c r="BA466" s="32">
        <f t="shared" si="397"/>
        <v>302.08421980982416</v>
      </c>
      <c r="BB466" s="32">
        <f t="shared" si="398"/>
        <v>1.5674859856356498</v>
      </c>
      <c r="BC466" s="60" t="str">
        <f t="shared" si="399"/>
        <v>-0.000786543108080167+0.0170933863389098i</v>
      </c>
      <c r="BD466" s="51">
        <f t="shared" si="400"/>
        <v>-35.334252097364043</v>
      </c>
      <c r="BE466" s="63">
        <f t="shared" si="401"/>
        <v>92.634576536220948</v>
      </c>
      <c r="BF466" s="60" t="str">
        <f t="shared" si="402"/>
        <v>0.000754793426748642-0.0000349552356279125i</v>
      </c>
      <c r="BG466" s="66">
        <f t="shared" si="403"/>
        <v>-62.43413343627671</v>
      </c>
      <c r="BH466" s="63">
        <f t="shared" si="404"/>
        <v>-2.6515301322655334</v>
      </c>
      <c r="BI466" s="60" t="e">
        <f t="shared" si="409"/>
        <v>#NUM!</v>
      </c>
      <c r="BJ466" s="66" t="e">
        <f t="shared" si="405"/>
        <v>#NUM!</v>
      </c>
      <c r="BK466" s="63" t="e">
        <f t="shared" si="410"/>
        <v>#NUM!</v>
      </c>
      <c r="BL466" s="51">
        <f t="shared" si="406"/>
        <v>-62.43413343627671</v>
      </c>
      <c r="BM466" s="63">
        <f t="shared" si="407"/>
        <v>-2.6515301322655334</v>
      </c>
    </row>
    <row r="467" spans="14:65" x14ac:dyDescent="0.3">
      <c r="N467" s="11">
        <v>49</v>
      </c>
      <c r="O467" s="52">
        <f t="shared" si="408"/>
        <v>309029.54325135931</v>
      </c>
      <c r="P467" s="50" t="str">
        <f t="shared" ref="P467:P530" si="411">COMPLEX(Adc,0)</f>
        <v>21.1560044893378</v>
      </c>
      <c r="Q467" s="18" t="str">
        <f t="shared" ref="Q467:Q530" si="412">IMSUM(COMPLEX(1,0),IMDIV(COMPLEX(0,2*PI()*O467),COMPLEX(wp_lf,0)))</f>
        <v>1+1353.29901120459i</v>
      </c>
      <c r="R467" s="18">
        <f t="shared" si="372"/>
        <v>1353.2993806720376</v>
      </c>
      <c r="S467" s="18">
        <f t="shared" si="373"/>
        <v>1.5700573919329686</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1-0.87203705514899i</v>
      </c>
      <c r="X467" s="18">
        <f t="shared" si="376"/>
        <v>1.3268189874858298</v>
      </c>
      <c r="Y467" s="18">
        <f t="shared" si="377"/>
        <v>-0.71714940542357353</v>
      </c>
      <c r="Z467" s="32" t="str">
        <f t="shared" ref="Z467:Z530" si="415">IMSUM(COMPLEX(1,0),IMDIV(COMPLEX(0,2*PI()*O467),COMPLEX(Q*(wsl/2),0)),IMDIV(IMPOWER(COMPLEX(0,2*PI()*O467),2),IMPOWER(COMPLEX(wsl/2,0),2)))</f>
        <v>0.904500741397856+0.475939145447135i</v>
      </c>
      <c r="AA467" s="18">
        <f t="shared" si="378"/>
        <v>1.022076152426139</v>
      </c>
      <c r="AB467" s="18">
        <f t="shared" si="379"/>
        <v>0.48437933437814268</v>
      </c>
      <c r="AC467" s="68" t="str">
        <f t="shared" si="380"/>
        <v>-0.00467103826126012-0.0440767452120727i</v>
      </c>
      <c r="AD467" s="66">
        <f t="shared" si="381"/>
        <v>-27.067307088412459</v>
      </c>
      <c r="AE467" s="63">
        <f t="shared" si="382"/>
        <v>-96.049348213249999</v>
      </c>
      <c r="AF467" s="51" t="e">
        <f t="shared" si="383"/>
        <v>#NUM!</v>
      </c>
      <c r="AG467" s="51" t="str">
        <f t="shared" ref="AG467:AG530" si="416">IMSUM(COMPLEX(1,0),IMDIV(COMPLEX(0,2*PI()*O467),COMPLEX(wp_lf_DCM,0)))</f>
        <v>1-832.152808132013i</v>
      </c>
      <c r="AH467" s="51">
        <f t="shared" si="384"/>
        <v>832.15340898298007</v>
      </c>
      <c r="AI467" s="51">
        <f t="shared" si="385"/>
        <v>-1.5695946250054353</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-0.000133283554228113</v>
      </c>
      <c r="AT467" s="32" t="str">
        <f t="shared" ref="AT467:AT530" si="420">COMPLEX(0,2*PI()*O467*wp0_ea)</f>
        <v>0.118637252012687i</v>
      </c>
      <c r="AU467" s="32">
        <f t="shared" si="393"/>
        <v>0.118637252012687</v>
      </c>
      <c r="AV467" s="32">
        <f t="shared" si="394"/>
        <v>1.5707963267948966</v>
      </c>
      <c r="AW467" s="32" t="str">
        <f t="shared" ref="AW467:AW530" si="421">IMSUM(COMPLEX(1,0),IMDIV(COMPLEX(0,2*PI()*O467),COMPLEX(wp1_ea,0)))</f>
        <v>1+20.7428442403332i</v>
      </c>
      <c r="AX467" s="32">
        <f t="shared" si="395"/>
        <v>20.766934949065647</v>
      </c>
      <c r="AY467" s="32">
        <f t="shared" si="396"/>
        <v>1.5226242269775561</v>
      </c>
      <c r="AZ467" s="32" t="str">
        <f t="shared" ref="AZ467:AZ530" si="422">IMSUM(COMPLEX(1,0),IMDIV(COMPLEX(0,2*PI()*O467),COMPLEX(wz_ea,0)))</f>
        <v>1+309.11897148399i</v>
      </c>
      <c r="BA467" s="32">
        <f t="shared" si="397"/>
        <v>309.12058897996394</v>
      </c>
      <c r="BB467" s="32">
        <f t="shared" si="398"/>
        <v>1.5675613376681796</v>
      </c>
      <c r="BC467" s="60" t="str">
        <f t="shared" si="399"/>
        <v>-0.000751224921421517+0.0167059960310203i</v>
      </c>
      <c r="BD467" s="51">
        <f t="shared" si="400"/>
        <v>-35.533779669813313</v>
      </c>
      <c r="BE467" s="63">
        <f t="shared" si="401"/>
        <v>92.57470678608496</v>
      </c>
      <c r="BF467" s="60" t="str">
        <f t="shared" si="402"/>
        <v>0.000739854930923952-0.0000449227971949i</v>
      </c>
      <c r="BG467" s="66">
        <f t="shared" si="403"/>
        <v>-62.601086758225776</v>
      </c>
      <c r="BH467" s="63">
        <f t="shared" si="404"/>
        <v>-3.4746414271650554</v>
      </c>
      <c r="BI467" s="60" t="e">
        <f t="shared" si="409"/>
        <v>#NUM!</v>
      </c>
      <c r="BJ467" s="66" t="e">
        <f t="shared" si="405"/>
        <v>#NUM!</v>
      </c>
      <c r="BK467" s="63" t="e">
        <f t="shared" si="410"/>
        <v>#NUM!</v>
      </c>
      <c r="BL467" s="51">
        <f t="shared" si="406"/>
        <v>-62.601086758225776</v>
      </c>
      <c r="BM467" s="63">
        <f t="shared" si="407"/>
        <v>-3.4746414271650554</v>
      </c>
    </row>
    <row r="468" spans="14:65" x14ac:dyDescent="0.3">
      <c r="N468" s="11">
        <v>50</v>
      </c>
      <c r="O468" s="52">
        <f t="shared" si="408"/>
        <v>316227.7660168382</v>
      </c>
      <c r="P468" s="50" t="str">
        <f t="shared" si="411"/>
        <v>21.1560044893378</v>
      </c>
      <c r="Q468" s="18" t="str">
        <f t="shared" si="412"/>
        <v>1+1384.82139462613i</v>
      </c>
      <c r="R468" s="18">
        <f t="shared" ref="R468:R531" si="423">IMABS(Q468)</f>
        <v>1384.8217556834743</v>
      </c>
      <c r="S468" s="18">
        <f t="shared" ref="S468:S531" si="424">IMARGUMENT(Q468)</f>
        <v>1.5700742121380433</v>
      </c>
      <c r="T468" s="18" t="str">
        <f t="shared" si="413"/>
        <v>1+1.98691765315922i</v>
      </c>
      <c r="U468" s="18">
        <f t="shared" ref="U468:U531" si="425">IMABS(T468)</f>
        <v>2.2243744649756576</v>
      </c>
      <c r="V468" s="18">
        <f t="shared" ref="V468:V531" si="426">IMARGUMENT(T468)</f>
        <v>1.1045184906420491</v>
      </c>
      <c r="W468" s="32" t="str">
        <f t="shared" si="414"/>
        <v>1-0.892349407543106i</v>
      </c>
      <c r="X468" s="18">
        <f t="shared" ref="X468:X531" si="427">IMABS(W468)</f>
        <v>1.340256492296356</v>
      </c>
      <c r="Y468" s="18">
        <f t="shared" ref="Y468:Y531" si="428">IMARGUMENT(W468)</f>
        <v>-0.72857213957460032</v>
      </c>
      <c r="Z468" s="32" t="str">
        <f t="shared" si="415"/>
        <v>0.9+0.487025192288144i</v>
      </c>
      <c r="AA468" s="18">
        <f t="shared" ref="AA468:AA531" si="429">IMABS(Z468)</f>
        <v>1.0233247470491973</v>
      </c>
      <c r="AB468" s="18">
        <f t="shared" ref="AB468:AB531" si="430">IMARGUMENT(Z468)</f>
        <v>0.49601477478473188</v>
      </c>
      <c r="AC468" s="68" t="str">
        <f t="shared" ref="AC468:AC531" si="431">(IMDIV(IMPRODUCT(P468,T468,W468),IMPRODUCT(Q468,Z468)))</f>
        <v>-0.00529906976309161-0.0441897760260738i</v>
      </c>
      <c r="AD468" s="66">
        <f t="shared" ref="AD468:AD531" si="432">20*LOG(IMABS(AC468))</f>
        <v>-27.031557669457364</v>
      </c>
      <c r="AE468" s="63">
        <f t="shared" ref="AE468:AE531" si="433">(180/PI())*IMARGUMENT(AC468)</f>
        <v>-96.838039809626494</v>
      </c>
      <c r="AF468" s="51" t="e">
        <f t="shared" ref="AF468:AF531" si="434">COMPLEX($B$68,0)</f>
        <v>#NUM!</v>
      </c>
      <c r="AG468" s="51" t="str">
        <f t="shared" si="416"/>
        <v>1-851.536137068238i</v>
      </c>
      <c r="AH468" s="51">
        <f t="shared" ref="AH468:AH531" si="435">IMABS(AG468)</f>
        <v>851.53672424217666</v>
      </c>
      <c r="AI468" s="51">
        <f t="shared" ref="AI468:AI531" si="436">IMARGUMENT(AG468)</f>
        <v>-1.5696219790523036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-0.000133283554228113</v>
      </c>
      <c r="AT468" s="32" t="str">
        <f t="shared" si="420"/>
        <v>0.121400668608028i</v>
      </c>
      <c r="AU468" s="32">
        <f t="shared" ref="AU468:AU531" si="444">IMABS(AT468)</f>
        <v>0.12140066860802801</v>
      </c>
      <c r="AV468" s="32">
        <f t="shared" ref="AV468:AV531" si="445">IMARGUMENT(AT468)</f>
        <v>1.5707963267948966</v>
      </c>
      <c r="AW468" s="32" t="str">
        <f t="shared" si="421"/>
        <v>1+21.2260071511042i</v>
      </c>
      <c r="AX468" s="32">
        <f t="shared" ref="AX468:AX531" si="446">IMABS(AW468)</f>
        <v>21.249550102972215</v>
      </c>
      <c r="AY468" s="32">
        <f t="shared" ref="AY468:AY531" si="447">IMARGUMENT(AW468)</f>
        <v>1.5237191196106628</v>
      </c>
      <c r="AZ468" s="32" t="str">
        <f t="shared" si="422"/>
        <v>1+316.319277300601i</v>
      </c>
      <c r="BA468" s="32">
        <f t="shared" ref="BA468:BA531" si="448">IMABS(AZ468)</f>
        <v>316.32085797805763</v>
      </c>
      <c r="BB468" s="32">
        <f t="shared" ref="BB468:BB531" si="449">IMARGUMENT(AZ468)</f>
        <v>1.5676349745145399</v>
      </c>
      <c r="BC468" s="60" t="str">
        <f t="shared" ref="BC468:BC531" si="450">IMPRODUCT(AS468,IMDIV(AZ468,IMPRODUCT(AT468,AW468)))</f>
        <v>-0.000717489108449338+0.016327310496832i</v>
      </c>
      <c r="BD468" s="51">
        <f t="shared" ref="BD468:BD531" si="451">20*LOG(IMABS(BC468))</f>
        <v>-35.733328456591266</v>
      </c>
      <c r="BE468" s="63">
        <f t="shared" ref="BE468:BE531" si="452">(180/PI())*IMARGUMENT(BC468)</f>
        <v>92.516193139701045</v>
      </c>
      <c r="BF468" s="60" t="str">
        <f t="shared" ref="BF468:BF531" si="453">IMPRODUCT(AC468,BC468)</f>
        <v>0.000725302218803101-0.0000548138743628471i</v>
      </c>
      <c r="BG468" s="66">
        <f t="shared" ref="BG468:BG531" si="454">20*LOG(IMABS(BF468))</f>
        <v>-62.764886126048637</v>
      </c>
      <c r="BH468" s="63">
        <f t="shared" ref="BH468:BH531" si="455">(180/PI())*IMARGUMENT(BF468)</f>
        <v>-4.3218466699254421</v>
      </c>
      <c r="BI468" s="60" t="e">
        <f t="shared" si="409"/>
        <v>#NUM!</v>
      </c>
      <c r="BJ468" s="66" t="e">
        <f t="shared" ref="BJ468:BJ531" si="456">20*LOG(IMABS(BI468))</f>
        <v>#NUM!</v>
      </c>
      <c r="BK468" s="63" t="e">
        <f t="shared" si="410"/>
        <v>#NUM!</v>
      </c>
      <c r="BL468" s="51">
        <f t="shared" ref="BL468:BL531" si="457">IF($B$31=0,BJ468,BG468)</f>
        <v>-62.764886126048637</v>
      </c>
      <c r="BM468" s="63">
        <f t="shared" ref="BM468:BM531" si="458">IF($B$31=0,BK468,BH468)</f>
        <v>-4.3218466699254421</v>
      </c>
    </row>
    <row r="469" spans="14:65" x14ac:dyDescent="0.3">
      <c r="N469" s="11">
        <v>51</v>
      </c>
      <c r="O469" s="52">
        <f t="shared" si="408"/>
        <v>323593.65692962846</v>
      </c>
      <c r="P469" s="50" t="str">
        <f t="shared" si="411"/>
        <v>21.1560044893378</v>
      </c>
      <c r="Q469" s="18" t="str">
        <f t="shared" si="412"/>
        <v>1+1417.07802868137i</v>
      </c>
      <c r="R469" s="18">
        <f t="shared" si="423"/>
        <v>1417.0783815200477</v>
      </c>
      <c r="S469" s="18">
        <f t="shared" si="424"/>
        <v>1.5700906494689013</v>
      </c>
      <c r="T469" s="18" t="str">
        <f t="shared" si="413"/>
        <v>1+2.03319891071675i</v>
      </c>
      <c r="U469" s="18">
        <f t="shared" si="425"/>
        <v>2.2658106298938092</v>
      </c>
      <c r="V469" s="18">
        <f t="shared" si="426"/>
        <v>1.1137013882961257</v>
      </c>
      <c r="W469" s="32" t="str">
        <f t="shared" si="414"/>
        <v>1-0.913134895404742i</v>
      </c>
      <c r="X469" s="18">
        <f t="shared" si="427"/>
        <v>1.3541843808011629</v>
      </c>
      <c r="Y469" s="18">
        <f t="shared" si="428"/>
        <v>-0.74002473703549243</v>
      </c>
      <c r="Z469" s="32" t="str">
        <f t="shared" si="415"/>
        <v>0.89528714519491+0.498369466332644i</v>
      </c>
      <c r="AA469" s="18">
        <f t="shared" si="429"/>
        <v>1.0246517444107224</v>
      </c>
      <c r="AB469" s="18">
        <f t="shared" si="430"/>
        <v>0.50794115347713331</v>
      </c>
      <c r="AC469" s="68" t="str">
        <f t="shared" si="431"/>
        <v>-0.00595313279685598-0.0443077676679471i</v>
      </c>
      <c r="AD469" s="66">
        <f t="shared" si="432"/>
        <v>-26.992701912533214</v>
      </c>
      <c r="AE469" s="63">
        <f t="shared" si="433"/>
        <v>-97.652356982952639</v>
      </c>
      <c r="AF469" s="51" t="e">
        <f t="shared" si="434"/>
        <v>#NUM!</v>
      </c>
      <c r="AG469" s="51" t="str">
        <f t="shared" si="416"/>
        <v>1-871.370961735751i</v>
      </c>
      <c r="AH469" s="51">
        <f t="shared" si="435"/>
        <v>871.37153554398822</v>
      </c>
      <c r="AI469" s="51">
        <f t="shared" si="436"/>
        <v>-1.5696487104467454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-0.000133283554228113</v>
      </c>
      <c r="AT469" s="32" t="str">
        <f t="shared" si="420"/>
        <v>0.124228453444794i</v>
      </c>
      <c r="AU469" s="32">
        <f t="shared" si="444"/>
        <v>0.124228453444794</v>
      </c>
      <c r="AV469" s="32">
        <f t="shared" si="445"/>
        <v>1.5707963267948966</v>
      </c>
      <c r="AW469" s="32" t="str">
        <f t="shared" si="421"/>
        <v>1+21.720424371826i</v>
      </c>
      <c r="AX469" s="32">
        <f t="shared" si="446"/>
        <v>21.743431994333662</v>
      </c>
      <c r="AY469" s="32">
        <f t="shared" si="447"/>
        <v>1.5247891986023534</v>
      </c>
      <c r="AZ469" s="32" t="str">
        <f t="shared" si="422"/>
        <v>1+323.687299785017i</v>
      </c>
      <c r="BA469" s="32">
        <f t="shared" si="448"/>
        <v>323.68884448203562</v>
      </c>
      <c r="BB469" s="32">
        <f t="shared" si="449"/>
        <v>1.5677069352147655</v>
      </c>
      <c r="BC469" s="60" t="str">
        <f t="shared" si="450"/>
        <v>-0.000685265082655757+0.0159571391173839i</v>
      </c>
      <c r="BD469" s="51">
        <f t="shared" si="451"/>
        <v>-35.93289750714667</v>
      </c>
      <c r="BE469" s="63">
        <f t="shared" si="452"/>
        <v>92.459005174145318</v>
      </c>
      <c r="BF469" s="60" t="str">
        <f t="shared" si="453"/>
        <v>0.000711104686696254-0.0000646324021504237i</v>
      </c>
      <c r="BG469" s="66">
        <f t="shared" si="454"/>
        <v>-62.925599419679884</v>
      </c>
      <c r="BH469" s="63">
        <f t="shared" si="455"/>
        <v>-5.1933518088073267</v>
      </c>
      <c r="BI469" s="60" t="e">
        <f t="shared" si="409"/>
        <v>#NUM!</v>
      </c>
      <c r="BJ469" s="66" t="e">
        <f t="shared" si="456"/>
        <v>#NUM!</v>
      </c>
      <c r="BK469" s="63" t="e">
        <f t="shared" si="410"/>
        <v>#NUM!</v>
      </c>
      <c r="BL469" s="51">
        <f t="shared" si="457"/>
        <v>-62.925599419679884</v>
      </c>
      <c r="BM469" s="63">
        <f t="shared" si="458"/>
        <v>-5.1933518088073267</v>
      </c>
    </row>
    <row r="470" spans="14:65" x14ac:dyDescent="0.3">
      <c r="N470" s="11">
        <v>52</v>
      </c>
      <c r="O470" s="52">
        <f t="shared" si="408"/>
        <v>331131.12148259126</v>
      </c>
      <c r="P470" s="50" t="str">
        <f t="shared" si="411"/>
        <v>21.1560044893378</v>
      </c>
      <c r="Q470" s="18" t="str">
        <f t="shared" si="412"/>
        <v>1+1450.08601626468i</v>
      </c>
      <c r="R470" s="18">
        <f t="shared" si="423"/>
        <v>1450.0863610717709</v>
      </c>
      <c r="S470" s="18">
        <f t="shared" si="424"/>
        <v>1.5701067126407975</v>
      </c>
      <c r="T470" s="18" t="str">
        <f t="shared" si="413"/>
        <v>1+2.08055819724932i</v>
      </c>
      <c r="U470" s="18">
        <f t="shared" si="425"/>
        <v>2.3084025671752619</v>
      </c>
      <c r="V470" s="18">
        <f t="shared" si="426"/>
        <v>1.1227561271016899</v>
      </c>
      <c r="W470" s="32" t="str">
        <f t="shared" si="414"/>
        <v>1-0.934404539474695i</v>
      </c>
      <c r="X470" s="18">
        <f t="shared" si="427"/>
        <v>1.3686167627904156</v>
      </c>
      <c r="Y470" s="18">
        <f t="shared" si="428"/>
        <v>-0.75150125393982392</v>
      </c>
      <c r="Z470" s="32" t="str">
        <f t="shared" si="415"/>
        <v>0.890352180385681+0.509977982464895i</v>
      </c>
      <c r="AA470" s="18">
        <f t="shared" si="429"/>
        <v>1.0260626431736519</v>
      </c>
      <c r="AB470" s="18">
        <f t="shared" si="430"/>
        <v>0.52016603301831088</v>
      </c>
      <c r="AC470" s="68" t="str">
        <f t="shared" si="431"/>
        <v>-0.0066340580482022-0.0444294661680125i</v>
      </c>
      <c r="AD470" s="66">
        <f t="shared" si="432"/>
        <v>-26.95081379706</v>
      </c>
      <c r="AE470" s="63">
        <f t="shared" si="433"/>
        <v>-98.492469001649837</v>
      </c>
      <c r="AF470" s="51" t="e">
        <f t="shared" si="434"/>
        <v>#NUM!</v>
      </c>
      <c r="AG470" s="51" t="str">
        <f t="shared" si="416"/>
        <v>1-891.667798821138i</v>
      </c>
      <c r="AH470" s="51">
        <f t="shared" si="435"/>
        <v>891.66835956791328</v>
      </c>
      <c r="AI470" s="51">
        <f t="shared" si="436"/>
        <v>-1.5696748333619468</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-0.000133283554228113</v>
      </c>
      <c r="AT470" s="32" t="str">
        <f t="shared" si="420"/>
        <v>0.127122105851933i</v>
      </c>
      <c r="AU470" s="32">
        <f t="shared" si="444"/>
        <v>0.12712210585193301</v>
      </c>
      <c r="AV470" s="32">
        <f t="shared" si="445"/>
        <v>1.5707963267948966</v>
      </c>
      <c r="AW470" s="32" t="str">
        <f t="shared" si="421"/>
        <v>1+22.2263580490538i</v>
      </c>
      <c r="AX470" s="32">
        <f t="shared" si="446"/>
        <v>22.248842489548501</v>
      </c>
      <c r="AY470" s="32">
        <f t="shared" si="447"/>
        <v>1.5258350215145844</v>
      </c>
      <c r="AZ470" s="32" t="str">
        <f t="shared" si="422"/>
        <v>1+331.226945560289i</v>
      </c>
      <c r="BA470" s="32">
        <f t="shared" si="448"/>
        <v>331.22845509587285</v>
      </c>
      <c r="BB470" s="32">
        <f t="shared" si="449"/>
        <v>1.5677772579203892</v>
      </c>
      <c r="BC470" s="60" t="str">
        <f t="shared" si="450"/>
        <v>-0.000654485379101443+0.015595295114404i</v>
      </c>
      <c r="BD470" s="51">
        <f t="shared" si="451"/>
        <v>-36.132485913336822</v>
      </c>
      <c r="BE470" s="63">
        <f t="shared" si="452"/>
        <v>92.403113129392551</v>
      </c>
      <c r="BF470" s="60" t="str">
        <f t="shared" si="453"/>
        <v>0.000697232530662242-0.0000743816570595539i</v>
      </c>
      <c r="BG470" s="66">
        <f t="shared" si="454"/>
        <v>-63.083299710396822</v>
      </c>
      <c r="BH470" s="63">
        <f t="shared" si="455"/>
        <v>-6.0893558722572774</v>
      </c>
      <c r="BI470" s="60" t="e">
        <f t="shared" si="409"/>
        <v>#NUM!</v>
      </c>
      <c r="BJ470" s="66" t="e">
        <f t="shared" si="456"/>
        <v>#NUM!</v>
      </c>
      <c r="BK470" s="63" t="e">
        <f t="shared" si="410"/>
        <v>#NUM!</v>
      </c>
      <c r="BL470" s="51">
        <f t="shared" si="457"/>
        <v>-63.083299710396822</v>
      </c>
      <c r="BM470" s="63">
        <f t="shared" si="458"/>
        <v>-6.0893558722572774</v>
      </c>
    </row>
    <row r="471" spans="14:65" x14ac:dyDescent="0.3">
      <c r="N471" s="11">
        <v>53</v>
      </c>
      <c r="O471" s="52">
        <f t="shared" si="408"/>
        <v>338844.15613920329</v>
      </c>
      <c r="P471" s="50" t="str">
        <f t="shared" si="411"/>
        <v>21.1560044893378</v>
      </c>
      <c r="Q471" s="18" t="str">
        <f t="shared" si="412"/>
        <v>1+1483.86285864796i</v>
      </c>
      <c r="R471" s="18">
        <f t="shared" si="423"/>
        <v>1483.8631956062845</v>
      </c>
      <c r="S471" s="18">
        <f t="shared" si="424"/>
        <v>1.5701224101706048</v>
      </c>
      <c r="T471" s="18" t="str">
        <f t="shared" si="413"/>
        <v>1+2.12902062327751i</v>
      </c>
      <c r="U471" s="18">
        <f t="shared" si="425"/>
        <v>2.3521753366492382</v>
      </c>
      <c r="V471" s="18">
        <f t="shared" si="426"/>
        <v>1.1316815679641479</v>
      </c>
      <c r="W471" s="32" t="str">
        <f t="shared" si="414"/>
        <v>1-0.956169617199781i</v>
      </c>
      <c r="X471" s="18">
        <f t="shared" si="427"/>
        <v>1.3835679733413808</v>
      </c>
      <c r="Y471" s="18">
        <f t="shared" si="428"/>
        <v>-0.76299568368976101</v>
      </c>
      <c r="Z471" s="32" t="str">
        <f t="shared" si="415"/>
        <v>0.885184637850311+0.521856895673805i</v>
      </c>
      <c r="AA471" s="18">
        <f t="shared" si="429"/>
        <v>1.0275633618655771</v>
      </c>
      <c r="AB471" s="18">
        <f t="shared" si="430"/>
        <v>0.53269713313224321</v>
      </c>
      <c r="AC471" s="68" t="str">
        <f t="shared" si="431"/>
        <v>-0.00734266999809719-0.044553531591089i</v>
      </c>
      <c r="AD471" s="66">
        <f t="shared" si="432"/>
        <v>-26.905972623188887</v>
      </c>
      <c r="AE471" s="63">
        <f t="shared" si="433"/>
        <v>-99.358539773909285</v>
      </c>
      <c r="AF471" s="51" t="e">
        <f t="shared" si="434"/>
        <v>#NUM!</v>
      </c>
      <c r="AG471" s="51" t="str">
        <f t="shared" si="416"/>
        <v>1-912.437409976077i</v>
      </c>
      <c r="AH471" s="51">
        <f t="shared" si="435"/>
        <v>912.43795795870506</v>
      </c>
      <c r="AI471" s="51">
        <f t="shared" si="436"/>
        <v>-1.5697003616484804</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-0.000133283554228113</v>
      </c>
      <c r="AT471" s="32" t="str">
        <f t="shared" si="420"/>
        <v>0.130083160082256i</v>
      </c>
      <c r="AU471" s="32">
        <f t="shared" si="444"/>
        <v>0.13008316008225601</v>
      </c>
      <c r="AV471" s="32">
        <f t="shared" si="445"/>
        <v>1.5707963267948966</v>
      </c>
      <c r="AW471" s="32" t="str">
        <f t="shared" si="421"/>
        <v>1+22.7440764355197i</v>
      </c>
      <c r="AX471" s="32">
        <f t="shared" si="446"/>
        <v>22.766049567387888</v>
      </c>
      <c r="AY471" s="32">
        <f t="shared" si="447"/>
        <v>1.5268571337003856</v>
      </c>
      <c r="AZ471" s="32" t="str">
        <f t="shared" si="422"/>
        <v>1+338.942212246403i</v>
      </c>
      <c r="BA471" s="32">
        <f t="shared" si="448"/>
        <v>338.94368742091319</v>
      </c>
      <c r="BB471" s="32">
        <f t="shared" si="449"/>
        <v>1.5678459799146569</v>
      </c>
      <c r="BC471" s="60" t="str">
        <f t="shared" si="450"/>
        <v>-0.000625085518757843+0.0152415954957118i</v>
      </c>
      <c r="BD471" s="51">
        <f t="shared" si="451"/>
        <v>-36.332092807552655</v>
      </c>
      <c r="BE471" s="63">
        <f t="shared" si="452"/>
        <v>92.348487895188512</v>
      </c>
      <c r="BF471" s="60" t="str">
        <f t="shared" si="453"/>
        <v>0.000683656703101624-0.0000840642385623865i</v>
      </c>
      <c r="BG471" s="66">
        <f t="shared" si="454"/>
        <v>-63.238065430741543</v>
      </c>
      <c r="BH471" s="63">
        <f t="shared" si="455"/>
        <v>-7.0100518787207644</v>
      </c>
      <c r="BI471" s="60" t="e">
        <f t="shared" si="409"/>
        <v>#NUM!</v>
      </c>
      <c r="BJ471" s="66" t="e">
        <f t="shared" si="456"/>
        <v>#NUM!</v>
      </c>
      <c r="BK471" s="63" t="e">
        <f t="shared" si="410"/>
        <v>#NUM!</v>
      </c>
      <c r="BL471" s="51">
        <f t="shared" si="457"/>
        <v>-63.238065430741543</v>
      </c>
      <c r="BM471" s="63">
        <f t="shared" si="458"/>
        <v>-7.0100518787207644</v>
      </c>
    </row>
    <row r="472" spans="14:65" x14ac:dyDescent="0.3">
      <c r="N472" s="11">
        <v>54</v>
      </c>
      <c r="O472" s="52">
        <f t="shared" si="408"/>
        <v>346736.85045253241</v>
      </c>
      <c r="P472" s="50" t="str">
        <f t="shared" si="411"/>
        <v>21.1560044893378</v>
      </c>
      <c r="Q472" s="18" t="str">
        <f t="shared" si="412"/>
        <v>1+1518.42646476015i</v>
      </c>
      <c r="R472" s="18">
        <f t="shared" si="423"/>
        <v>1518.4267940483687</v>
      </c>
      <c r="S472" s="18">
        <f t="shared" si="424"/>
        <v>1.5701377503813305</v>
      </c>
      <c r="T472" s="18" t="str">
        <f t="shared" si="413"/>
        <v>1+2.17861188422108i</v>
      </c>
      <c r="U472" s="18">
        <f t="shared" si="425"/>
        <v>2.3971545094276516</v>
      </c>
      <c r="V472" s="18">
        <f t="shared" si="426"/>
        <v>1.1404767540148129</v>
      </c>
      <c r="W472" s="32" t="str">
        <f t="shared" si="414"/>
        <v>1-0.978441668712308i</v>
      </c>
      <c r="X472" s="18">
        <f t="shared" si="427"/>
        <v>1.399052571947361</v>
      </c>
      <c r="Y472" s="18">
        <f t="shared" si="428"/>
        <v>-0.77450197250302111</v>
      </c>
      <c r="Z472" s="32" t="str">
        <f t="shared" si="415"/>
        <v>0.879773556538258+0.534012504316393i</v>
      </c>
      <c r="AA472" s="18">
        <f t="shared" si="429"/>
        <v>1.0291602720423292</v>
      </c>
      <c r="AB472" s="18">
        <f t="shared" si="430"/>
        <v>0.54554232449949147</v>
      </c>
      <c r="AC472" s="68" t="str">
        <f t="shared" si="431"/>
        <v>-0.00807978164209852-0.0446785326955203i</v>
      </c>
      <c r="AD472" s="66">
        <f t="shared" si="432"/>
        <v>-26.85826319053886</v>
      </c>
      <c r="AE472" s="63">
        <f t="shared" si="433"/>
        <v>-100.25072870174492</v>
      </c>
      <c r="AF472" s="51" t="e">
        <f t="shared" si="434"/>
        <v>#NUM!</v>
      </c>
      <c r="AG472" s="51" t="str">
        <f t="shared" si="416"/>
        <v>1-933.690807523321i</v>
      </c>
      <c r="AH472" s="51">
        <f t="shared" si="435"/>
        <v>933.69134303234875</v>
      </c>
      <c r="AI472" s="51">
        <f t="shared" si="436"/>
        <v>-1.5697253088416485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-0.000133283554228113</v>
      </c>
      <c r="AT472" s="32" t="str">
        <f t="shared" si="420"/>
        <v>0.133113186125908i</v>
      </c>
      <c r="AU472" s="32">
        <f t="shared" si="444"/>
        <v>0.133113186125908</v>
      </c>
      <c r="AV472" s="32">
        <f t="shared" si="445"/>
        <v>1.5707963267948966</v>
      </c>
      <c r="AW472" s="32" t="str">
        <f t="shared" si="421"/>
        <v>1+23.2738540323651i</v>
      </c>
      <c r="AX472" s="32">
        <f t="shared" si="446"/>
        <v>23.295327461099092</v>
      </c>
      <c r="AY472" s="32">
        <f t="shared" si="447"/>
        <v>1.5278560685497908</v>
      </c>
      <c r="AZ472" s="32" t="str">
        <f t="shared" si="422"/>
        <v>1+346.83719057988i</v>
      </c>
      <c r="BA472" s="32">
        <f t="shared" si="448"/>
        <v>346.83863217545991</v>
      </c>
      <c r="BB472" s="32">
        <f t="shared" si="449"/>
        <v>1.5679131376322812</v>
      </c>
      <c r="BC472" s="60" t="str">
        <f t="shared" si="450"/>
        <v>-0.000597003878533821+0.0148958609997236i</v>
      </c>
      <c r="BD472" s="51">
        <f t="shared" si="451"/>
        <v>-36.531717360922876</v>
      </c>
      <c r="BE472" s="63">
        <f t="shared" si="452"/>
        <v>92.295100998090675</v>
      </c>
      <c r="BF472" s="60" t="str">
        <f t="shared" si="453"/>
        <v>0.000670348873682116-0.0000936820469423923i</v>
      </c>
      <c r="BG472" s="66">
        <f t="shared" si="454"/>
        <v>-63.389980551461733</v>
      </c>
      <c r="BH472" s="63">
        <f t="shared" si="455"/>
        <v>-7.9556277036542289</v>
      </c>
      <c r="BI472" s="60" t="e">
        <f t="shared" si="409"/>
        <v>#NUM!</v>
      </c>
      <c r="BJ472" s="66" t="e">
        <f t="shared" si="456"/>
        <v>#NUM!</v>
      </c>
      <c r="BK472" s="63" t="e">
        <f t="shared" si="410"/>
        <v>#NUM!</v>
      </c>
      <c r="BL472" s="51">
        <f t="shared" si="457"/>
        <v>-63.389980551461733</v>
      </c>
      <c r="BM472" s="63">
        <f t="shared" si="458"/>
        <v>-7.9556277036542289</v>
      </c>
    </row>
    <row r="473" spans="14:65" x14ac:dyDescent="0.3">
      <c r="N473" s="11">
        <v>55</v>
      </c>
      <c r="O473" s="52">
        <f t="shared" si="408"/>
        <v>354813.38923357555</v>
      </c>
      <c r="P473" s="50" t="str">
        <f t="shared" si="411"/>
        <v>21.1560044893378</v>
      </c>
      <c r="Q473" s="18" t="str">
        <f t="shared" si="412"/>
        <v>1+1553.79516068269i</v>
      </c>
      <c r="R473" s="18">
        <f t="shared" si="423"/>
        <v>1553.7954824753954</v>
      </c>
      <c r="S473" s="18">
        <f t="shared" si="424"/>
        <v>1.5701527414065284</v>
      </c>
      <c r="T473" s="18" t="str">
        <f t="shared" si="413"/>
        <v>1+2.22935827402299i</v>
      </c>
      <c r="U473" s="18">
        <f t="shared" si="425"/>
        <v>2.4433661849904458</v>
      </c>
      <c r="V473" s="18">
        <f t="shared" si="426"/>
        <v>1.1491409047231456</v>
      </c>
      <c r="W473" s="32" t="str">
        <f t="shared" si="414"/>
        <v>1-1.00123250294879i</v>
      </c>
      <c r="X473" s="18">
        <f t="shared" si="427"/>
        <v>1.4150853419356371</v>
      </c>
      <c r="Y473" s="18">
        <f t="shared" si="428"/>
        <v>-0.78601403526198443</v>
      </c>
      <c r="Z473" s="32" t="str">
        <f t="shared" si="415"/>
        <v>0.874107458820584+0.546451253457259i</v>
      </c>
      <c r="AA473" s="18">
        <f t="shared" si="429"/>
        <v>1.0308602339652009</v>
      </c>
      <c r="AB473" s="18">
        <f t="shared" si="430"/>
        <v>0.55870962082039755</v>
      </c>
      <c r="AC473" s="68" t="str">
        <f t="shared" si="431"/>
        <v>-0.008846188463086-0.0448029415459561i</v>
      </c>
      <c r="AD473" s="66">
        <f t="shared" si="432"/>
        <v>-26.807775983696231</v>
      </c>
      <c r="AE473" s="63">
        <f t="shared" si="433"/>
        <v>-101.16919147193113</v>
      </c>
      <c r="AF473" s="51" t="e">
        <f t="shared" si="434"/>
        <v>#NUM!</v>
      </c>
      <c r="AG473" s="51" t="str">
        <f t="shared" si="416"/>
        <v>1-955.439260295568i</v>
      </c>
      <c r="AH473" s="51">
        <f t="shared" si="435"/>
        <v>955.43978361492884</v>
      </c>
      <c r="AI473" s="51">
        <f t="shared" si="436"/>
        <v>-1.569749688168659</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-0.000133283554228113</v>
      </c>
      <c r="AT473" s="32" t="str">
        <f t="shared" si="420"/>
        <v>0.136213790542805i</v>
      </c>
      <c r="AU473" s="32">
        <f t="shared" si="444"/>
        <v>0.136213790542805</v>
      </c>
      <c r="AV473" s="32">
        <f t="shared" si="445"/>
        <v>1.5707963267948966</v>
      </c>
      <c r="AW473" s="32" t="str">
        <f t="shared" si="421"/>
        <v>1+23.8159717346843i</v>
      </c>
      <c r="AX473" s="32">
        <f t="shared" si="446"/>
        <v>23.836956803822119</v>
      </c>
      <c r="AY473" s="32">
        <f t="shared" si="447"/>
        <v>1.5288323477322743</v>
      </c>
      <c r="AZ473" s="32" t="str">
        <f t="shared" si="422"/>
        <v>1+354.916066582734i</v>
      </c>
      <c r="BA473" s="32">
        <f t="shared" si="448"/>
        <v>354.91747536372407</v>
      </c>
      <c r="BB473" s="32">
        <f t="shared" si="449"/>
        <v>1.5679787666787488</v>
      </c>
      <c r="BC473" s="60" t="str">
        <f t="shared" si="450"/>
        <v>-0.000570181566767424+0.01455791603921i</v>
      </c>
      <c r="BD473" s="51">
        <f t="shared" si="451"/>
        <v>-36.731358781598914</v>
      </c>
      <c r="BE473" s="63">
        <f t="shared" si="452"/>
        <v>92.242924588683948</v>
      </c>
      <c r="BF473" s="60" t="str">
        <f t="shared" si="453"/>
        <v>0.000657281394933465-0.000103236257506172i</v>
      </c>
      <c r="BG473" s="66">
        <f t="shared" si="454"/>
        <v>-63.539134765295138</v>
      </c>
      <c r="BH473" s="63">
        <f t="shared" si="455"/>
        <v>-8.9262668832471999</v>
      </c>
      <c r="BI473" s="60" t="e">
        <f t="shared" si="409"/>
        <v>#NUM!</v>
      </c>
      <c r="BJ473" s="66" t="e">
        <f t="shared" si="456"/>
        <v>#NUM!</v>
      </c>
      <c r="BK473" s="63" t="e">
        <f t="shared" si="410"/>
        <v>#NUM!</v>
      </c>
      <c r="BL473" s="51">
        <f t="shared" si="457"/>
        <v>-63.539134765295138</v>
      </c>
      <c r="BM473" s="63">
        <f t="shared" si="458"/>
        <v>-8.9262668832471999</v>
      </c>
    </row>
    <row r="474" spans="14:65" x14ac:dyDescent="0.3">
      <c r="N474" s="11">
        <v>56</v>
      </c>
      <c r="O474" s="52">
        <f t="shared" si="408"/>
        <v>363078.05477010203</v>
      </c>
      <c r="P474" s="50" t="str">
        <f t="shared" si="411"/>
        <v>21.1560044893378</v>
      </c>
      <c r="Q474" s="18" t="str">
        <f t="shared" si="412"/>
        <v>1+1589.98769936635i</v>
      </c>
      <c r="R474" s="18">
        <f t="shared" si="423"/>
        <v>1589.9880138341605</v>
      </c>
      <c r="S474" s="18">
        <f t="shared" si="424"/>
        <v>1.5701673911946117</v>
      </c>
      <c r="T474" s="18" t="str">
        <f t="shared" si="413"/>
        <v>1+2.28128669909085i</v>
      </c>
      <c r="U474" s="18">
        <f t="shared" si="425"/>
        <v>2.4908370086075133</v>
      </c>
      <c r="V474" s="18">
        <f t="shared" si="426"/>
        <v>1.1576734097316572</v>
      </c>
      <c r="W474" s="32" t="str">
        <f t="shared" si="414"/>
        <v>1-1.02455420391122i</v>
      </c>
      <c r="X474" s="18">
        <f t="shared" si="427"/>
        <v>1.431681290215163</v>
      </c>
      <c r="Y474" s="18">
        <f t="shared" si="428"/>
        <v>-0.79752577156441185</v>
      </c>
      <c r="Z474" s="32" t="str">
        <f t="shared" si="415"/>
        <v>0.868174326144359+0.559179738285849i</v>
      </c>
      <c r="AA474" s="18">
        <f t="shared" si="429"/>
        <v>1.032670634948841</v>
      </c>
      <c r="AB474" s="18">
        <f t="shared" si="430"/>
        <v>0.57220716891892398</v>
      </c>
      <c r="AC474" s="68" t="str">
        <f t="shared" si="431"/>
        <v>-0.0096426615866589-0.0449251281339507i</v>
      </c>
      <c r="AD474" s="66">
        <f t="shared" si="432"/>
        <v>-26.75460736421428</v>
      </c>
      <c r="AE474" s="63">
        <f t="shared" si="433"/>
        <v>-102.11408076211397</v>
      </c>
      <c r="AF474" s="51" t="e">
        <f t="shared" si="434"/>
        <v>#NUM!</v>
      </c>
      <c r="AG474" s="51" t="str">
        <f t="shared" si="416"/>
        <v>1-977.694299610366i</v>
      </c>
      <c r="AH474" s="51">
        <f t="shared" si="435"/>
        <v>977.69481101753013</v>
      </c>
      <c r="AI474" s="51">
        <f t="shared" si="436"/>
        <v>-1.5697735125556378</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-0.000133283554228113</v>
      </c>
      <c r="AT474" s="32" t="str">
        <f t="shared" si="420"/>
        <v>0.139386617314451i</v>
      </c>
      <c r="AU474" s="32">
        <f t="shared" si="444"/>
        <v>0.13938661731445101</v>
      </c>
      <c r="AV474" s="32">
        <f t="shared" si="445"/>
        <v>1.5707963267948966</v>
      </c>
      <c r="AW474" s="32" t="str">
        <f t="shared" si="421"/>
        <v>1+24.370716980459i</v>
      </c>
      <c r="AX474" s="32">
        <f t="shared" si="446"/>
        <v>24.391224777399607</v>
      </c>
      <c r="AY474" s="32">
        <f t="shared" si="447"/>
        <v>1.5297864814356423</v>
      </c>
      <c r="AZ474" s="32" t="str">
        <f t="shared" si="422"/>
        <v>1+363.183123781962i</v>
      </c>
      <c r="BA474" s="32">
        <f t="shared" si="448"/>
        <v>363.18450049530469</v>
      </c>
      <c r="BB474" s="32">
        <f t="shared" si="449"/>
        <v>1.5680429018491859</v>
      </c>
      <c r="BC474" s="60" t="str">
        <f t="shared" si="450"/>
        <v>-0.000544562303970213+0.0142275886444601i</v>
      </c>
      <c r="BD474" s="51">
        <f t="shared" si="451"/>
        <v>-36.931016313112686</v>
      </c>
      <c r="BE474" s="63">
        <f t="shared" si="452"/>
        <v>92.191931428974172</v>
      </c>
      <c r="BF474" s="60" t="str">
        <f t="shared" si="453"/>
        <v>0.000644427272899548-0.000112727291209939i</v>
      </c>
      <c r="BG474" s="66">
        <f t="shared" si="454"/>
        <v>-63.685623677326959</v>
      </c>
      <c r="BH474" s="63">
        <f t="shared" si="455"/>
        <v>-9.922149333139842</v>
      </c>
      <c r="BI474" s="60" t="e">
        <f t="shared" si="409"/>
        <v>#NUM!</v>
      </c>
      <c r="BJ474" s="66" t="e">
        <f t="shared" si="456"/>
        <v>#NUM!</v>
      </c>
      <c r="BK474" s="63" t="e">
        <f t="shared" si="410"/>
        <v>#NUM!</v>
      </c>
      <c r="BL474" s="51">
        <f t="shared" si="457"/>
        <v>-63.685623677326959</v>
      </c>
      <c r="BM474" s="63">
        <f t="shared" si="458"/>
        <v>-9.922149333139842</v>
      </c>
    </row>
    <row r="475" spans="14:65" x14ac:dyDescent="0.3">
      <c r="N475" s="11">
        <v>57</v>
      </c>
      <c r="O475" s="52">
        <f t="shared" si="408"/>
        <v>371535.2290971732</v>
      </c>
      <c r="P475" s="50" t="str">
        <f t="shared" si="411"/>
        <v>21.1560044893378</v>
      </c>
      <c r="Q475" s="18" t="str">
        <f t="shared" si="412"/>
        <v>1+1627.02327057419i</v>
      </c>
      <c r="R475" s="18">
        <f t="shared" si="423"/>
        <v>1627.0235778838407</v>
      </c>
      <c r="S475" s="18">
        <f t="shared" si="424"/>
        <v>1.5701817075130666</v>
      </c>
      <c r="T475" s="18" t="str">
        <f t="shared" si="413"/>
        <v>1+2.33442469256296i</v>
      </c>
      <c r="U475" s="18">
        <f t="shared" si="425"/>
        <v>2.5395941890876323</v>
      </c>
      <c r="V475" s="18">
        <f t="shared" si="426"/>
        <v>1.1660738224628642</v>
      </c>
      <c r="W475" s="32" t="str">
        <f t="shared" si="414"/>
        <v>1-1.04841913707413i</v>
      </c>
      <c r="X475" s="18">
        <f t="shared" si="427"/>
        <v>1.4488556473932326</v>
      </c>
      <c r="Y475" s="18">
        <f t="shared" si="428"/>
        <v>-0.80903108187272854</v>
      </c>
      <c r="Z475" s="32" t="str">
        <f t="shared" si="415"/>
        <v>0.861961573539711+0.572204707613295i</v>
      </c>
      <c r="AA475" s="18">
        <f t="shared" si="429"/>
        <v>1.0345994305400865</v>
      </c>
      <c r="AB475" s="18">
        <f t="shared" si="430"/>
        <v>0.58604323663976909</v>
      </c>
      <c r="AC475" s="68" t="str">
        <f t="shared" si="431"/>
        <v>-0.0104699400460373-0.0450433550725486i</v>
      </c>
      <c r="AD475" s="66">
        <f t="shared" si="432"/>
        <v>-26.698859768739869</v>
      </c>
      <c r="AE475" s="63">
        <f t="shared" si="433"/>
        <v>-103.0855468391901</v>
      </c>
      <c r="AF475" s="51" t="e">
        <f t="shared" si="434"/>
        <v>#NUM!</v>
      </c>
      <c r="AG475" s="51" t="str">
        <f t="shared" si="416"/>
        <v>1-1000.46772538413i</v>
      </c>
      <c r="AH475" s="51">
        <f t="shared" si="435"/>
        <v>1000.4682251502518</v>
      </c>
      <c r="AI475" s="51">
        <f t="shared" si="436"/>
        <v>-1.5697967946344817</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-0.000133283554228113</v>
      </c>
      <c r="AT475" s="32" t="str">
        <f t="shared" si="420"/>
        <v>0.142633348715597i</v>
      </c>
      <c r="AU475" s="32">
        <f t="shared" si="444"/>
        <v>0.14263334871559699</v>
      </c>
      <c r="AV475" s="32">
        <f t="shared" si="445"/>
        <v>1.5707963267948966</v>
      </c>
      <c r="AW475" s="32" t="str">
        <f t="shared" si="421"/>
        <v>1+24.9383839029613i</v>
      </c>
      <c r="AX475" s="32">
        <f t="shared" si="446"/>
        <v>24.958425264657212</v>
      </c>
      <c r="AY475" s="32">
        <f t="shared" si="447"/>
        <v>1.5307189686013274</v>
      </c>
      <c r="AZ475" s="32" t="str">
        <f t="shared" si="422"/>
        <v>1+371.642745480716i</v>
      </c>
      <c r="BA475" s="32">
        <f t="shared" si="448"/>
        <v>371.64409085635174</v>
      </c>
      <c r="BB475" s="32">
        <f t="shared" si="449"/>
        <v>1.5681055771467971</v>
      </c>
      <c r="BC475" s="60" t="str">
        <f t="shared" si="450"/>
        <v>-0.00052009230861814+0.0139047104059821i</v>
      </c>
      <c r="BD475" s="51">
        <f t="shared" si="451"/>
        <v>-37.130689232806986</v>
      </c>
      <c r="BE475" s="63">
        <f t="shared" si="452"/>
        <v>92.142094879963153</v>
      </c>
      <c r="BF475" s="60" t="str">
        <f t="shared" si="453"/>
        <v>0.00063176014328725-0.000122154781780555i</v>
      </c>
      <c r="BG475" s="66">
        <f t="shared" si="454"/>
        <v>-63.829549001546859</v>
      </c>
      <c r="BH475" s="63">
        <f t="shared" si="455"/>
        <v>-10.94345195922693</v>
      </c>
      <c r="BI475" s="60" t="e">
        <f t="shared" si="409"/>
        <v>#NUM!</v>
      </c>
      <c r="BJ475" s="66" t="e">
        <f t="shared" si="456"/>
        <v>#NUM!</v>
      </c>
      <c r="BK475" s="63" t="e">
        <f t="shared" si="410"/>
        <v>#NUM!</v>
      </c>
      <c r="BL475" s="51">
        <f t="shared" si="457"/>
        <v>-63.829549001546859</v>
      </c>
      <c r="BM475" s="63">
        <f t="shared" si="458"/>
        <v>-10.94345195922693</v>
      </c>
    </row>
    <row r="476" spans="14:65" x14ac:dyDescent="0.3">
      <c r="N476" s="11">
        <v>58</v>
      </c>
      <c r="O476" s="52">
        <f t="shared" si="408"/>
        <v>380189.39632056188</v>
      </c>
      <c r="P476" s="50" t="str">
        <f t="shared" si="411"/>
        <v>21.1560044893378</v>
      </c>
      <c r="Q476" s="18" t="str">
        <f t="shared" si="412"/>
        <v>1+1664.92151105628i</v>
      </c>
      <c r="R476" s="18">
        <f t="shared" si="423"/>
        <v>1664.9218113707102</v>
      </c>
      <c r="S476" s="18">
        <f t="shared" si="424"/>
        <v>1.5701956979525713</v>
      </c>
      <c r="T476" s="18" t="str">
        <f t="shared" si="413"/>
        <v>1+2.38880042890683i</v>
      </c>
      <c r="U476" s="18">
        <f t="shared" si="425"/>
        <v>2.5896655168468099</v>
      </c>
      <c r="V476" s="18">
        <f t="shared" si="426"/>
        <v>1.174341853545493</v>
      </c>
      <c r="W476" s="32" t="str">
        <f t="shared" si="414"/>
        <v>1-1.072839955941i</v>
      </c>
      <c r="X476" s="18">
        <f t="shared" si="427"/>
        <v>1.4666238682987152</v>
      </c>
      <c r="Y476" s="18">
        <f t="shared" si="428"/>
        <v>-0.82052388365777806</v>
      </c>
      <c r="Z476" s="32" t="str">
        <f t="shared" si="415"/>
        <v>0.855456022925407+0.585533067450743i</v>
      </c>
      <c r="AA476" s="18">
        <f t="shared" si="429"/>
        <v>1.0366551886898703</v>
      </c>
      <c r="AB476" s="18">
        <f t="shared" si="430"/>
        <v>0.60022619827082835</v>
      </c>
      <c r="AC476" s="68" t="str">
        <f t="shared" si="431"/>
        <v>-0.0113287220819528-0.0451557724447964i</v>
      </c>
      <c r="AD476" s="66">
        <f t="shared" si="432"/>
        <v>-26.640641912756394</v>
      </c>
      <c r="AE476" s="63">
        <f t="shared" si="433"/>
        <v>-104.08373802592894</v>
      </c>
      <c r="AF476" s="51" t="e">
        <f t="shared" si="434"/>
        <v>#NUM!</v>
      </c>
      <c r="AG476" s="51" t="str">
        <f t="shared" si="416"/>
        <v>1-1023.77161238864i</v>
      </c>
      <c r="AH476" s="51">
        <f t="shared" si="435"/>
        <v>1023.7721007787015</v>
      </c>
      <c r="AI476" s="51">
        <f t="shared" si="436"/>
        <v>-1.5698195467495566</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-0.000133283554228113</v>
      </c>
      <c r="AT476" s="32" t="str">
        <f t="shared" si="420"/>
        <v>0.145955706206207i</v>
      </c>
      <c r="AU476" s="32">
        <f t="shared" si="444"/>
        <v>0.14595570620620699</v>
      </c>
      <c r="AV476" s="32">
        <f t="shared" si="445"/>
        <v>1.5707963267948966</v>
      </c>
      <c r="AW476" s="32" t="str">
        <f t="shared" si="421"/>
        <v>1+25.5192734867074i</v>
      </c>
      <c r="AX476" s="32">
        <f t="shared" si="446"/>
        <v>25.538859005236848</v>
      </c>
      <c r="AY476" s="32">
        <f t="shared" si="447"/>
        <v>1.5316302971560471</v>
      </c>
      <c r="AZ476" s="32" t="str">
        <f t="shared" si="422"/>
        <v>1+380.299417082396i</v>
      </c>
      <c r="BA476" s="32">
        <f t="shared" si="448"/>
        <v>380.30073183365056</v>
      </c>
      <c r="BB476" s="32">
        <f t="shared" si="449"/>
        <v>1.5681668258008843</v>
      </c>
      <c r="BC476" s="60" t="str">
        <f t="shared" si="450"/>
        <v>-0.000496720187789742+0.0135891164168662i</v>
      </c>
      <c r="BD476" s="51">
        <f t="shared" si="451"/>
        <v>-37.330376850334531</v>
      </c>
      <c r="BE476" s="63">
        <f t="shared" si="452"/>
        <v>92.093388889408004</v>
      </c>
      <c r="BF476" s="60" t="str">
        <f t="shared" si="453"/>
        <v>0.000619254253605823-0.000131517539457409i</v>
      </c>
      <c r="BG476" s="66">
        <f t="shared" si="454"/>
        <v>-63.971018763090925</v>
      </c>
      <c r="BH476" s="63">
        <f t="shared" si="455"/>
        <v>-11.9903491365209</v>
      </c>
      <c r="BI476" s="60" t="e">
        <f t="shared" si="409"/>
        <v>#NUM!</v>
      </c>
      <c r="BJ476" s="66" t="e">
        <f t="shared" si="456"/>
        <v>#NUM!</v>
      </c>
      <c r="BK476" s="63" t="e">
        <f t="shared" si="410"/>
        <v>#NUM!</v>
      </c>
      <c r="BL476" s="51">
        <f t="shared" si="457"/>
        <v>-63.971018763090925</v>
      </c>
      <c r="BM476" s="63">
        <f t="shared" si="458"/>
        <v>-11.9903491365209</v>
      </c>
    </row>
    <row r="477" spans="14:65" x14ac:dyDescent="0.3">
      <c r="N477" s="11">
        <v>59</v>
      </c>
      <c r="O477" s="52">
        <f t="shared" si="408"/>
        <v>389045.14499428123</v>
      </c>
      <c r="P477" s="50" t="str">
        <f t="shared" si="411"/>
        <v>21.1560044893378</v>
      </c>
      <c r="Q477" s="18" t="str">
        <f t="shared" si="412"/>
        <v>1+1703.70251496137i</v>
      </c>
      <c r="R477" s="18">
        <f t="shared" si="423"/>
        <v>1703.7028084398103</v>
      </c>
      <c r="S477" s="18">
        <f t="shared" si="424"/>
        <v>1.57020936993102</v>
      </c>
      <c r="T477" s="18" t="str">
        <f t="shared" si="413"/>
        <v>1+2.44444273885762i</v>
      </c>
      <c r="U477" s="18">
        <f t="shared" si="425"/>
        <v>2.641079382289321</v>
      </c>
      <c r="V477" s="18">
        <f t="shared" si="426"/>
        <v>1.1824773641045274</v>
      </c>
      <c r="W477" s="32" t="str">
        <f t="shared" si="414"/>
        <v>1-1.09782960875322i</v>
      </c>
      <c r="X477" s="18">
        <f t="shared" si="427"/>
        <v>1.4850016329469971</v>
      </c>
      <c r="Y477" s="18">
        <f t="shared" si="428"/>
        <v>-0.83199812743280654</v>
      </c>
      <c r="Z477" s="32" t="str">
        <f t="shared" si="415"/>
        <v>0.848643875156379+0.599171884670999i</v>
      </c>
      <c r="AA477" s="18">
        <f t="shared" si="429"/>
        <v>1.0388471370806356</v>
      </c>
      <c r="AB477" s="18">
        <f t="shared" si="430"/>
        <v>0.61476451720227931</v>
      </c>
      <c r="AC477" s="68" t="str">
        <f t="shared" si="431"/>
        <v>-0.0122196554030003-0.0452604129016631i</v>
      </c>
      <c r="AD477" s="66">
        <f t="shared" si="432"/>
        <v>-26.580068999259773</v>
      </c>
      <c r="AE477" s="63">
        <f t="shared" si="433"/>
        <v>-105.10880101077558</v>
      </c>
      <c r="AF477" s="51" t="e">
        <f t="shared" si="434"/>
        <v>#NUM!</v>
      </c>
      <c r="AG477" s="51" t="str">
        <f t="shared" si="416"/>
        <v>1-1047.61831665327i</v>
      </c>
      <c r="AH477" s="51">
        <f t="shared" si="435"/>
        <v>1047.6187939262218</v>
      </c>
      <c r="AI477" s="51">
        <f t="shared" si="436"/>
        <v>-1.5698417809642402</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-0.000133283554228113</v>
      </c>
      <c r="AT477" s="32" t="str">
        <f t="shared" si="420"/>
        <v>0.149355451344201i</v>
      </c>
      <c r="AU477" s="32">
        <f t="shared" si="444"/>
        <v>0.149355451344201</v>
      </c>
      <c r="AV477" s="32">
        <f t="shared" si="445"/>
        <v>1.5707963267948966</v>
      </c>
      <c r="AW477" s="32" t="str">
        <f t="shared" si="421"/>
        <v>1+26.1136937270438i</v>
      </c>
      <c r="AX477" s="32">
        <f t="shared" si="446"/>
        <v>26.132833755064656</v>
      </c>
      <c r="AY477" s="32">
        <f t="shared" si="447"/>
        <v>1.5325209442398002</v>
      </c>
      <c r="AZ477" s="32" t="str">
        <f t="shared" si="422"/>
        <v>1+389.157728468872i</v>
      </c>
      <c r="BA477" s="32">
        <f t="shared" si="448"/>
        <v>389.15901329283417</v>
      </c>
      <c r="BB477" s="32">
        <f t="shared" si="449"/>
        <v>1.5682266802844553</v>
      </c>
      <c r="BC477" s="60" t="str">
        <f t="shared" si="450"/>
        <v>-0.000474396832458914+0.0132806452149235i</v>
      </c>
      <c r="BD477" s="51">
        <f t="shared" si="451"/>
        <v>-37.530078506222885</v>
      </c>
      <c r="BE477" s="63">
        <f t="shared" si="452"/>
        <v>92.045787979766857</v>
      </c>
      <c r="BF477" s="60" t="str">
        <f t="shared" si="453"/>
        <v>0.000606884451844857-0.000140813511539538i</v>
      </c>
      <c r="BG477" s="66">
        <f t="shared" si="454"/>
        <v>-64.110147505482658</v>
      </c>
      <c r="BH477" s="63">
        <f t="shared" si="455"/>
        <v>-13.063013031008662</v>
      </c>
      <c r="BI477" s="60" t="e">
        <f t="shared" si="409"/>
        <v>#NUM!</v>
      </c>
      <c r="BJ477" s="66" t="e">
        <f t="shared" si="456"/>
        <v>#NUM!</v>
      </c>
      <c r="BK477" s="63" t="e">
        <f t="shared" si="410"/>
        <v>#NUM!</v>
      </c>
      <c r="BL477" s="51">
        <f t="shared" si="457"/>
        <v>-64.110147505482658</v>
      </c>
      <c r="BM477" s="63">
        <f t="shared" si="458"/>
        <v>-13.063013031008662</v>
      </c>
    </row>
    <row r="478" spans="14:65" x14ac:dyDescent="0.3">
      <c r="N478" s="11">
        <v>60</v>
      </c>
      <c r="O478" s="52">
        <f t="shared" si="408"/>
        <v>398107.17055349716</v>
      </c>
      <c r="P478" s="50" t="str">
        <f t="shared" si="411"/>
        <v>21.1560044893378</v>
      </c>
      <c r="Q478" s="18" t="str">
        <f t="shared" si="412"/>
        <v>1+1743.38684449107i</v>
      </c>
      <c r="R478" s="18">
        <f t="shared" si="423"/>
        <v>1743.3871312891267</v>
      </c>
      <c r="S478" s="18">
        <f t="shared" si="424"/>
        <v>1.5702227306974561</v>
      </c>
      <c r="T478" s="18" t="str">
        <f t="shared" si="413"/>
        <v>1+2.50138112470457i</v>
      </c>
      <c r="U478" s="18">
        <f t="shared" si="425"/>
        <v>2.6938647944966165</v>
      </c>
      <c r="V478" s="18">
        <f t="shared" si="426"/>
        <v>1.1904803589570829</v>
      </c>
      <c r="W478" s="32" t="str">
        <f t="shared" si="414"/>
        <v>1-1.12340134535548i</v>
      </c>
      <c r="X478" s="18">
        <f t="shared" si="427"/>
        <v>1.5040048479797206</v>
      </c>
      <c r="Y478" s="18">
        <f t="shared" si="428"/>
        <v>-0.84344781257503576</v>
      </c>
      <c r="Z478" s="32" t="str">
        <f t="shared" si="415"/>
        <v>0.841510680753889+0.613128390755484i</v>
      </c>
      <c r="AA478" s="18">
        <f t="shared" si="429"/>
        <v>1.0411852137700011</v>
      </c>
      <c r="AB478" s="18">
        <f t="shared" si="430"/>
        <v>0.62966672551355352</v>
      </c>
      <c r="AC478" s="68" t="str">
        <f t="shared" si="431"/>
        <v>-0.0131433263336551-0.0453551871222227i</v>
      </c>
      <c r="AD478" s="66">
        <f t="shared" si="432"/>
        <v>-26.517262931471262</v>
      </c>
      <c r="AE478" s="63">
        <f t="shared" si="433"/>
        <v>-106.16088097485137</v>
      </c>
      <c r="AF478" s="51" t="e">
        <f t="shared" si="434"/>
        <v>#NUM!</v>
      </c>
      <c r="AG478" s="51" t="str">
        <f t="shared" si="416"/>
        <v>1-1072.02048201625i</v>
      </c>
      <c r="AH478" s="51">
        <f t="shared" si="435"/>
        <v>1072.0209484251477</v>
      </c>
      <c r="AI478" s="51">
        <f t="shared" si="436"/>
        <v>-1.5698635090673196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-0.000133283554228113</v>
      </c>
      <c r="AT478" s="32" t="str">
        <f t="shared" si="420"/>
        <v>0.152834386719449i</v>
      </c>
      <c r="AU478" s="32">
        <f t="shared" si="444"/>
        <v>0.15283438671944899</v>
      </c>
      <c r="AV478" s="32">
        <f t="shared" si="445"/>
        <v>1.5707963267948966</v>
      </c>
      <c r="AW478" s="32" t="str">
        <f t="shared" si="421"/>
        <v>1+26.7219597934497i</v>
      </c>
      <c r="AX478" s="32">
        <f t="shared" si="446"/>
        <v>26.740664449537192</v>
      </c>
      <c r="AY478" s="32">
        <f t="shared" si="447"/>
        <v>1.5333913764301721</v>
      </c>
      <c r="AZ478" s="32" t="str">
        <f t="shared" si="422"/>
        <v>1+398.222376434092i</v>
      </c>
      <c r="BA478" s="32">
        <f t="shared" si="448"/>
        <v>398.22363201198351</v>
      </c>
      <c r="BB478" s="32">
        <f t="shared" si="449"/>
        <v>1.5682851723314331</v>
      </c>
      <c r="BC478" s="60" t="str">
        <f t="shared" si="450"/>
        <v>-0.000453075317256123+0.0129791387247077i</v>
      </c>
      <c r="BD478" s="51">
        <f t="shared" si="451"/>
        <v>-37.72979357050118</v>
      </c>
      <c r="BE478" s="63">
        <f t="shared" si="452"/>
        <v>91.999267236333125</v>
      </c>
      <c r="BF478" s="60" t="str">
        <f t="shared" si="453"/>
        <v>0.000594626182292826-0.000150039739994002i</v>
      </c>
      <c r="BG478" s="66">
        <f t="shared" si="454"/>
        <v>-64.247056501972438</v>
      </c>
      <c r="BH478" s="63">
        <f t="shared" si="455"/>
        <v>-14.161613738518273</v>
      </c>
      <c r="BI478" s="60" t="e">
        <f t="shared" si="409"/>
        <v>#NUM!</v>
      </c>
      <c r="BJ478" s="66" t="e">
        <f t="shared" si="456"/>
        <v>#NUM!</v>
      </c>
      <c r="BK478" s="63" t="e">
        <f t="shared" si="410"/>
        <v>#NUM!</v>
      </c>
      <c r="BL478" s="51">
        <f t="shared" si="457"/>
        <v>-64.247056501972438</v>
      </c>
      <c r="BM478" s="63">
        <f t="shared" si="458"/>
        <v>-14.161613738518273</v>
      </c>
    </row>
    <row r="479" spans="14:65" x14ac:dyDescent="0.3">
      <c r="N479" s="11">
        <v>61</v>
      </c>
      <c r="O479" s="52">
        <f t="shared" si="408"/>
        <v>407380.27780411334</v>
      </c>
      <c r="P479" s="50" t="str">
        <f t="shared" si="411"/>
        <v>21.1560044893378</v>
      </c>
      <c r="Q479" s="18" t="str">
        <f t="shared" si="412"/>
        <v>1+1783.99554080217i</v>
      </c>
      <c r="R479" s="18">
        <f t="shared" si="423"/>
        <v>1783.9958210719064</v>
      </c>
      <c r="S479" s="18">
        <f t="shared" si="424"/>
        <v>1.5702357873359158</v>
      </c>
      <c r="T479" s="18" t="str">
        <f t="shared" si="413"/>
        <v>1+2.55964577593354i</v>
      </c>
      <c r="U479" s="18">
        <f t="shared" si="425"/>
        <v>2.7480514002206022</v>
      </c>
      <c r="V479" s="18">
        <f t="shared" si="426"/>
        <v>1.1983509797532714</v>
      </c>
      <c r="W479" s="32" t="str">
        <f t="shared" si="414"/>
        <v>1-1.14956872422104i</v>
      </c>
      <c r="X479" s="18">
        <f t="shared" si="427"/>
        <v>1.5236496486092823</v>
      </c>
      <c r="Y479" s="18">
        <f t="shared" si="428"/>
        <v>-0.85486700283447414</v>
      </c>
      <c r="Z479" s="32" t="str">
        <f t="shared" si="415"/>
        <v>0.834041309256244+0.627409985628464i</v>
      </c>
      <c r="AA479" s="18">
        <f t="shared" si="429"/>
        <v>1.0436801213073761</v>
      </c>
      <c r="AB479" s="18">
        <f t="shared" si="430"/>
        <v>0.64494140016039314</v>
      </c>
      <c r="AC479" s="68" t="str">
        <f t="shared" si="431"/>
        <v>-0.0141002477810835-0.045437879768165i</v>
      </c>
      <c r="AD479" s="66">
        <f t="shared" si="432"/>
        <v>-26.452352528434005</v>
      </c>
      <c r="AE479" s="63">
        <f t="shared" si="433"/>
        <v>-107.24012150938242</v>
      </c>
      <c r="AF479" s="51" t="e">
        <f t="shared" si="434"/>
        <v>#NUM!</v>
      </c>
      <c r="AG479" s="51" t="str">
        <f t="shared" si="416"/>
        <v>1-1096.99104682866i</v>
      </c>
      <c r="AH479" s="51">
        <f t="shared" si="435"/>
        <v>1096.9915026207993</v>
      </c>
      <c r="AI479" s="51">
        <f t="shared" si="436"/>
        <v>-1.5698847425792408</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-0.000133283554228113</v>
      </c>
      <c r="AT479" s="32" t="str">
        <f t="shared" si="420"/>
        <v>0.156394356909539i</v>
      </c>
      <c r="AU479" s="32">
        <f t="shared" si="444"/>
        <v>0.15639435690953901</v>
      </c>
      <c r="AV479" s="32">
        <f t="shared" si="445"/>
        <v>1.5707963267948966</v>
      </c>
      <c r="AW479" s="32" t="str">
        <f t="shared" si="421"/>
        <v>1+27.3443941966452i</v>
      </c>
      <c r="AX479" s="32">
        <f t="shared" si="446"/>
        <v>27.362673370515601</v>
      </c>
      <c r="AY479" s="32">
        <f t="shared" si="447"/>
        <v>1.5342420499629426</v>
      </c>
      <c r="AZ479" s="32" t="str">
        <f t="shared" si="422"/>
        <v>1+407.498167174395i</v>
      </c>
      <c r="BA479" s="32">
        <f t="shared" si="448"/>
        <v>407.4993941719315</v>
      </c>
      <c r="BB479" s="32">
        <f t="shared" si="449"/>
        <v>1.5683423329534734</v>
      </c>
      <c r="BC479" s="60" t="str">
        <f t="shared" si="450"/>
        <v>-0.000432710804517975+0.0126844421995107i</v>
      </c>
      <c r="BD479" s="51">
        <f t="shared" si="451"/>
        <v>-37.929521441389163</v>
      </c>
      <c r="BE479" s="63">
        <f t="shared" si="452"/>
        <v>91.953802295559157</v>
      </c>
      <c r="BF479" s="60" t="str">
        <f t="shared" si="453"/>
        <v>0.000582455489148861-0.000159192316467859i</v>
      </c>
      <c r="BG479" s="66">
        <f t="shared" si="454"/>
        <v>-64.381873969823161</v>
      </c>
      <c r="BH479" s="63">
        <f t="shared" si="455"/>
        <v>-15.28631921382325</v>
      </c>
      <c r="BI479" s="60" t="e">
        <f t="shared" si="409"/>
        <v>#NUM!</v>
      </c>
      <c r="BJ479" s="66" t="e">
        <f t="shared" si="456"/>
        <v>#NUM!</v>
      </c>
      <c r="BK479" s="63" t="e">
        <f t="shared" si="410"/>
        <v>#NUM!</v>
      </c>
      <c r="BL479" s="51">
        <f t="shared" si="457"/>
        <v>-64.381873969823161</v>
      </c>
      <c r="BM479" s="63">
        <f t="shared" si="458"/>
        <v>-15.28631921382325</v>
      </c>
    </row>
    <row r="480" spans="14:65" x14ac:dyDescent="0.3">
      <c r="N480" s="11">
        <v>62</v>
      </c>
      <c r="O480" s="52">
        <f t="shared" si="408"/>
        <v>416869.38347033598</v>
      </c>
      <c r="P480" s="50" t="str">
        <f t="shared" si="411"/>
        <v>21.1560044893378</v>
      </c>
      <c r="Q480" s="18" t="str">
        <f t="shared" si="412"/>
        <v>1+1825.55013516298i</v>
      </c>
      <c r="R480" s="18">
        <f t="shared" si="423"/>
        <v>1825.5504090529996</v>
      </c>
      <c r="S480" s="18">
        <f t="shared" si="424"/>
        <v>1.5702485467691842</v>
      </c>
      <c r="T480" s="18" t="str">
        <f t="shared" si="413"/>
        <v>1+2.61926758523383i</v>
      </c>
      <c r="U480" s="18">
        <f t="shared" si="425"/>
        <v>2.8036695031791212</v>
      </c>
      <c r="V480" s="18">
        <f t="shared" si="426"/>
        <v>1.2060894980983003</v>
      </c>
      <c r="W480" s="32" t="str">
        <f t="shared" si="414"/>
        <v>1-1.17634561964052i</v>
      </c>
      <c r="X480" s="18">
        <f t="shared" si="427"/>
        <v>1.5439524010951369</v>
      </c>
      <c r="Y480" s="18">
        <f t="shared" si="428"/>
        <v>-0.86624984143338357</v>
      </c>
      <c r="Z480" s="32" t="str">
        <f t="shared" si="415"/>
        <v>0.826219917125062+0.642024241580577i</v>
      </c>
      <c r="AA480" s="18">
        <f t="shared" si="429"/>
        <v>1.0463433844734049</v>
      </c>
      <c r="AB480" s="18">
        <f t="shared" si="430"/>
        <v>0.66059713541708864</v>
      </c>
      <c r="AC480" s="68" t="str">
        <f t="shared" si="431"/>
        <v>-0.015090845958532-0.0455061460857121i</v>
      </c>
      <c r="AD480" s="66">
        <f t="shared" si="432"/>
        <v>-26.385473742031277</v>
      </c>
      <c r="AE480" s="63">
        <f t="shared" si="433"/>
        <v>-108.34666429618187</v>
      </c>
      <c r="AF480" s="51" t="e">
        <f t="shared" si="434"/>
        <v>#NUM!</v>
      </c>
      <c r="AG480" s="51" t="str">
        <f t="shared" si="416"/>
        <v>1-1122.5432508145i</v>
      </c>
      <c r="AH480" s="51">
        <f t="shared" si="435"/>
        <v>1122.5436962315475</v>
      </c>
      <c r="AI480" s="51">
        <f t="shared" si="436"/>
        <v>-1.5699054927582161</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-0.000133283554228113</v>
      </c>
      <c r="AT480" s="32" t="str">
        <f t="shared" si="420"/>
        <v>0.160037249457787i</v>
      </c>
      <c r="AU480" s="32">
        <f t="shared" si="444"/>
        <v>0.160037249457787</v>
      </c>
      <c r="AV480" s="32">
        <f t="shared" si="445"/>
        <v>1.5707963267948966</v>
      </c>
      <c r="AW480" s="32" t="str">
        <f t="shared" si="421"/>
        <v>1+27.9813269595896i</v>
      </c>
      <c r="AX480" s="32">
        <f t="shared" si="446"/>
        <v>27.999190317211959</v>
      </c>
      <c r="AY480" s="32">
        <f t="shared" si="447"/>
        <v>1.5350734109489783</v>
      </c>
      <c r="AZ480" s="32" t="str">
        <f t="shared" si="422"/>
        <v>1+416.990018836811i</v>
      </c>
      <c r="BA480" s="32">
        <f t="shared" si="448"/>
        <v>416.9912179045549</v>
      </c>
      <c r="BB480" s="32">
        <f t="shared" si="449"/>
        <v>1.5683981924563994</v>
      </c>
      <c r="BC480" s="60" t="str">
        <f t="shared" si="450"/>
        <v>-0.000413260452451825+0.0123964041634263i</v>
      </c>
      <c r="BD480" s="51">
        <f t="shared" si="451"/>
        <v>-38.129261544041789</v>
      </c>
      <c r="BE480" s="63">
        <f t="shared" si="452"/>
        <v>91.909369333570851</v>
      </c>
      <c r="BF480" s="60" t="str">
        <f t="shared" si="453"/>
        <v>0.000570349028627111-0.000168266335149251i</v>
      </c>
      <c r="BG480" s="66">
        <f t="shared" si="454"/>
        <v>-64.514735286073062</v>
      </c>
      <c r="BH480" s="63">
        <f t="shared" si="455"/>
        <v>-16.437294962611027</v>
      </c>
      <c r="BI480" s="60" t="e">
        <f t="shared" si="409"/>
        <v>#NUM!</v>
      </c>
      <c r="BJ480" s="66" t="e">
        <f t="shared" si="456"/>
        <v>#NUM!</v>
      </c>
      <c r="BK480" s="63" t="e">
        <f t="shared" si="410"/>
        <v>#NUM!</v>
      </c>
      <c r="BL480" s="51">
        <f t="shared" si="457"/>
        <v>-64.514735286073062</v>
      </c>
      <c r="BM480" s="63">
        <f t="shared" si="458"/>
        <v>-16.437294962611027</v>
      </c>
    </row>
    <row r="481" spans="14:65" x14ac:dyDescent="0.3">
      <c r="N481" s="11">
        <v>63</v>
      </c>
      <c r="O481" s="52">
        <f t="shared" si="408"/>
        <v>426579.51880159322</v>
      </c>
      <c r="P481" s="50" t="str">
        <f t="shared" si="411"/>
        <v>21.1560044893378</v>
      </c>
      <c r="Q481" s="18" t="str">
        <f t="shared" si="412"/>
        <v>1+1868.07266036946i</v>
      </c>
      <c r="R481" s="18">
        <f t="shared" si="423"/>
        <v>1868.0729280249825</v>
      </c>
      <c r="S481" s="18">
        <f t="shared" si="424"/>
        <v>1.5702610157624644</v>
      </c>
      <c r="T481" s="18" t="str">
        <f t="shared" si="413"/>
        <v>1+2.68027816487791i</v>
      </c>
      <c r="U481" s="18">
        <f t="shared" si="425"/>
        <v>2.8607500836531137</v>
      </c>
      <c r="V481" s="18">
        <f t="shared" si="426"/>
        <v>1.2136963086891737</v>
      </c>
      <c r="W481" s="32" t="str">
        <f t="shared" si="414"/>
        <v>1-1.2037462290783i</v>
      </c>
      <c r="X481" s="18">
        <f t="shared" si="427"/>
        <v>1.5649297057760223</v>
      </c>
      <c r="Y481" s="18">
        <f t="shared" si="428"/>
        <v>-0.87759056566478855</v>
      </c>
      <c r="Z481" s="32" t="str">
        <f t="shared" si="415"/>
        <v>0.818029914139001+0.65697890728377i</v>
      </c>
      <c r="AA481" s="18">
        <f t="shared" si="429"/>
        <v>1.0491874117821074</v>
      </c>
      <c r="AB481" s="18">
        <f t="shared" si="430"/>
        <v>0.6766425112147747</v>
      </c>
      <c r="AC481" s="68" t="str">
        <f t="shared" si="431"/>
        <v>-0.0161154458130862-0.0455575093307124i</v>
      </c>
      <c r="AD481" s="66">
        <f t="shared" si="432"/>
        <v>-26.316769873594751</v>
      </c>
      <c r="AE481" s="63">
        <f t="shared" si="433"/>
        <v>-109.48064852344886</v>
      </c>
      <c r="AF481" s="51" t="e">
        <f t="shared" si="434"/>
        <v>#NUM!</v>
      </c>
      <c r="AG481" s="51" t="str">
        <f t="shared" si="416"/>
        <v>1-1148.69064209053i</v>
      </c>
      <c r="AH481" s="51">
        <f t="shared" si="435"/>
        <v>1148.6910773686518</v>
      </c>
      <c r="AI481" s="51">
        <f t="shared" si="436"/>
        <v>-1.5699257706061935</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-0.000133283554228113</v>
      </c>
      <c r="AT481" s="32" t="str">
        <f t="shared" si="420"/>
        <v>0.16376499587404i</v>
      </c>
      <c r="AU481" s="32">
        <f t="shared" si="444"/>
        <v>0.16376499587404</v>
      </c>
      <c r="AV481" s="32">
        <f t="shared" si="445"/>
        <v>1.5707963267948966</v>
      </c>
      <c r="AW481" s="32" t="str">
        <f t="shared" si="421"/>
        <v>1+28.6330957924646i</v>
      </c>
      <c r="AX481" s="32">
        <f t="shared" si="446"/>
        <v>28.650552781062604</v>
      </c>
      <c r="AY481" s="32">
        <f t="shared" si="447"/>
        <v>1.5358858955874186</v>
      </c>
      <c r="AZ481" s="32" t="str">
        <f t="shared" si="422"/>
        <v>1+426.702964126728i</v>
      </c>
      <c r="BA481" s="32">
        <f t="shared" si="448"/>
        <v>426.70413590043353</v>
      </c>
      <c r="BB481" s="32">
        <f t="shared" si="449"/>
        <v>1.568452780456264</v>
      </c>
      <c r="BC481" s="60" t="str">
        <f t="shared" si="450"/>
        <v>-0.000394683327247685+0.0121148763535567i</v>
      </c>
      <c r="BD481" s="51">
        <f t="shared" si="451"/>
        <v>-38.329013329350644</v>
      </c>
      <c r="BE481" s="63">
        <f t="shared" si="452"/>
        <v>91.865945054873308</v>
      </c>
      <c r="BF481" s="60" t="str">
        <f t="shared" si="453"/>
        <v>0.000558284090291175-0.000177255844044219i</v>
      </c>
      <c r="BG481" s="66">
        <f t="shared" si="454"/>
        <v>-64.645783202945395</v>
      </c>
      <c r="BH481" s="63">
        <f t="shared" si="455"/>
        <v>-17.614703468575527</v>
      </c>
      <c r="BI481" s="60" t="e">
        <f t="shared" si="409"/>
        <v>#NUM!</v>
      </c>
      <c r="BJ481" s="66" t="e">
        <f t="shared" si="456"/>
        <v>#NUM!</v>
      </c>
      <c r="BK481" s="63" t="e">
        <f t="shared" si="410"/>
        <v>#NUM!</v>
      </c>
      <c r="BL481" s="51">
        <f t="shared" si="457"/>
        <v>-64.645783202945395</v>
      </c>
      <c r="BM481" s="63">
        <f t="shared" si="458"/>
        <v>-17.614703468575527</v>
      </c>
    </row>
    <row r="482" spans="14:65" x14ac:dyDescent="0.3">
      <c r="N482" s="11">
        <v>64</v>
      </c>
      <c r="O482" s="52">
        <f t="shared" si="408"/>
        <v>436515.83224016649</v>
      </c>
      <c r="P482" s="50" t="str">
        <f t="shared" si="411"/>
        <v>21.1560044893378</v>
      </c>
      <c r="Q482" s="18" t="str">
        <f t="shared" si="412"/>
        <v>1+1911.58566242733i</v>
      </c>
      <c r="R482" s="18">
        <f t="shared" si="423"/>
        <v>1911.5859239902697</v>
      </c>
      <c r="S482" s="18">
        <f t="shared" si="424"/>
        <v>1.5702732009269667</v>
      </c>
      <c r="T482" s="18" t="str">
        <f t="shared" si="413"/>
        <v>1+2.74270986348268i</v>
      </c>
      <c r="U482" s="18">
        <f t="shared" si="425"/>
        <v>2.9193248183861251</v>
      </c>
      <c r="V482" s="18">
        <f t="shared" si="426"/>
        <v>1.2211719224963915</v>
      </c>
      <c r="W482" s="32" t="str">
        <f t="shared" si="414"/>
        <v>1-1.23178508070021i</v>
      </c>
      <c r="X482" s="18">
        <f t="shared" si="427"/>
        <v>1.5865984006785154</v>
      </c>
      <c r="Y482" s="18">
        <f t="shared" si="428"/>
        <v>-0.88888352090401757</v>
      </c>
      <c r="Z482" s="32" t="str">
        <f t="shared" si="415"/>
        <v>0.809453928203676+0.672281911899748i</v>
      </c>
      <c r="AA482" s="18">
        <f t="shared" si="429"/>
        <v>1.0522255608717848</v>
      </c>
      <c r="AB482" s="18">
        <f t="shared" si="430"/>
        <v>0.69308605700630332</v>
      </c>
      <c r="AC482" s="68" t="str">
        <f t="shared" si="431"/>
        <v>-0.017174255119568-0.0455893592167736i</v>
      </c>
      <c r="AD482" s="66">
        <f t="shared" si="432"/>
        <v>-26.246391787845798</v>
      </c>
      <c r="AE482" s="63">
        <f t="shared" si="433"/>
        <v>-110.64221000904705</v>
      </c>
      <c r="AF482" s="51" t="e">
        <f t="shared" si="434"/>
        <v>#NUM!</v>
      </c>
      <c r="AG482" s="51" t="str">
        <f t="shared" si="416"/>
        <v>1-1175.44708434972i</v>
      </c>
      <c r="AH482" s="51">
        <f t="shared" si="435"/>
        <v>1175.4475097197057</v>
      </c>
      <c r="AI482" s="51">
        <f t="shared" si="436"/>
        <v>-1.5699455868746897</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-0.000133283554228113</v>
      </c>
      <c r="AT482" s="32" t="str">
        <f t="shared" si="420"/>
        <v>0.167579572658792i</v>
      </c>
      <c r="AU482" s="32">
        <f t="shared" si="444"/>
        <v>0.167579572658792</v>
      </c>
      <c r="AV482" s="32">
        <f t="shared" si="445"/>
        <v>1.5707963267948966</v>
      </c>
      <c r="AW482" s="32" t="str">
        <f t="shared" si="421"/>
        <v>1+29.3000462717325i</v>
      </c>
      <c r="AX482" s="32">
        <f t="shared" si="446"/>
        <v>29.31710612467857</v>
      </c>
      <c r="AY482" s="32">
        <f t="shared" si="447"/>
        <v>1.5366799303751502</v>
      </c>
      <c r="AZ482" s="32" t="str">
        <f t="shared" si="422"/>
        <v>1+436.642152976306i</v>
      </c>
      <c r="BA482" s="32">
        <f t="shared" si="448"/>
        <v>436.64329807725653</v>
      </c>
      <c r="BB482" s="32">
        <f t="shared" si="449"/>
        <v>1.5685061258950452</v>
      </c>
      <c r="BC482" s="60" t="str">
        <f t="shared" si="450"/>
        <v>-0.000376940318976126+0.0118397136624389i</v>
      </c>
      <c r="BD482" s="51">
        <f t="shared" si="451"/>
        <v>-38.528776272797188</v>
      </c>
      <c r="BE482" s="63">
        <f t="shared" si="452"/>
        <v>91.823506681248162</v>
      </c>
      <c r="BF482" s="60" t="str">
        <f t="shared" si="453"/>
        <v>0.000546238628383617-0.000186153795376273i</v>
      </c>
      <c r="BG482" s="66">
        <f t="shared" si="454"/>
        <v>-64.775168060642983</v>
      </c>
      <c r="BH482" s="63">
        <f t="shared" si="455"/>
        <v>-18.8187033277989</v>
      </c>
      <c r="BI482" s="60" t="e">
        <f t="shared" si="409"/>
        <v>#NUM!</v>
      </c>
      <c r="BJ482" s="66" t="e">
        <f t="shared" si="456"/>
        <v>#NUM!</v>
      </c>
      <c r="BK482" s="63" t="e">
        <f t="shared" si="410"/>
        <v>#NUM!</v>
      </c>
      <c r="BL482" s="51">
        <f t="shared" si="457"/>
        <v>-64.775168060642983</v>
      </c>
      <c r="BM482" s="63">
        <f t="shared" si="458"/>
        <v>-18.8187033277989</v>
      </c>
    </row>
    <row r="483" spans="14:65" x14ac:dyDescent="0.3">
      <c r="N483" s="11">
        <v>65</v>
      </c>
      <c r="O483" s="52">
        <f t="shared" si="408"/>
        <v>446683.59215096442</v>
      </c>
      <c r="P483" s="50" t="str">
        <f t="shared" si="411"/>
        <v>21.1560044893378</v>
      </c>
      <c r="Q483" s="18" t="str">
        <f t="shared" si="412"/>
        <v>1+1956.11221250625i</v>
      </c>
      <c r="R483" s="18">
        <f t="shared" si="423"/>
        <v>1956.1124681152914</v>
      </c>
      <c r="S483" s="18">
        <f t="shared" si="424"/>
        <v>1.5702851087234118</v>
      </c>
      <c r="T483" s="18" t="str">
        <f t="shared" si="413"/>
        <v>1+2.80659578316114i</v>
      </c>
      <c r="U483" s="18">
        <f t="shared" si="425"/>
        <v>2.9794261007881859</v>
      </c>
      <c r="V483" s="18">
        <f t="shared" si="426"/>
        <v>1.228516960018154</v>
      </c>
      <c r="W483" s="32" t="str">
        <f t="shared" si="414"/>
        <v>1-1.26047704107651i</v>
      </c>
      <c r="X483" s="18">
        <f t="shared" si="427"/>
        <v>1.6089755657190679</v>
      </c>
      <c r="Y483" s="18">
        <f t="shared" si="428"/>
        <v>-0.90012317395410513</v>
      </c>
      <c r="Z483" s="32" t="str">
        <f t="shared" si="415"/>
        <v>0.800473768503111+0.687941369284122i</v>
      </c>
      <c r="AA483" s="18">
        <f t="shared" si="429"/>
        <v>1.0554722078927918</v>
      </c>
      <c r="AB483" s="18">
        <f t="shared" si="430"/>
        <v>0.70993621078323055</v>
      </c>
      <c r="AC483" s="68" t="str">
        <f t="shared" si="431"/>
        <v>-0.0182673472210577-0.0455989516114522i</v>
      </c>
      <c r="AD483" s="66">
        <f t="shared" si="432"/>
        <v>-26.174498121416157</v>
      </c>
      <c r="AE483" s="63">
        <f t="shared" si="433"/>
        <v>-111.8314800036902</v>
      </c>
      <c r="AF483" s="51" t="e">
        <f t="shared" si="434"/>
        <v>#NUM!</v>
      </c>
      <c r="AG483" s="51" t="str">
        <f t="shared" si="416"/>
        <v>1-1202.82676421192i</v>
      </c>
      <c r="AH483" s="51">
        <f t="shared" si="435"/>
        <v>1202.8271798993062</v>
      </c>
      <c r="AI483" s="51">
        <f t="shared" si="436"/>
        <v>-1.5699649520704901</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-0.000133283554228113</v>
      </c>
      <c r="AT483" s="32" t="str">
        <f t="shared" si="420"/>
        <v>0.171483002351146i</v>
      </c>
      <c r="AU483" s="32">
        <f t="shared" si="444"/>
        <v>0.171483002351146</v>
      </c>
      <c r="AV483" s="32">
        <f t="shared" si="445"/>
        <v>1.5707963267948966</v>
      </c>
      <c r="AW483" s="32" t="str">
        <f t="shared" si="421"/>
        <v>1+29.9825320233658i</v>
      </c>
      <c r="AX483" s="32">
        <f t="shared" si="446"/>
        <v>29.999203764969423</v>
      </c>
      <c r="AY483" s="32">
        <f t="shared" si="447"/>
        <v>1.537455932312584</v>
      </c>
      <c r="AZ483" s="32" t="str">
        <f t="shared" si="422"/>
        <v>1+446.812855275036i</v>
      </c>
      <c r="BA483" s="32">
        <f t="shared" si="448"/>
        <v>446.81397431037254</v>
      </c>
      <c r="BB483" s="32">
        <f t="shared" si="449"/>
        <v>1.5685582570559857</v>
      </c>
      <c r="BC483" s="60" t="str">
        <f t="shared" si="450"/>
        <v>-0.00035999406111649+0.0115707740807555i</v>
      </c>
      <c r="BD483" s="51">
        <f t="shared" si="451"/>
        <v>-38.728549873357032</v>
      </c>
      <c r="BE483" s="63">
        <f t="shared" si="452"/>
        <v>91.782031940842231</v>
      </c>
      <c r="BF483" s="60" t="str">
        <f t="shared" si="453"/>
        <v>0.000534191303927349-0.000194951995976314i</v>
      </c>
      <c r="BG483" s="66">
        <f t="shared" si="454"/>
        <v>-64.903047994773189</v>
      </c>
      <c r="BH483" s="63">
        <f t="shared" si="455"/>
        <v>-20.049448062847922</v>
      </c>
      <c r="BI483" s="60" t="e">
        <f t="shared" si="409"/>
        <v>#NUM!</v>
      </c>
      <c r="BJ483" s="66" t="e">
        <f t="shared" si="456"/>
        <v>#NUM!</v>
      </c>
      <c r="BK483" s="63" t="e">
        <f t="shared" si="410"/>
        <v>#NUM!</v>
      </c>
      <c r="BL483" s="51">
        <f t="shared" si="457"/>
        <v>-64.903047994773189</v>
      </c>
      <c r="BM483" s="63">
        <f t="shared" si="458"/>
        <v>-20.049448062847922</v>
      </c>
    </row>
    <row r="484" spans="14:65" x14ac:dyDescent="0.3">
      <c r="N484" s="11">
        <v>66</v>
      </c>
      <c r="O484" s="52">
        <f t="shared" ref="O484:O518" si="459">10^(5+(N484/100))</f>
        <v>457088.18961487547</v>
      </c>
      <c r="P484" s="50" t="str">
        <f t="shared" si="411"/>
        <v>21.1560044893378</v>
      </c>
      <c r="Q484" s="18" t="str">
        <f t="shared" si="412"/>
        <v>1+2001.67591917244i</v>
      </c>
      <c r="R484" s="18">
        <f t="shared" si="423"/>
        <v>2001.6761689631098</v>
      </c>
      <c r="S484" s="18">
        <f t="shared" si="424"/>
        <v>1.5702967454654577</v>
      </c>
      <c r="T484" s="18" t="str">
        <f t="shared" si="413"/>
        <v>1+2.8719697970735i</v>
      </c>
      <c r="U484" s="18">
        <f t="shared" si="425"/>
        <v>3.0410870614473371</v>
      </c>
      <c r="V484" s="18">
        <f t="shared" si="426"/>
        <v>1.2357321446317238</v>
      </c>
      <c r="W484" s="32" t="str">
        <f t="shared" si="414"/>
        <v>1-1.28983732306437i</v>
      </c>
      <c r="X484" s="18">
        <f t="shared" si="427"/>
        <v>1.6320785275132628</v>
      </c>
      <c r="Y484" s="18">
        <f t="shared" si="428"/>
        <v>-0.91130412565343732</v>
      </c>
      <c r="Z484" s="32" t="str">
        <f t="shared" si="415"/>
        <v>0.791070386914596+0.703965582288466i</v>
      </c>
      <c r="AA484" s="18">
        <f t="shared" si="429"/>
        <v>1.0589428209775764</v>
      </c>
      <c r="AB484" s="18">
        <f t="shared" si="430"/>
        <v>0.72720127287221759</v>
      </c>
      <c r="AC484" s="68" t="str">
        <f t="shared" si="431"/>
        <v>-0.0193946424207414-0.0455834097311411i</v>
      </c>
      <c r="AD484" s="66">
        <f t="shared" si="432"/>
        <v>-26.101255482632734</v>
      </c>
      <c r="AE484" s="63">
        <f t="shared" si="433"/>
        <v>-113.04858364717296</v>
      </c>
      <c r="AF484" s="51" t="e">
        <f t="shared" si="434"/>
        <v>#NUM!</v>
      </c>
      <c r="AG484" s="51" t="str">
        <f t="shared" si="416"/>
        <v>1-1230.84419874579i</v>
      </c>
      <c r="AH484" s="51">
        <f t="shared" si="435"/>
        <v>1230.8446049709792</v>
      </c>
      <c r="AI484" s="51">
        <f t="shared" si="436"/>
        <v>-1.5699838764612202</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-0.000133283554228113</v>
      </c>
      <c r="AT484" s="32" t="str">
        <f t="shared" si="420"/>
        <v>0.175477354601191i</v>
      </c>
      <c r="AU484" s="32">
        <f t="shared" si="444"/>
        <v>0.17547735460119099</v>
      </c>
      <c r="AV484" s="32">
        <f t="shared" si="445"/>
        <v>1.5707963267948966</v>
      </c>
      <c r="AW484" s="32" t="str">
        <f t="shared" si="421"/>
        <v>1+30.6809149103434i</v>
      </c>
      <c r="AX484" s="32">
        <f t="shared" si="446"/>
        <v>30.697207360535781</v>
      </c>
      <c r="AY484" s="32">
        <f t="shared" si="447"/>
        <v>1.5382143091057454</v>
      </c>
      <c r="AZ484" s="32" t="str">
        <f t="shared" si="422"/>
        <v>1+457.220463663898i</v>
      </c>
      <c r="BA484" s="32">
        <f t="shared" si="448"/>
        <v>457.22155722694214</v>
      </c>
      <c r="BB484" s="32">
        <f t="shared" si="449"/>
        <v>1.5686092015785831</v>
      </c>
      <c r="BC484" s="60" t="str">
        <f t="shared" si="450"/>
        <v>-0.000343808853565586+0.0113079186403914i</v>
      </c>
      <c r="BD484" s="51">
        <f t="shared" si="451"/>
        <v>-38.928333652452309</v>
      </c>
      <c r="BE484" s="63">
        <f t="shared" si="452"/>
        <v>91.741499057447541</v>
      </c>
      <c r="BF484" s="60" t="str">
        <f t="shared" si="453"/>
        <v>0.000522121538367359-0.000203641058711953i</v>
      </c>
      <c r="BG484" s="66">
        <f t="shared" si="454"/>
        <v>-65.029589135085047</v>
      </c>
      <c r="BH484" s="63">
        <f t="shared" si="455"/>
        <v>-21.307084589725367</v>
      </c>
      <c r="BI484" s="60" t="e">
        <f t="shared" si="409"/>
        <v>#NUM!</v>
      </c>
      <c r="BJ484" s="66" t="e">
        <f t="shared" si="456"/>
        <v>#NUM!</v>
      </c>
      <c r="BK484" s="63" t="e">
        <f t="shared" si="410"/>
        <v>#NUM!</v>
      </c>
      <c r="BL484" s="51">
        <f t="shared" si="457"/>
        <v>-65.029589135085047</v>
      </c>
      <c r="BM484" s="63">
        <f t="shared" si="458"/>
        <v>-21.307084589725367</v>
      </c>
    </row>
    <row r="485" spans="14:65" x14ac:dyDescent="0.3">
      <c r="N485" s="11">
        <v>67</v>
      </c>
      <c r="O485" s="52">
        <f t="shared" si="459"/>
        <v>467735.14128719864</v>
      </c>
      <c r="P485" s="50" t="str">
        <f t="shared" si="411"/>
        <v>21.1560044893378</v>
      </c>
      <c r="Q485" s="18" t="str">
        <f t="shared" si="412"/>
        <v>1+2048.3009409063i</v>
      </c>
      <c r="R485" s="18">
        <f t="shared" si="423"/>
        <v>2048.3011850110411</v>
      </c>
      <c r="S485" s="18">
        <f t="shared" si="424"/>
        <v>1.5703081173230462</v>
      </c>
      <c r="T485" s="18" t="str">
        <f t="shared" si="413"/>
        <v>1+2.93886656738729i</v>
      </c>
      <c r="U485" s="18">
        <f t="shared" si="425"/>
        <v>3.1043415889535666</v>
      </c>
      <c r="V485" s="18">
        <f t="shared" si="426"/>
        <v>1.2428182960638658</v>
      </c>
      <c r="W485" s="32" t="str">
        <f t="shared" si="414"/>
        <v>1-1.31988149387394i</v>
      </c>
      <c r="X485" s="18">
        <f t="shared" si="427"/>
        <v>1.655924864802417</v>
      </c>
      <c r="Y485" s="18">
        <f t="shared" si="428"/>
        <v>-0.92242112268209997</v>
      </c>
      <c r="Z485" s="32" t="str">
        <f t="shared" si="415"/>
        <v>0.781223837605045+0.720363047162627i</v>
      </c>
      <c r="AA485" s="18">
        <f t="shared" si="429"/>
        <v>1.0626540378504092</v>
      </c>
      <c r="AB485" s="18">
        <f t="shared" si="430"/>
        <v>0.7448893541486703</v>
      </c>
      <c r="AC485" s="68" t="str">
        <f t="shared" si="431"/>
        <v>-0.0205558880602525-0.0455397271106624i</v>
      </c>
      <c r="AD485" s="66">
        <f t="shared" si="432"/>
        <v>-26.026838638619534</v>
      </c>
      <c r="AE485" s="63">
        <f t="shared" si="433"/>
        <v>-114.29363805199257</v>
      </c>
      <c r="AF485" s="51" t="e">
        <f t="shared" si="434"/>
        <v>#NUM!</v>
      </c>
      <c r="AG485" s="51" t="str">
        <f t="shared" si="416"/>
        <v>1-1259.51424316598i</v>
      </c>
      <c r="AH485" s="51">
        <f t="shared" si="435"/>
        <v>1259.5146401443578</v>
      </c>
      <c r="AI485" s="51">
        <f t="shared" si="436"/>
        <v>-1.5700023700807877</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-0.000133283554228113</v>
      </c>
      <c r="AT485" s="32" t="str">
        <f t="shared" si="420"/>
        <v>0.179564747267364i</v>
      </c>
      <c r="AU485" s="32">
        <f t="shared" si="444"/>
        <v>0.17956474726736399</v>
      </c>
      <c r="AV485" s="32">
        <f t="shared" si="445"/>
        <v>1.5707963267948966</v>
      </c>
      <c r="AW485" s="32" t="str">
        <f t="shared" si="421"/>
        <v>1+31.3955652245165i</v>
      </c>
      <c r="AX485" s="32">
        <f t="shared" si="446"/>
        <v>31.411487003433468</v>
      </c>
      <c r="AY485" s="32">
        <f t="shared" si="447"/>
        <v>1.5389554593646997</v>
      </c>
      <c r="AZ485" s="32" t="str">
        <f t="shared" si="422"/>
        <v>1+467.870496394624i</v>
      </c>
      <c r="BA485" s="32">
        <f t="shared" si="448"/>
        <v>467.87156506519165</v>
      </c>
      <c r="BB485" s="32">
        <f t="shared" si="449"/>
        <v>1.5686589864732388</v>
      </c>
      <c r="BC485" s="60" t="str">
        <f t="shared" si="450"/>
        <v>-0.000328350588982441+0.0110510113578903i</v>
      </c>
      <c r="BD485" s="51">
        <f t="shared" si="451"/>
        <v>-39.128127152950832</v>
      </c>
      <c r="BE485" s="63">
        <f t="shared" si="452"/>
        <v>91.701886739971712</v>
      </c>
      <c r="BF485" s="60" t="str">
        <f t="shared" si="453"/>
        <v>0.000510009579486796-0.000212210356206486i</v>
      </c>
      <c r="BG485" s="66">
        <f t="shared" si="454"/>
        <v>-65.154965791570376</v>
      </c>
      <c r="BH485" s="63">
        <f t="shared" si="455"/>
        <v>-22.591751312020829</v>
      </c>
      <c r="BI485" s="60" t="e">
        <f t="shared" si="409"/>
        <v>#NUM!</v>
      </c>
      <c r="BJ485" s="66" t="e">
        <f t="shared" si="456"/>
        <v>#NUM!</v>
      </c>
      <c r="BK485" s="63" t="e">
        <f t="shared" si="410"/>
        <v>#NUM!</v>
      </c>
      <c r="BL485" s="51">
        <f t="shared" si="457"/>
        <v>-65.154965791570376</v>
      </c>
      <c r="BM485" s="63">
        <f t="shared" si="458"/>
        <v>-22.591751312020829</v>
      </c>
    </row>
    <row r="486" spans="14:65" x14ac:dyDescent="0.3">
      <c r="N486" s="11">
        <v>68</v>
      </c>
      <c r="O486" s="52">
        <f t="shared" si="459"/>
        <v>478630.09232263872</v>
      </c>
      <c r="P486" s="50" t="str">
        <f t="shared" si="411"/>
        <v>21.1560044893378</v>
      </c>
      <c r="Q486" s="18" t="str">
        <f t="shared" si="412"/>
        <v>1+2096.01199891149i</v>
      </c>
      <c r="R486" s="18">
        <f t="shared" si="423"/>
        <v>2096.012237459729</v>
      </c>
      <c r="S486" s="18">
        <f t="shared" si="424"/>
        <v>1.5703192303256752</v>
      </c>
      <c r="T486" s="18" t="str">
        <f t="shared" si="413"/>
        <v>1+3.00732156365561i</v>
      </c>
      <c r="U486" s="18">
        <f t="shared" si="425"/>
        <v>3.1692243510404912</v>
      </c>
      <c r="V486" s="18">
        <f t="shared" si="426"/>
        <v>1.2497763239995476</v>
      </c>
      <c r="W486" s="32" t="str">
        <f t="shared" si="414"/>
        <v>1-1.35062548332225i</v>
      </c>
      <c r="X486" s="18">
        <f t="shared" si="427"/>
        <v>1.6805324145042433</v>
      </c>
      <c r="Y486" s="18">
        <f t="shared" si="428"/>
        <v>-0.93346906851208067</v>
      </c>
      <c r="Z486" s="32" t="str">
        <f t="shared" si="415"/>
        <v>0.770913234723223+0.737142458059527i</v>
      </c>
      <c r="AA486" s="18">
        <f t="shared" si="429"/>
        <v>1.0666237476005607</v>
      </c>
      <c r="AB486" s="18">
        <f t="shared" si="430"/>
        <v>0.76300831832621407</v>
      </c>
      <c r="AC486" s="68" t="str">
        <f t="shared" si="431"/>
        <v>-0.0217506373571964-0.0454647726476544i</v>
      </c>
      <c r="AD486" s="66">
        <f t="shared" si="432"/>
        <v>-25.951430685073724</v>
      </c>
      <c r="AE486" s="63">
        <f t="shared" si="433"/>
        <v>-115.56674999056139</v>
      </c>
      <c r="AF486" s="51" t="e">
        <f t="shared" si="434"/>
        <v>#NUM!</v>
      </c>
      <c r="AG486" s="51" t="str">
        <f t="shared" si="416"/>
        <v>1-1288.85209870955i</v>
      </c>
      <c r="AH486" s="51">
        <f t="shared" si="435"/>
        <v>1288.8524866515995</v>
      </c>
      <c r="AI486" s="51">
        <f t="shared" si="436"/>
        <v>-1.570020442734704</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-0.000133283554228113</v>
      </c>
      <c r="AT486" s="32" t="str">
        <f t="shared" si="420"/>
        <v>0.183747347539358i</v>
      </c>
      <c r="AU486" s="32">
        <f t="shared" si="444"/>
        <v>0.18374734753935801</v>
      </c>
      <c r="AV486" s="32">
        <f t="shared" si="445"/>
        <v>1.5707963267948966</v>
      </c>
      <c r="AW486" s="32" t="str">
        <f t="shared" si="421"/>
        <v>1+32.1268618829411i</v>
      </c>
      <c r="AX486" s="32">
        <f t="shared" si="446"/>
        <v>32.142421415406361</v>
      </c>
      <c r="AY486" s="32">
        <f t="shared" si="447"/>
        <v>1.5396797727983293</v>
      </c>
      <c r="AZ486" s="32" t="str">
        <f t="shared" si="422"/>
        <v>1+478.768600255536i</v>
      </c>
      <c r="BA486" s="32">
        <f t="shared" si="448"/>
        <v>478.76964460024533</v>
      </c>
      <c r="BB486" s="32">
        <f t="shared" si="449"/>
        <v>1.5687076381355756</v>
      </c>
      <c r="BC486" s="60" t="str">
        <f t="shared" si="450"/>
        <v>-0.000313586682330379+0.0107999191783622i</v>
      </c>
      <c r="BD486" s="51">
        <f t="shared" si="451"/>
        <v>-39.327929938208733</v>
      </c>
      <c r="BE486" s="63">
        <f t="shared" si="452"/>
        <v>91.663174172098294</v>
      </c>
      <c r="BF486" s="60" t="str">
        <f t="shared" si="453"/>
        <v>0.000497836580264694-0.000220647978318104i</v>
      </c>
      <c r="BG486" s="66">
        <f t="shared" si="454"/>
        <v>-65.279360623282457</v>
      </c>
      <c r="BH486" s="63">
        <f t="shared" si="455"/>
        <v>-23.903575818463139</v>
      </c>
      <c r="BI486" s="60" t="e">
        <f t="shared" si="409"/>
        <v>#NUM!</v>
      </c>
      <c r="BJ486" s="66" t="e">
        <f t="shared" si="456"/>
        <v>#NUM!</v>
      </c>
      <c r="BK486" s="63" t="e">
        <f t="shared" si="410"/>
        <v>#NUM!</v>
      </c>
      <c r="BL486" s="51">
        <f t="shared" si="457"/>
        <v>-65.279360623282457</v>
      </c>
      <c r="BM486" s="63">
        <f t="shared" si="458"/>
        <v>-23.903575818463139</v>
      </c>
    </row>
    <row r="487" spans="14:65" x14ac:dyDescent="0.3">
      <c r="N487" s="11">
        <v>69</v>
      </c>
      <c r="O487" s="52">
        <f t="shared" si="459"/>
        <v>489778.81936844654</v>
      </c>
      <c r="P487" s="50" t="str">
        <f t="shared" si="411"/>
        <v>21.1560044893378</v>
      </c>
      <c r="Q487" s="18" t="str">
        <f t="shared" si="412"/>
        <v>1+2144.83439022251i</v>
      </c>
      <c r="R487" s="18">
        <f t="shared" si="423"/>
        <v>2144.8346233407287</v>
      </c>
      <c r="S487" s="18">
        <f t="shared" si="424"/>
        <v>1.5703300903655948</v>
      </c>
      <c r="T487" s="18" t="str">
        <f t="shared" si="413"/>
        <v>1+3.07737108162359i</v>
      </c>
      <c r="U487" s="18">
        <f t="shared" si="425"/>
        <v>3.2357708160518945</v>
      </c>
      <c r="V487" s="18">
        <f t="shared" si="426"/>
        <v>1.2566072218456144</v>
      </c>
      <c r="W487" s="32" t="str">
        <f t="shared" si="414"/>
        <v>1-1.38208559227947i</v>
      </c>
      <c r="X487" s="18">
        <f t="shared" si="427"/>
        <v>1.7059192783911241</v>
      </c>
      <c r="Y487" s="18">
        <f t="shared" si="428"/>
        <v>-0.9444430334555779</v>
      </c>
      <c r="Z487" s="32" t="str">
        <f t="shared" si="415"/>
        <v>0.760116708098051+0.754312711644925i</v>
      </c>
      <c r="AA487" s="18">
        <f t="shared" si="429"/>
        <v>1.0708711766029271</v>
      </c>
      <c r="AB487" s="18">
        <f t="shared" si="430"/>
        <v>0.78156571801454122</v>
      </c>
      <c r="AC487" s="68" t="str">
        <f t="shared" si="431"/>
        <v>-0.0229782271198203-0.0453552980433849i</v>
      </c>
      <c r="AD487" s="66">
        <f t="shared" si="432"/>
        <v>-25.87522319331384</v>
      </c>
      <c r="AE487" s="63">
        <f t="shared" si="433"/>
        <v>-116.86801316481483</v>
      </c>
      <c r="AF487" s="51" t="e">
        <f t="shared" si="434"/>
        <v>#NUM!</v>
      </c>
      <c r="AG487" s="51" t="str">
        <f t="shared" si="416"/>
        <v>1-1318.87332069583i</v>
      </c>
      <c r="AH487" s="51">
        <f t="shared" si="435"/>
        <v>1318.8736998072429</v>
      </c>
      <c r="AI487" s="51">
        <f t="shared" si="436"/>
        <v>-1.5700381040052822</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-0.000133283554228113</v>
      </c>
      <c r="AT487" s="32" t="str">
        <f t="shared" si="420"/>
        <v>0.188027373087201i</v>
      </c>
      <c r="AU487" s="32">
        <f t="shared" si="444"/>
        <v>0.18802737308720099</v>
      </c>
      <c r="AV487" s="32">
        <f t="shared" si="445"/>
        <v>1.5707963267948966</v>
      </c>
      <c r="AW487" s="32" t="str">
        <f t="shared" si="421"/>
        <v>1+32.8751926287853i</v>
      </c>
      <c r="AX487" s="32">
        <f t="shared" si="446"/>
        <v>32.890398148695908</v>
      </c>
      <c r="AY487" s="32">
        <f t="shared" si="447"/>
        <v>1.540387630405494</v>
      </c>
      <c r="AZ487" s="32" t="str">
        <f t="shared" si="422"/>
        <v>1+489.920553565557i</v>
      </c>
      <c r="BA487" s="32">
        <f t="shared" si="448"/>
        <v>489.92157413812856</v>
      </c>
      <c r="BB487" s="32">
        <f t="shared" si="449"/>
        <v>1.5687551823604267</v>
      </c>
      <c r="BC487" s="60" t="str">
        <f t="shared" si="450"/>
        <v>-0.000299486003482667+0.0105545119198847i</v>
      </c>
      <c r="BD487" s="51">
        <f t="shared" si="451"/>
        <v>-39.527741591155923</v>
      </c>
      <c r="BE487" s="63">
        <f t="shared" si="452"/>
        <v>91.625341002135727</v>
      </c>
      <c r="BF487" s="60" t="str">
        <f t="shared" si="453"/>
        <v>0.000485584691236061-0.000228940695086183i</v>
      </c>
      <c r="BG487" s="66">
        <f t="shared" si="454"/>
        <v>-65.402964784469773</v>
      </c>
      <c r="BH487" s="63">
        <f t="shared" si="455"/>
        <v>-25.242672162679156</v>
      </c>
      <c r="BI487" s="60" t="e">
        <f t="shared" si="409"/>
        <v>#NUM!</v>
      </c>
      <c r="BJ487" s="66" t="e">
        <f t="shared" si="456"/>
        <v>#NUM!</v>
      </c>
      <c r="BK487" s="63" t="e">
        <f t="shared" si="410"/>
        <v>#NUM!</v>
      </c>
      <c r="BL487" s="51">
        <f t="shared" si="457"/>
        <v>-65.402964784469773</v>
      </c>
      <c r="BM487" s="63">
        <f t="shared" si="458"/>
        <v>-25.242672162679156</v>
      </c>
    </row>
    <row r="488" spans="14:65" x14ac:dyDescent="0.3">
      <c r="N488" s="11">
        <v>70</v>
      </c>
      <c r="O488" s="52">
        <f t="shared" si="459"/>
        <v>501187.23362727347</v>
      </c>
      <c r="P488" s="50" t="str">
        <f t="shared" si="411"/>
        <v>21.1560044893378</v>
      </c>
      <c r="Q488" s="18" t="str">
        <f t="shared" si="412"/>
        <v>1+2194.79400111746i</v>
      </c>
      <c r="R488" s="18">
        <f t="shared" si="423"/>
        <v>2194.7942289292614</v>
      </c>
      <c r="S488" s="18">
        <f t="shared" si="424"/>
        <v>1.5703407032009313</v>
      </c>
      <c r="T488" s="18" t="str">
        <f t="shared" si="413"/>
        <v>1+3.14905226247287i</v>
      </c>
      <c r="U488" s="18">
        <f t="shared" si="425"/>
        <v>3.3040172747407812</v>
      </c>
      <c r="V488" s="18">
        <f t="shared" si="426"/>
        <v>1.263312060663673</v>
      </c>
      <c r="W488" s="32" t="str">
        <f t="shared" si="414"/>
        <v>1-1.41427850131178i</v>
      </c>
      <c r="X488" s="18">
        <f t="shared" si="427"/>
        <v>1.7321038303960574</v>
      </c>
      <c r="Y488" s="18">
        <f t="shared" si="428"/>
        <v>-0.95533826377477327</v>
      </c>
      <c r="Z488" s="32" t="str">
        <f t="shared" si="415"/>
        <v>0.748811356849041+0.771882911814546i</v>
      </c>
      <c r="AA488" s="18">
        <f t="shared" si="429"/>
        <v>1.0754169785238674</v>
      </c>
      <c r="AB488" s="18">
        <f t="shared" si="430"/>
        <v>0.80056872428686721</v>
      </c>
      <c r="AC488" s="68" t="str">
        <f t="shared" si="431"/>
        <v>-0.0242377545103593-0.045207947979036i</v>
      </c>
      <c r="AD488" s="66">
        <f t="shared" si="432"/>
        <v>-25.798416328390847</v>
      </c>
      <c r="AE488" s="63">
        <f t="shared" si="433"/>
        <v>-118.19750504047575</v>
      </c>
      <c r="AF488" s="51" t="e">
        <f t="shared" si="434"/>
        <v>#NUM!</v>
      </c>
      <c r="AG488" s="51" t="str">
        <f t="shared" si="416"/>
        <v>1-1349.59382677409i</v>
      </c>
      <c r="AH488" s="51">
        <f t="shared" si="435"/>
        <v>1349.594197255876</v>
      </c>
      <c r="AI488" s="51">
        <f t="shared" si="436"/>
        <v>-1.5700553632567176</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-0.000133283554228113</v>
      </c>
      <c r="AT488" s="32" t="str">
        <f t="shared" si="420"/>
        <v>0.192407093237092i</v>
      </c>
      <c r="AU488" s="32">
        <f t="shared" si="444"/>
        <v>0.19240709323709199</v>
      </c>
      <c r="AV488" s="32">
        <f t="shared" si="445"/>
        <v>1.5707963267948966</v>
      </c>
      <c r="AW488" s="32" t="str">
        <f t="shared" si="421"/>
        <v>1+33.640954236916i</v>
      </c>
      <c r="AX488" s="32">
        <f t="shared" si="446"/>
        <v>33.655813791532019</v>
      </c>
      <c r="AY488" s="32">
        <f t="shared" si="447"/>
        <v>1.5410794046625966</v>
      </c>
      <c r="AZ488" s="32" t="str">
        <f t="shared" si="422"/>
        <v>1+501.332269237943i</v>
      </c>
      <c r="BA488" s="32">
        <f t="shared" si="448"/>
        <v>501.33326657949345</v>
      </c>
      <c r="BB488" s="32">
        <f t="shared" si="449"/>
        <v>1.5688016443555095</v>
      </c>
      <c r="BC488" s="60" t="str">
        <f t="shared" si="450"/>
        <v>-0.000286018812763298+0.0103146622184386i</v>
      </c>
      <c r="BD488" s="51">
        <f t="shared" si="451"/>
        <v>-39.727561713422482</v>
      </c>
      <c r="BE488" s="63">
        <f t="shared" si="452"/>
        <v>91.588367333053952</v>
      </c>
      <c r="BF488" s="60" t="str">
        <f t="shared" si="453"/>
        <v>0.000473237166761602-0.000237073927099364i</v>
      </c>
      <c r="BG488" s="66">
        <f t="shared" si="454"/>
        <v>-65.525978041813332</v>
      </c>
      <c r="BH488" s="63">
        <f t="shared" si="455"/>
        <v>-26.60913770742178</v>
      </c>
      <c r="BI488" s="60" t="e">
        <f t="shared" si="409"/>
        <v>#NUM!</v>
      </c>
      <c r="BJ488" s="66" t="e">
        <f t="shared" si="456"/>
        <v>#NUM!</v>
      </c>
      <c r="BK488" s="63" t="e">
        <f t="shared" si="410"/>
        <v>#NUM!</v>
      </c>
      <c r="BL488" s="51">
        <f t="shared" si="457"/>
        <v>-65.525978041813332</v>
      </c>
      <c r="BM488" s="63">
        <f t="shared" si="458"/>
        <v>-26.60913770742178</v>
      </c>
    </row>
    <row r="489" spans="14:65" x14ac:dyDescent="0.3">
      <c r="N489" s="11">
        <v>71</v>
      </c>
      <c r="O489" s="52">
        <f t="shared" si="459"/>
        <v>512861.38399136515</v>
      </c>
      <c r="P489" s="50" t="str">
        <f t="shared" si="411"/>
        <v>21.1560044893378</v>
      </c>
      <c r="Q489" s="18" t="str">
        <f t="shared" si="412"/>
        <v>1+2245.91732084332i</v>
      </c>
      <c r="R489" s="18">
        <f t="shared" si="423"/>
        <v>2245.9175434694916</v>
      </c>
      <c r="S489" s="18">
        <f t="shared" si="424"/>
        <v>1.5703510744587414</v>
      </c>
      <c r="T489" s="18" t="str">
        <f t="shared" si="413"/>
        <v>1+3.22240311251433i</v>
      </c>
      <c r="U489" s="18">
        <f t="shared" si="425"/>
        <v>3.3740008624097957</v>
      </c>
      <c r="V489" s="18">
        <f t="shared" si="426"/>
        <v>1.2698919832841622</v>
      </c>
      <c r="W489" s="32" t="str">
        <f t="shared" si="414"/>
        <v>1-1.44722127952567i</v>
      </c>
      <c r="X489" s="18">
        <f t="shared" si="427"/>
        <v>1.7591047245436859</v>
      </c>
      <c r="Y489" s="18">
        <f t="shared" si="428"/>
        <v>-0.96615018982590783</v>
      </c>
      <c r="Z489" s="32" t="str">
        <f t="shared" si="415"/>
        <v>0.736973200810464+0.789862374521085i</v>
      </c>
      <c r="AA489" s="18">
        <f t="shared" si="429"/>
        <v>1.0802833282972144</v>
      </c>
      <c r="AB489" s="18">
        <f t="shared" si="430"/>
        <v>0.820024049564688</v>
      </c>
      <c r="AC489" s="68" t="str">
        <f t="shared" si="431"/>
        <v>-0.0255280530908635-0.0450192733779097i</v>
      </c>
      <c r="AD489" s="66">
        <f t="shared" si="432"/>
        <v>-25.721218931204501</v>
      </c>
      <c r="AE489" s="63">
        <f t="shared" si="433"/>
        <v>-119.55528323271095</v>
      </c>
      <c r="AF489" s="51" t="e">
        <f t="shared" si="434"/>
        <v>#NUM!</v>
      </c>
      <c r="AG489" s="51" t="str">
        <f t="shared" si="416"/>
        <v>1-1381.02990536329i</v>
      </c>
      <c r="AH489" s="51">
        <f t="shared" si="435"/>
        <v>1381.0302674118832</v>
      </c>
      <c r="AI489" s="51">
        <f t="shared" si="436"/>
        <v>-1.5700722296400529</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-0.000133283554228113</v>
      </c>
      <c r="AT489" s="32" t="str">
        <f t="shared" si="420"/>
        <v>0.196888830174626i</v>
      </c>
      <c r="AU489" s="32">
        <f t="shared" si="444"/>
        <v>0.196888830174626</v>
      </c>
      <c r="AV489" s="32">
        <f t="shared" si="445"/>
        <v>1.5707963267948966</v>
      </c>
      <c r="AW489" s="32" t="str">
        <f t="shared" si="421"/>
        <v>1+34.4245527242736i</v>
      </c>
      <c r="AX489" s="32">
        <f t="shared" si="446"/>
        <v>34.439074178413868</v>
      </c>
      <c r="AY489" s="32">
        <f t="shared" si="447"/>
        <v>1.5417554597075922</v>
      </c>
      <c r="AZ489" s="32" t="str">
        <f t="shared" si="422"/>
        <v>1+513.009797915394i</v>
      </c>
      <c r="BA489" s="32">
        <f t="shared" si="448"/>
        <v>513.01077255472262</v>
      </c>
      <c r="BB489" s="32">
        <f t="shared" si="449"/>
        <v>1.5688470487547861</v>
      </c>
      <c r="BC489" s="60" t="str">
        <f t="shared" si="450"/>
        <v>-0.000273156699299388+0.0100802454734152i</v>
      </c>
      <c r="BD489" s="51">
        <f t="shared" si="451"/>
        <v>-39.92738992450257</v>
      </c>
      <c r="BE489" s="63">
        <f t="shared" si="452"/>
        <v>91.55223371270705</v>
      </c>
      <c r="BF489" s="60" t="str">
        <f t="shared" si="453"/>
        <v>0.000460778485405956-0.000245031725493513i</v>
      </c>
      <c r="BG489" s="66">
        <f t="shared" si="454"/>
        <v>-65.648608855707067</v>
      </c>
      <c r="BH489" s="63">
        <f t="shared" si="455"/>
        <v>-28.003049520003888</v>
      </c>
      <c r="BI489" s="60" t="e">
        <f t="shared" si="409"/>
        <v>#NUM!</v>
      </c>
      <c r="BJ489" s="66" t="e">
        <f t="shared" si="456"/>
        <v>#NUM!</v>
      </c>
      <c r="BK489" s="63" t="e">
        <f t="shared" si="410"/>
        <v>#NUM!</v>
      </c>
      <c r="BL489" s="51">
        <f t="shared" si="457"/>
        <v>-65.648608855707067</v>
      </c>
      <c r="BM489" s="63">
        <f t="shared" si="458"/>
        <v>-28.003049520003888</v>
      </c>
    </row>
    <row r="490" spans="14:65" x14ac:dyDescent="0.3">
      <c r="N490" s="11">
        <v>72</v>
      </c>
      <c r="O490" s="52">
        <f t="shared" si="459"/>
        <v>524807.46024977288</v>
      </c>
      <c r="P490" s="50" t="str">
        <f t="shared" si="411"/>
        <v>21.1560044893378</v>
      </c>
      <c r="Q490" s="18" t="str">
        <f t="shared" si="412"/>
        <v>1+2298.23145566094i</v>
      </c>
      <c r="R490" s="18">
        <f t="shared" si="423"/>
        <v>2298.2316732195218</v>
      </c>
      <c r="S490" s="18">
        <f t="shared" si="424"/>
        <v>1.5703612096379942</v>
      </c>
      <c r="T490" s="18" t="str">
        <f t="shared" si="413"/>
        <v>1+3.29746252333961i</v>
      </c>
      <c r="U490" s="18">
        <f t="shared" si="425"/>
        <v>3.4457595814028044</v>
      </c>
      <c r="V490" s="18">
        <f t="shared" si="426"/>
        <v>1.2763481986114515</v>
      </c>
      <c r="W490" s="32" t="str">
        <f t="shared" si="414"/>
        <v>1-1.4809313936182i</v>
      </c>
      <c r="X490" s="18">
        <f t="shared" si="427"/>
        <v>1.7869409035007131</v>
      </c>
      <c r="Y490" s="18">
        <f t="shared" si="428"/>
        <v>-0.97687443321960521</v>
      </c>
      <c r="Z490" s="32" t="str">
        <f t="shared" si="415"/>
        <v>0.724577129666184+0.808260632713665i</v>
      </c>
      <c r="AA490" s="18">
        <f t="shared" si="429"/>
        <v>1.0854940198960012</v>
      </c>
      <c r="AB490" s="18">
        <f t="shared" si="430"/>
        <v>0.83993786371401602</v>
      </c>
      <c r="AC490" s="68" t="str">
        <f t="shared" si="431"/>
        <v>-0.0268476684563079-0.0447857481071295i</v>
      </c>
      <c r="AD490" s="66">
        <f t="shared" si="432"/>
        <v>-25.643848556707095</v>
      </c>
      <c r="AE490" s="63">
        <f t="shared" si="433"/>
        <v>-120.94138143551972</v>
      </c>
      <c r="AF490" s="51" t="e">
        <f t="shared" si="434"/>
        <v>#NUM!</v>
      </c>
      <c r="AG490" s="51" t="str">
        <f t="shared" si="416"/>
        <v>1-1413.19822428841i</v>
      </c>
      <c r="AH490" s="51">
        <f t="shared" si="435"/>
        <v>1413.198578095773</v>
      </c>
      <c r="AI490" s="51">
        <f t="shared" si="436"/>
        <v>-1.5700887120980289</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-0.000133283554228113</v>
      </c>
      <c r="AT490" s="32" t="str">
        <f t="shared" si="420"/>
        <v>0.20147496017605i</v>
      </c>
      <c r="AU490" s="32">
        <f t="shared" si="444"/>
        <v>0.20147496017604999</v>
      </c>
      <c r="AV490" s="32">
        <f t="shared" si="445"/>
        <v>1.5707963267948966</v>
      </c>
      <c r="AW490" s="32" t="str">
        <f t="shared" si="421"/>
        <v>1+35.2264035651486i</v>
      </c>
      <c r="AX490" s="32">
        <f t="shared" si="446"/>
        <v>35.240594605294532</v>
      </c>
      <c r="AY490" s="32">
        <f t="shared" si="447"/>
        <v>1.5424161515204704</v>
      </c>
      <c r="AZ490" s="32" t="str">
        <f t="shared" si="422"/>
        <v>1+524.959331178189i</v>
      </c>
      <c r="BA490" s="32">
        <f t="shared" si="448"/>
        <v>524.96028363205869</v>
      </c>
      <c r="BB490" s="32">
        <f t="shared" si="449"/>
        <v>1.5688914196315202</v>
      </c>
      <c r="BC490" s="60" t="str">
        <f t="shared" si="450"/>
        <v>-0.000260872522066413+0.00985113979372453i</v>
      </c>
      <c r="BD490" s="51">
        <f t="shared" si="451"/>
        <v>-40.127225860956628</v>
      </c>
      <c r="BE490" s="63">
        <f t="shared" si="452"/>
        <v>91.516921124240454</v>
      </c>
      <c r="BF490" s="60" t="str">
        <f t="shared" si="453"/>
        <v>0.000448194484351666-0.00025279676403732i</v>
      </c>
      <c r="BG490" s="66">
        <f t="shared" si="454"/>
        <v>-65.771074417663726</v>
      </c>
      <c r="BH490" s="63">
        <f t="shared" si="455"/>
        <v>-29.424460311279301</v>
      </c>
      <c r="BI490" s="60" t="e">
        <f t="shared" si="409"/>
        <v>#NUM!</v>
      </c>
      <c r="BJ490" s="66" t="e">
        <f t="shared" si="456"/>
        <v>#NUM!</v>
      </c>
      <c r="BK490" s="63" t="e">
        <f t="shared" si="410"/>
        <v>#NUM!</v>
      </c>
      <c r="BL490" s="51">
        <f t="shared" si="457"/>
        <v>-65.771074417663726</v>
      </c>
      <c r="BM490" s="63">
        <f t="shared" si="458"/>
        <v>-29.424460311279301</v>
      </c>
    </row>
    <row r="491" spans="14:65" x14ac:dyDescent="0.3">
      <c r="N491" s="11">
        <v>73</v>
      </c>
      <c r="O491" s="52">
        <f t="shared" si="459"/>
        <v>537031.7963702539</v>
      </c>
      <c r="P491" s="50" t="str">
        <f t="shared" si="411"/>
        <v>21.1560044893378</v>
      </c>
      <c r="Q491" s="18" t="str">
        <f t="shared" si="412"/>
        <v>1+2351.76414321704i</v>
      </c>
      <c r="R491" s="18">
        <f t="shared" si="423"/>
        <v>2351.7643558233844</v>
      </c>
      <c r="S491" s="18">
        <f t="shared" si="424"/>
        <v>1.5703711141124872</v>
      </c>
      <c r="T491" s="18" t="str">
        <f t="shared" si="413"/>
        <v>1+3.37427029244184i</v>
      </c>
      <c r="U491" s="18">
        <f t="shared" si="425"/>
        <v>3.5193323239579897</v>
      </c>
      <c r="V491" s="18">
        <f t="shared" si="426"/>
        <v>1.2826819761277894</v>
      </c>
      <c r="W491" s="32" t="str">
        <f t="shared" si="414"/>
        <v>1-1.51542671713808i</v>
      </c>
      <c r="X491" s="18">
        <f t="shared" si="427"/>
        <v>1.8156316077376209</v>
      </c>
      <c r="Y491" s="18">
        <f t="shared" si="428"/>
        <v>-0.98750681298850584</v>
      </c>
      <c r="Z491" s="32" t="str">
        <f t="shared" si="415"/>
        <v>0.711596849687339+0.827087441392303i</v>
      </c>
      <c r="AA491" s="18">
        <f t="shared" si="429"/>
        <v>1.0910745676597047</v>
      </c>
      <c r="AB491" s="18">
        <f t="shared" si="430"/>
        <v>0.86031570335607799</v>
      </c>
      <c r="AC491" s="68" t="str">
        <f t="shared" si="431"/>
        <v>-0.0281948338391773-0.0445037894647598i</v>
      </c>
      <c r="AD491" s="66">
        <f t="shared" si="432"/>
        <v>-25.566531459421608</v>
      </c>
      <c r="AE491" s="63">
        <f t="shared" si="433"/>
        <v>-122.35580489406819</v>
      </c>
      <c r="AF491" s="51" t="e">
        <f t="shared" si="434"/>
        <v>#NUM!</v>
      </c>
      <c r="AG491" s="51" t="str">
        <f t="shared" si="416"/>
        <v>1-1446.11583961793i</v>
      </c>
      <c r="AH491" s="51">
        <f t="shared" si="435"/>
        <v>1446.1161853716565</v>
      </c>
      <c r="AI491" s="51">
        <f t="shared" si="436"/>
        <v>-1.5701048193698275</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-0.000133283554228113</v>
      </c>
      <c r="AT491" s="32" t="str">
        <f t="shared" si="420"/>
        <v>0.206167914868196i</v>
      </c>
      <c r="AU491" s="32">
        <f t="shared" si="444"/>
        <v>0.20616791486819599</v>
      </c>
      <c r="AV491" s="32">
        <f t="shared" si="445"/>
        <v>1.5707963267948966</v>
      </c>
      <c r="AW491" s="32" t="str">
        <f t="shared" si="421"/>
        <v>1+36.0469319114703i</v>
      </c>
      <c r="AX491" s="32">
        <f t="shared" si="446"/>
        <v>36.060800049779481</v>
      </c>
      <c r="AY491" s="32">
        <f t="shared" si="447"/>
        <v>1.5430618281002466</v>
      </c>
      <c r="AZ491" s="32" t="str">
        <f t="shared" si="422"/>
        <v>1+537.187204827033i</v>
      </c>
      <c r="BA491" s="32">
        <f t="shared" si="448"/>
        <v>537.18813560044373</v>
      </c>
      <c r="BB491" s="32">
        <f t="shared" si="449"/>
        <v>1.5689347805110392</v>
      </c>
      <c r="BC491" s="60" t="str">
        <f t="shared" si="450"/>
        <v>-0.000249140353512307+0.00962722594453487i</v>
      </c>
      <c r="BD491" s="51">
        <f t="shared" si="451"/>
        <v>-40.327069175648319</v>
      </c>
      <c r="BE491" s="63">
        <f t="shared" si="452"/>
        <v>91.482410976681237</v>
      </c>
      <c r="BF491" s="60" t="str">
        <f t="shared" si="453"/>
        <v>0.000435472507435167-0.00026035034599849i</v>
      </c>
      <c r="BG491" s="66">
        <f t="shared" si="454"/>
        <v>-65.893600635069916</v>
      </c>
      <c r="BH491" s="63">
        <f t="shared" si="455"/>
        <v>-30.873393917386935</v>
      </c>
      <c r="BI491" s="60" t="e">
        <f t="shared" si="409"/>
        <v>#NUM!</v>
      </c>
      <c r="BJ491" s="66" t="e">
        <f t="shared" si="456"/>
        <v>#NUM!</v>
      </c>
      <c r="BK491" s="63" t="e">
        <f t="shared" si="410"/>
        <v>#NUM!</v>
      </c>
      <c r="BL491" s="51">
        <f t="shared" si="457"/>
        <v>-65.893600635069916</v>
      </c>
      <c r="BM491" s="63">
        <f t="shared" si="458"/>
        <v>-30.873393917386935</v>
      </c>
    </row>
    <row r="492" spans="14:65" x14ac:dyDescent="0.3">
      <c r="N492" s="11">
        <v>74</v>
      </c>
      <c r="O492" s="52">
        <f t="shared" si="459"/>
        <v>549540.87385762564</v>
      </c>
      <c r="P492" s="50" t="str">
        <f t="shared" si="411"/>
        <v>21.1560044893378</v>
      </c>
      <c r="Q492" s="18" t="str">
        <f t="shared" si="412"/>
        <v>1+2406.54376725115i</v>
      </c>
      <c r="R492" s="18">
        <f t="shared" si="423"/>
        <v>2406.5439750179835</v>
      </c>
      <c r="S492" s="18">
        <f t="shared" si="424"/>
        <v>1.5703807931336966</v>
      </c>
      <c r="T492" s="18" t="str">
        <f t="shared" si="413"/>
        <v>1+3.45286714431686i</v>
      </c>
      <c r="U492" s="18">
        <f t="shared" si="425"/>
        <v>3.5947588954341385</v>
      </c>
      <c r="V492" s="18">
        <f t="shared" si="426"/>
        <v>1.2888946406021433</v>
      </c>
      <c r="W492" s="32" t="str">
        <f t="shared" si="414"/>
        <v>1-1.55072553996242i</v>
      </c>
      <c r="X492" s="18">
        <f t="shared" si="427"/>
        <v>1.8451963852912077</v>
      </c>
      <c r="Y492" s="18">
        <f t="shared" si="428"/>
        <v>-0.9980433507619636</v>
      </c>
      <c r="Z492" s="32" t="str">
        <f t="shared" si="415"/>
        <v>0.698004827959798+0.846352782780161i</v>
      </c>
      <c r="AA492" s="18">
        <f t="shared" si="429"/>
        <v>1.0970523108653067</v>
      </c>
      <c r="AB492" s="18">
        <f t="shared" si="430"/>
        <v>0.88116237452923019</v>
      </c>
      <c r="AC492" s="68" t="str">
        <f t="shared" si="431"/>
        <v>-0.0295674461565718-0.0441697827769876i</v>
      </c>
      <c r="AD492" s="66">
        <f t="shared" si="432"/>
        <v>-25.489502516690333</v>
      </c>
      <c r="AE492" s="63">
        <f t="shared" si="433"/>
        <v>-123.79852542743994</v>
      </c>
      <c r="AF492" s="51" t="e">
        <f t="shared" si="434"/>
        <v>#NUM!</v>
      </c>
      <c r="AG492" s="51" t="str">
        <f t="shared" si="416"/>
        <v>1-1479.80020470723i</v>
      </c>
      <c r="AH492" s="51">
        <f t="shared" si="435"/>
        <v>1479.8005425906426</v>
      </c>
      <c r="AI492" s="51">
        <f t="shared" si="436"/>
        <v>-1.570120559995704</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-0.000133283554228113</v>
      </c>
      <c r="AT492" s="32" t="str">
        <f t="shared" si="420"/>
        <v>0.21097018251776i</v>
      </c>
      <c r="AU492" s="32">
        <f t="shared" si="444"/>
        <v>0.21097018251776001</v>
      </c>
      <c r="AV492" s="32">
        <f t="shared" si="445"/>
        <v>1.5707963267948966</v>
      </c>
      <c r="AW492" s="32" t="str">
        <f t="shared" si="421"/>
        <v>1+36.886572818229i</v>
      </c>
      <c r="AX492" s="32">
        <f t="shared" si="446"/>
        <v>36.900125396460517</v>
      </c>
      <c r="AY492" s="32">
        <f t="shared" si="447"/>
        <v>1.543692829638506</v>
      </c>
      <c r="AZ492" s="32" t="str">
        <f t="shared" si="422"/>
        <v>1+549.699902242388i</v>
      </c>
      <c r="BA492" s="32">
        <f t="shared" si="448"/>
        <v>549.70081182884473</v>
      </c>
      <c r="BB492" s="32">
        <f t="shared" si="449"/>
        <v>1.5689771543832025</v>
      </c>
      <c r="BC492" s="60" t="str">
        <f t="shared" si="450"/>
        <v>-0.000237935425650808+0.00940838729466742i</v>
      </c>
      <c r="BD492" s="51">
        <f t="shared" si="451"/>
        <v>-40.526919537015559</v>
      </c>
      <c r="BE492" s="63">
        <f t="shared" si="452"/>
        <v>91.448685095709308</v>
      </c>
      <c r="BF492" s="60" t="str">
        <f t="shared" si="453"/>
        <v>0.000422601565973901-0.000267672428689307i</v>
      </c>
      <c r="BG492" s="66">
        <f t="shared" si="454"/>
        <v>-66.016422053705895</v>
      </c>
      <c r="BH492" s="63">
        <f t="shared" si="455"/>
        <v>-32.349840331730654</v>
      </c>
      <c r="BI492" s="60" t="e">
        <f t="shared" si="409"/>
        <v>#NUM!</v>
      </c>
      <c r="BJ492" s="66" t="e">
        <f t="shared" si="456"/>
        <v>#NUM!</v>
      </c>
      <c r="BK492" s="63" t="e">
        <f t="shared" si="410"/>
        <v>#NUM!</v>
      </c>
      <c r="BL492" s="51">
        <f t="shared" si="457"/>
        <v>-66.016422053705895</v>
      </c>
      <c r="BM492" s="63">
        <f t="shared" si="458"/>
        <v>-32.349840331730654</v>
      </c>
    </row>
    <row r="493" spans="14:65" x14ac:dyDescent="0.3">
      <c r="N493" s="11">
        <v>75</v>
      </c>
      <c r="O493" s="52">
        <f t="shared" si="459"/>
        <v>562341.32519035018</v>
      </c>
      <c r="P493" s="50" t="str">
        <f t="shared" si="411"/>
        <v>21.1560044893378</v>
      </c>
      <c r="Q493" s="18" t="str">
        <f t="shared" si="412"/>
        <v>1+2462.59937264503i</v>
      </c>
      <c r="R493" s="18">
        <f t="shared" si="423"/>
        <v>2462.5995756825137</v>
      </c>
      <c r="S493" s="18">
        <f t="shared" si="424"/>
        <v>1.57039025183356</v>
      </c>
      <c r="T493" s="18" t="str">
        <f t="shared" si="413"/>
        <v>1+3.53329475205591i</v>
      </c>
      <c r="U493" s="18">
        <f t="shared" si="425"/>
        <v>3.6720800379220817</v>
      </c>
      <c r="V493" s="18">
        <f t="shared" si="426"/>
        <v>1.2949875670082267</v>
      </c>
      <c r="W493" s="32" t="str">
        <f t="shared" si="414"/>
        <v>1-1.58684657799434i</v>
      </c>
      <c r="X493" s="18">
        <f t="shared" si="427"/>
        <v>1.8756551021156174</v>
      </c>
      <c r="Y493" s="18">
        <f t="shared" si="428"/>
        <v>-1.0084802749559176</v>
      </c>
      <c r="Z493" s="32" t="str">
        <f t="shared" si="415"/>
        <v>0.683772233983162+0.866066871616256i</v>
      </c>
      <c r="AA493" s="18">
        <f t="shared" si="429"/>
        <v>1.1034565211540925</v>
      </c>
      <c r="AB493" s="18">
        <f t="shared" si="430"/>
        <v>0.90248184899856898</v>
      </c>
      <c r="AC493" s="68" t="str">
        <f t="shared" si="431"/>
        <v>-0.030963043063607-0.0437801103921098i</v>
      </c>
      <c r="AD493" s="66">
        <f t="shared" si="432"/>
        <v>-25.413005079343058</v>
      </c>
      <c r="AE493" s="63">
        <f t="shared" si="433"/>
        <v>-125.26947601901097</v>
      </c>
      <c r="AF493" s="51" t="e">
        <f t="shared" si="434"/>
        <v>#NUM!</v>
      </c>
      <c r="AG493" s="51" t="str">
        <f t="shared" si="416"/>
        <v>1-1514.26917945254i</v>
      </c>
      <c r="AH493" s="51">
        <f t="shared" si="435"/>
        <v>1514.2695096447885</v>
      </c>
      <c r="AI493" s="51">
        <f t="shared" si="436"/>
        <v>-1.5701359423215151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-0.000133283554228113</v>
      </c>
      <c r="AT493" s="32" t="str">
        <f t="shared" si="420"/>
        <v>0.215884309350616i</v>
      </c>
      <c r="AU493" s="32">
        <f t="shared" si="444"/>
        <v>0.215884309350616</v>
      </c>
      <c r="AV493" s="32">
        <f t="shared" si="445"/>
        <v>1.5707963267948966</v>
      </c>
      <c r="AW493" s="32" t="str">
        <f t="shared" si="421"/>
        <v>1+37.7457714741476i</v>
      </c>
      <c r="AX493" s="32">
        <f t="shared" si="446"/>
        <v>37.759015667500854</v>
      </c>
      <c r="AY493" s="32">
        <f t="shared" si="447"/>
        <v>1.5443094886895343</v>
      </c>
      <c r="AZ493" s="32" t="str">
        <f t="shared" si="422"/>
        <v>1+562.504057822053i</v>
      </c>
      <c r="BA493" s="32">
        <f t="shared" si="448"/>
        <v>562.50494670382739</v>
      </c>
      <c r="BB493" s="32">
        <f t="shared" si="449"/>
        <v>1.569018563714589</v>
      </c>
      <c r="BC493" s="60" t="str">
        <f t="shared" si="450"/>
        <v>-0.000227234078518895+0.00919450976466814i</v>
      </c>
      <c r="BD493" s="51">
        <f t="shared" si="451"/>
        <v>-40.726776628373983</v>
      </c>
      <c r="BE493" s="63">
        <f t="shared" si="452"/>
        <v>91.415725714607746</v>
      </c>
      <c r="BF493" s="60" t="str">
        <f t="shared" si="453"/>
        <v>0.000409572511057202-0.000274741668749768i</v>
      </c>
      <c r="BG493" s="66">
        <f t="shared" si="454"/>
        <v>-66.139781707717034</v>
      </c>
      <c r="BH493" s="63">
        <f t="shared" si="455"/>
        <v>-33.853750304403235</v>
      </c>
      <c r="BI493" s="60" t="e">
        <f t="shared" si="409"/>
        <v>#NUM!</v>
      </c>
      <c r="BJ493" s="66" t="e">
        <f t="shared" si="456"/>
        <v>#NUM!</v>
      </c>
      <c r="BK493" s="63" t="e">
        <f t="shared" si="410"/>
        <v>#NUM!</v>
      </c>
      <c r="BL493" s="51">
        <f t="shared" si="457"/>
        <v>-66.139781707717034</v>
      </c>
      <c r="BM493" s="63">
        <f t="shared" si="458"/>
        <v>-33.853750304403235</v>
      </c>
    </row>
    <row r="494" spans="14:65" x14ac:dyDescent="0.3">
      <c r="N494" s="11">
        <v>76</v>
      </c>
      <c r="O494" s="52">
        <f t="shared" si="459"/>
        <v>575439.93733715697</v>
      </c>
      <c r="P494" s="50" t="str">
        <f t="shared" si="411"/>
        <v>21.1560044893378</v>
      </c>
      <c r="Q494" s="18" t="str">
        <f t="shared" si="412"/>
        <v>1+2519.96068082264i</v>
      </c>
      <c r="R494" s="18">
        <f t="shared" si="423"/>
        <v>2519.9608792384265</v>
      </c>
      <c r="S494" s="18">
        <f t="shared" si="424"/>
        <v>1.5703994952271987</v>
      </c>
      <c r="T494" s="18" t="str">
        <f t="shared" si="413"/>
        <v>1+3.61559575944117i</v>
      </c>
      <c r="U494" s="18">
        <f t="shared" si="425"/>
        <v>3.7513374542540121</v>
      </c>
      <c r="V494" s="18">
        <f t="shared" si="426"/>
        <v>1.3009621756544933</v>
      </c>
      <c r="W494" s="32" t="str">
        <f t="shared" si="414"/>
        <v>1-1.6238089830863i</v>
      </c>
      <c r="X494" s="18">
        <f t="shared" si="427"/>
        <v>1.9070279530074445</v>
      </c>
      <c r="Y494" s="18">
        <f t="shared" si="428"/>
        <v>-1.0188140239936949</v>
      </c>
      <c r="Z494" s="32" t="str">
        <f t="shared" si="415"/>
        <v>0.668868878517408+0.886240160571428i</v>
      </c>
      <c r="AA494" s="18">
        <f t="shared" si="429"/>
        <v>1.1103185123462571</v>
      </c>
      <c r="AB494" s="18">
        <f t="shared" si="430"/>
        <v>0.92427715469722216</v>
      </c>
      <c r="AC494" s="68" t="str">
        <f t="shared" si="431"/>
        <v>-0.032378781673057-0.043331185300503i</v>
      </c>
      <c r="AD494" s="66">
        <f t="shared" si="432"/>
        <v>-25.337290738876344</v>
      </c>
      <c r="AE494" s="63">
        <f t="shared" si="433"/>
        <v>-126.76854500292372</v>
      </c>
      <c r="AF494" s="51" t="e">
        <f t="shared" si="434"/>
        <v>#NUM!</v>
      </c>
      <c r="AG494" s="51" t="str">
        <f t="shared" si="416"/>
        <v>1-1549.5410397605i</v>
      </c>
      <c r="AH494" s="51">
        <f t="shared" si="435"/>
        <v>1549.541362436657</v>
      </c>
      <c r="AI494" s="51">
        <f t="shared" si="436"/>
        <v>-1.5701509745031446</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-0.000133283554228113</v>
      </c>
      <c r="AT494" s="32" t="str">
        <f t="shared" si="420"/>
        <v>0.220912900901855i</v>
      </c>
      <c r="AU494" s="32">
        <f t="shared" si="444"/>
        <v>0.220912900901855</v>
      </c>
      <c r="AV494" s="32">
        <f t="shared" si="445"/>
        <v>1.5707963267948966</v>
      </c>
      <c r="AW494" s="32" t="str">
        <f t="shared" si="421"/>
        <v>1+38.6249834377259i</v>
      </c>
      <c r="AX494" s="32">
        <f t="shared" si="446"/>
        <v>38.637926258594682</v>
      </c>
      <c r="AY494" s="32">
        <f t="shared" si="447"/>
        <v>1.5449121303370812</v>
      </c>
      <c r="AZ494" s="32" t="str">
        <f t="shared" si="422"/>
        <v>1+575.606460498793i</v>
      </c>
      <c r="BA494" s="32">
        <f t="shared" si="448"/>
        <v>575.60732914717869</v>
      </c>
      <c r="BB494" s="32">
        <f t="shared" si="449"/>
        <v>1.5690590304604062</v>
      </c>
      <c r="BC494" s="60" t="str">
        <f t="shared" si="450"/>
        <v>-0.000217013710897384+0.00898548177557583i</v>
      </c>
      <c r="BD494" s="51">
        <f t="shared" si="451"/>
        <v>-40.926640147251007</v>
      </c>
      <c r="BE494" s="63">
        <f t="shared" si="452"/>
        <v>91.383515465390445</v>
      </c>
      <c r="BF494" s="60" t="str">
        <f t="shared" si="453"/>
        <v>0.000396378215396975-0.000281535491318958i</v>
      </c>
      <c r="BG494" s="66">
        <f t="shared" si="454"/>
        <v>-66.263930886127355</v>
      </c>
      <c r="BH494" s="63">
        <f t="shared" si="455"/>
        <v>-35.385029537533278</v>
      </c>
      <c r="BI494" s="60" t="e">
        <f t="shared" si="409"/>
        <v>#NUM!</v>
      </c>
      <c r="BJ494" s="66" t="e">
        <f t="shared" si="456"/>
        <v>#NUM!</v>
      </c>
      <c r="BK494" s="63" t="e">
        <f t="shared" si="410"/>
        <v>#NUM!</v>
      </c>
      <c r="BL494" s="51">
        <f t="shared" si="457"/>
        <v>-66.263930886127355</v>
      </c>
      <c r="BM494" s="63">
        <f t="shared" si="458"/>
        <v>-35.385029537533278</v>
      </c>
    </row>
    <row r="495" spans="14:65" x14ac:dyDescent="0.3">
      <c r="N495" s="11">
        <v>77</v>
      </c>
      <c r="O495" s="52">
        <f t="shared" si="459"/>
        <v>588843.65535558888</v>
      </c>
      <c r="P495" s="50" t="str">
        <f t="shared" si="411"/>
        <v>21.1560044893378</v>
      </c>
      <c r="Q495" s="18" t="str">
        <f t="shared" si="412"/>
        <v>1+2578.65810550884i</v>
      </c>
      <c r="R495" s="18">
        <f t="shared" si="423"/>
        <v>2578.6582994081323</v>
      </c>
      <c r="S495" s="18">
        <f t="shared" si="424"/>
        <v>1.5704085282155757</v>
      </c>
      <c r="T495" s="18" t="str">
        <f t="shared" si="413"/>
        <v>1+3.69981380355616i</v>
      </c>
      <c r="U495" s="18">
        <f t="shared" si="425"/>
        <v>3.8325738324244583</v>
      </c>
      <c r="V495" s="18">
        <f t="shared" si="426"/>
        <v>1.3068199275275025</v>
      </c>
      <c r="W495" s="32" t="str">
        <f t="shared" si="414"/>
        <v>1-1.66163235319475i</v>
      </c>
      <c r="X495" s="18">
        <f t="shared" si="427"/>
        <v>1.9393354730895638</v>
      </c>
      <c r="Y495" s="18">
        <f t="shared" si="428"/>
        <v>-1.0290412485808536</v>
      </c>
      <c r="Z495" s="32" t="str">
        <f t="shared" si="415"/>
        <v>0.653263149547468+0.906883345790513i</v>
      </c>
      <c r="AA495" s="18">
        <f t="shared" si="429"/>
        <v>1.1176717520940003</v>
      </c>
      <c r="AB495" s="18">
        <f t="shared" si="430"/>
        <v>0.94655026099837247</v>
      </c>
      <c r="AC495" s="68" t="str">
        <f t="shared" si="431"/>
        <v>-0.033811419697427-0.0428194895295367i</v>
      </c>
      <c r="AD495" s="66">
        <f t="shared" si="432"/>
        <v>-25.262618999829062</v>
      </c>
      <c r="AE495" s="63">
        <f t="shared" si="433"/>
        <v>-128.2955698879546</v>
      </c>
      <c r="AF495" s="51" t="e">
        <f t="shared" si="434"/>
        <v>#NUM!</v>
      </c>
      <c r="AG495" s="51" t="str">
        <f t="shared" si="416"/>
        <v>1-1585.63448723836i</v>
      </c>
      <c r="AH495" s="51">
        <f t="shared" si="435"/>
        <v>1585.6348025695122</v>
      </c>
      <c r="AI495" s="51">
        <f t="shared" si="436"/>
        <v>-1.5701656645108268</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-0.000133283554228113</v>
      </c>
      <c r="AT495" s="32" t="str">
        <f t="shared" si="420"/>
        <v>0.226058623397281i</v>
      </c>
      <c r="AU495" s="32">
        <f t="shared" si="444"/>
        <v>0.226058623397281</v>
      </c>
      <c r="AV495" s="32">
        <f t="shared" si="445"/>
        <v>1.5707963267948966</v>
      </c>
      <c r="AW495" s="32" t="str">
        <f t="shared" si="421"/>
        <v>1+39.5246748787851i</v>
      </c>
      <c r="AX495" s="32">
        <f t="shared" si="446"/>
        <v>39.537323180428714</v>
      </c>
      <c r="AY495" s="32">
        <f t="shared" si="447"/>
        <v>1.5455010723577978</v>
      </c>
      <c r="AZ495" s="32" t="str">
        <f t="shared" si="422"/>
        <v>1+589.014057339944i</v>
      </c>
      <c r="BA495" s="32">
        <f t="shared" si="448"/>
        <v>589.01490621550738</v>
      </c>
      <c r="BB495" s="32">
        <f t="shared" si="449"/>
        <v>1.5690985760761276</v>
      </c>
      <c r="BC495" s="60" t="str">
        <f t="shared" si="450"/>
        <v>-0.000207252733197691+0.00878119419840177i</v>
      </c>
      <c r="BD495" s="51">
        <f t="shared" si="451"/>
        <v>-41.12650980475027</v>
      </c>
      <c r="BE495" s="63">
        <f t="shared" si="452"/>
        <v>91.352037370104568</v>
      </c>
      <c r="BF495" s="60" t="str">
        <f t="shared" si="453"/>
        <v>0.000383013762180879-0.000288030186247647i</v>
      </c>
      <c r="BG495" s="66">
        <f t="shared" si="454"/>
        <v>-66.389128804579343</v>
      </c>
      <c r="BH495" s="63">
        <f t="shared" si="455"/>
        <v>-36.943532517850059</v>
      </c>
      <c r="BI495" s="60" t="e">
        <f t="shared" si="409"/>
        <v>#NUM!</v>
      </c>
      <c r="BJ495" s="66" t="e">
        <f t="shared" si="456"/>
        <v>#NUM!</v>
      </c>
      <c r="BK495" s="63" t="e">
        <f t="shared" si="410"/>
        <v>#NUM!</v>
      </c>
      <c r="BL495" s="51">
        <f t="shared" si="457"/>
        <v>-66.389128804579343</v>
      </c>
      <c r="BM495" s="63">
        <f t="shared" si="458"/>
        <v>-36.943532517850059</v>
      </c>
    </row>
    <row r="496" spans="14:65" x14ac:dyDescent="0.3">
      <c r="N496" s="11">
        <v>78</v>
      </c>
      <c r="O496" s="52">
        <f t="shared" si="459"/>
        <v>602559.58607435878</v>
      </c>
      <c r="P496" s="50" t="str">
        <f t="shared" si="411"/>
        <v>21.1560044893378</v>
      </c>
      <c r="Q496" s="18" t="str">
        <f t="shared" si="412"/>
        <v>1+2638.72276885516i</v>
      </c>
      <c r="R496" s="18">
        <f t="shared" si="423"/>
        <v>2638.7229583407657</v>
      </c>
      <c r="S496" s="18">
        <f t="shared" si="424"/>
        <v>1.5704173555880954</v>
      </c>
      <c r="T496" s="18" t="str">
        <f t="shared" si="413"/>
        <v>1+3.78599353792262i</v>
      </c>
      <c r="U496" s="18">
        <f t="shared" si="425"/>
        <v>3.9158328704366121</v>
      </c>
      <c r="V496" s="18">
        <f t="shared" si="426"/>
        <v>1.3125623198487593</v>
      </c>
      <c r="W496" s="32" t="str">
        <f t="shared" si="414"/>
        <v>1-1.70033674277117i</v>
      </c>
      <c r="X496" s="18">
        <f t="shared" si="427"/>
        <v>1.9725985498366545</v>
      </c>
      <c r="Y496" s="18">
        <f t="shared" si="428"/>
        <v>-1.0391588130635105</v>
      </c>
      <c r="Z496" s="32" t="str">
        <f t="shared" si="415"/>
        <v>0.6369219452299+0.928007372563555i</v>
      </c>
      <c r="AA496" s="18">
        <f t="shared" si="429"/>
        <v>1.1255519747429492</v>
      </c>
      <c r="AB496" s="18">
        <f t="shared" si="430"/>
        <v>0.969301959758603</v>
      </c>
      <c r="AC496" s="68" t="str">
        <f t="shared" si="431"/>
        <v>-0.0352572998614996-0.0422416173570006i</v>
      </c>
      <c r="AD496" s="66">
        <f t="shared" si="432"/>
        <v>-25.189256845880625</v>
      </c>
      <c r="AE496" s="63">
        <f t="shared" si="433"/>
        <v>-129.85033087434979</v>
      </c>
      <c r="AF496" s="51" t="e">
        <f t="shared" si="434"/>
        <v>#NUM!</v>
      </c>
      <c r="AG496" s="51" t="str">
        <f t="shared" si="416"/>
        <v>1-1622.5686591097i</v>
      </c>
      <c r="AH496" s="51">
        <f t="shared" si="435"/>
        <v>1622.5689672630406</v>
      </c>
      <c r="AI496" s="51">
        <f t="shared" si="436"/>
        <v>-1.5701800201333731</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-0.000133283554228113</v>
      </c>
      <c r="AT496" s="32" t="str">
        <f t="shared" si="420"/>
        <v>0.231324205167072i</v>
      </c>
      <c r="AU496" s="32">
        <f t="shared" si="444"/>
        <v>0.231324205167072</v>
      </c>
      <c r="AV496" s="32">
        <f t="shared" si="445"/>
        <v>1.5707963267948966</v>
      </c>
      <c r="AW496" s="32" t="str">
        <f t="shared" si="421"/>
        <v>1+40.445322825636i</v>
      </c>
      <c r="AX496" s="32">
        <f t="shared" si="446"/>
        <v>40.457683305769152</v>
      </c>
      <c r="AY496" s="32">
        <f t="shared" si="447"/>
        <v>1.546076625381394</v>
      </c>
      <c r="AZ496" s="32" t="str">
        <f t="shared" si="422"/>
        <v>1+602.733957230819i</v>
      </c>
      <c r="BA496" s="32">
        <f t="shared" si="448"/>
        <v>602.73478678364222</v>
      </c>
      <c r="BB496" s="32">
        <f t="shared" si="449"/>
        <v>1.5691372215288673</v>
      </c>
      <c r="BC496" s="60" t="str">
        <f t="shared" si="450"/>
        <v>-0.000197930522421909+0.00858154030433608i</v>
      </c>
      <c r="BD496" s="51">
        <f t="shared" si="451"/>
        <v>-41.326385324943509</v>
      </c>
      <c r="BE496" s="63">
        <f t="shared" si="452"/>
        <v>91.321274832305861</v>
      </c>
      <c r="BF496" s="60" t="str">
        <f t="shared" si="453"/>
        <v>0.000369476637650216-0.000294201034392104i</v>
      </c>
      <c r="BG496" s="66">
        <f t="shared" si="454"/>
        <v>-66.515642170824123</v>
      </c>
      <c r="BH496" s="63">
        <f t="shared" si="455"/>
        <v>-38.529056042043884</v>
      </c>
      <c r="BI496" s="60" t="e">
        <f t="shared" si="409"/>
        <v>#NUM!</v>
      </c>
      <c r="BJ496" s="66" t="e">
        <f t="shared" si="456"/>
        <v>#NUM!</v>
      </c>
      <c r="BK496" s="63" t="e">
        <f t="shared" si="410"/>
        <v>#NUM!</v>
      </c>
      <c r="BL496" s="51">
        <f t="shared" si="457"/>
        <v>-66.515642170824123</v>
      </c>
      <c r="BM496" s="63">
        <f t="shared" si="458"/>
        <v>-38.529056042043884</v>
      </c>
    </row>
    <row r="497" spans="14:65" x14ac:dyDescent="0.3">
      <c r="N497" s="11">
        <v>79</v>
      </c>
      <c r="O497" s="52">
        <f t="shared" si="459"/>
        <v>616595.00186148309</v>
      </c>
      <c r="P497" s="50" t="str">
        <f t="shared" si="411"/>
        <v>21.1560044893378</v>
      </c>
      <c r="Q497" s="18" t="str">
        <f t="shared" si="412"/>
        <v>1+2700.18651794116i</v>
      </c>
      <c r="R497" s="18">
        <f t="shared" si="423"/>
        <v>2700.1867031135466</v>
      </c>
      <c r="S497" s="18">
        <f t="shared" si="424"/>
        <v>1.5704259820251421</v>
      </c>
      <c r="T497" s="18" t="str">
        <f t="shared" si="413"/>
        <v>1+3.87418065617644i</v>
      </c>
      <c r="U497" s="18">
        <f t="shared" si="425"/>
        <v>4.0011593015889417</v>
      </c>
      <c r="V497" s="18">
        <f t="shared" si="426"/>
        <v>1.3181908818440584</v>
      </c>
      <c r="W497" s="32" t="str">
        <f t="shared" si="414"/>
        <v>1-1.73994267339522i</v>
      </c>
      <c r="X497" s="18">
        <f t="shared" si="427"/>
        <v>2.0068384356249771</v>
      </c>
      <c r="Y497" s="18">
        <f t="shared" si="428"/>
        <v>-1.0491637959055384</v>
      </c>
      <c r="Z497" s="32" t="str">
        <f t="shared" si="415"/>
        <v>0.619810603679439+0.949623441129162i</v>
      </c>
      <c r="AA497" s="18">
        <f t="shared" si="429"/>
        <v>1.1339972946949484</v>
      </c>
      <c r="AB497" s="18">
        <f t="shared" si="430"/>
        <v>0.99253174333885763</v>
      </c>
      <c r="AC497" s="68" t="str">
        <f t="shared" si="431"/>
        <v>-0.0367123385153325-0.0415943232540969i</v>
      </c>
      <c r="AD497" s="66">
        <f t="shared" si="432"/>
        <v>-25.117478188360526</v>
      </c>
      <c r="AE497" s="63">
        <f t="shared" si="433"/>
        <v>-131.43254413482614</v>
      </c>
      <c r="AF497" s="51" t="e">
        <f t="shared" si="434"/>
        <v>#NUM!</v>
      </c>
      <c r="AG497" s="51" t="str">
        <f t="shared" si="416"/>
        <v>1-1660.36313836133i</v>
      </c>
      <c r="AH497" s="51">
        <f t="shared" si="435"/>
        <v>1660.3634395002452</v>
      </c>
      <c r="AI497" s="51">
        <f t="shared" si="436"/>
        <v>-1.5701940489823007</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-0.000133283554228113</v>
      </c>
      <c r="AT497" s="32" t="str">
        <f t="shared" si="420"/>
        <v>0.23671243809238i</v>
      </c>
      <c r="AU497" s="32">
        <f t="shared" si="444"/>
        <v>0.23671243809237999</v>
      </c>
      <c r="AV497" s="32">
        <f t="shared" si="445"/>
        <v>1.5707963267948966</v>
      </c>
      <c r="AW497" s="32" t="str">
        <f t="shared" si="421"/>
        <v>1+41.3874154180062i</v>
      </c>
      <c r="AX497" s="32">
        <f t="shared" si="446"/>
        <v>41.399494622309305</v>
      </c>
      <c r="AY497" s="32">
        <f t="shared" si="447"/>
        <v>1.5466390930475602</v>
      </c>
      <c r="AZ497" s="32" t="str">
        <f t="shared" si="422"/>
        <v>1+616.773434643945i</v>
      </c>
      <c r="BA497" s="32">
        <f t="shared" si="448"/>
        <v>616.77424531386589</v>
      </c>
      <c r="BB497" s="32">
        <f t="shared" si="449"/>
        <v>1.5691749873084937</v>
      </c>
      <c r="BC497" s="60" t="str">
        <f t="shared" si="450"/>
        <v>-0.000189027379106925+0.00838641571569089i</v>
      </c>
      <c r="BD497" s="51">
        <f t="shared" si="451"/>
        <v>-41.526266444290044</v>
      </c>
      <c r="BE497" s="63">
        <f t="shared" si="452"/>
        <v>91.291211628704573</v>
      </c>
      <c r="BF497" s="60" t="str">
        <f t="shared" si="453"/>
        <v>0.000355766923352125-0.0003000224667743i</v>
      </c>
      <c r="BG497" s="66">
        <f t="shared" si="454"/>
        <v>-66.643744632650566</v>
      </c>
      <c r="BH497" s="63">
        <f t="shared" si="455"/>
        <v>-40.141332506121529</v>
      </c>
      <c r="BI497" s="60" t="e">
        <f t="shared" si="409"/>
        <v>#NUM!</v>
      </c>
      <c r="BJ497" s="66" t="e">
        <f t="shared" si="456"/>
        <v>#NUM!</v>
      </c>
      <c r="BK497" s="63" t="e">
        <f t="shared" si="410"/>
        <v>#NUM!</v>
      </c>
      <c r="BL497" s="51">
        <f t="shared" si="457"/>
        <v>-66.643744632650566</v>
      </c>
      <c r="BM497" s="63">
        <f t="shared" si="458"/>
        <v>-40.141332506121529</v>
      </c>
    </row>
    <row r="498" spans="14:65" x14ac:dyDescent="0.3">
      <c r="N498" s="11">
        <v>80</v>
      </c>
      <c r="O498" s="52">
        <f t="shared" si="459"/>
        <v>630957.34448019415</v>
      </c>
      <c r="P498" s="50" t="str">
        <f t="shared" si="411"/>
        <v>21.1560044893378</v>
      </c>
      <c r="Q498" s="18" t="str">
        <f t="shared" si="412"/>
        <v>1+2763.08194166016i</v>
      </c>
      <c r="R498" s="18">
        <f t="shared" si="423"/>
        <v>2763.082122617509</v>
      </c>
      <c r="S498" s="18">
        <f t="shared" si="424"/>
        <v>1.5704344121005613</v>
      </c>
      <c r="T498" s="18" t="str">
        <f t="shared" si="413"/>
        <v>1+3.964421916295i</v>
      </c>
      <c r="U498" s="18">
        <f t="shared" si="425"/>
        <v>4.088598920217061</v>
      </c>
      <c r="V498" s="18">
        <f t="shared" si="426"/>
        <v>1.3237071707233365</v>
      </c>
      <c r="W498" s="32" t="str">
        <f t="shared" si="414"/>
        <v>1-1.78047114465557i</v>
      </c>
      <c r="X498" s="18">
        <f t="shared" si="427"/>
        <v>2.0420767607881727</v>
      </c>
      <c r="Y498" s="18">
        <f t="shared" si="428"/>
        <v>-1.0590534893250165</v>
      </c>
      <c r="Z498" s="32" t="str">
        <f t="shared" si="415"/>
        <v>0.601892829446504+0.971743012613005i</v>
      </c>
      <c r="AA498" s="18">
        <f t="shared" si="429"/>
        <v>1.143048319495426</v>
      </c>
      <c r="AB498" s="18">
        <f t="shared" si="430"/>
        <v>1.0162376810943876</v>
      </c>
      <c r="AC498" s="68" t="str">
        <f t="shared" si="431"/>
        <v>-0.0381720194430507-0.0408745743085597i</v>
      </c>
      <c r="AD498" s="66">
        <f t="shared" si="432"/>
        <v>-25.047563186407054</v>
      </c>
      <c r="AE498" s="63">
        <f t="shared" si="433"/>
        <v>-133.04185494761725</v>
      </c>
      <c r="AF498" s="51" t="e">
        <f t="shared" si="434"/>
        <v>#NUM!</v>
      </c>
      <c r="AG498" s="51" t="str">
        <f t="shared" si="416"/>
        <v>1-1699.03796412643i</v>
      </c>
      <c r="AH498" s="51">
        <f t="shared" si="435"/>
        <v>1699.0382584105882</v>
      </c>
      <c r="AI498" s="51">
        <f t="shared" si="436"/>
        <v>-1.5702077584958691</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-0.000133283554228113</v>
      </c>
      <c r="AT498" s="32" t="str">
        <f t="shared" si="420"/>
        <v>0.242226179085625i</v>
      </c>
      <c r="AU498" s="32">
        <f t="shared" si="444"/>
        <v>0.24222617908562499</v>
      </c>
      <c r="AV498" s="32">
        <f t="shared" si="445"/>
        <v>1.5707963267948966</v>
      </c>
      <c r="AW498" s="32" t="str">
        <f t="shared" si="421"/>
        <v>1+42.3514521658581i</v>
      </c>
      <c r="AX498" s="32">
        <f t="shared" si="446"/>
        <v>42.363256491409707</v>
      </c>
      <c r="AY498" s="32">
        <f t="shared" si="447"/>
        <v>1.5471887721596997</v>
      </c>
      <c r="AZ498" s="32" t="str">
        <f t="shared" si="422"/>
        <v>1+631.13993349608i</v>
      </c>
      <c r="BA498" s="32">
        <f t="shared" si="448"/>
        <v>631.14072571292388</v>
      </c>
      <c r="BB498" s="32">
        <f t="shared" si="449"/>
        <v>1.569211893438492</v>
      </c>
      <c r="BC498" s="60" t="str">
        <f t="shared" si="450"/>
        <v>-0.000180524486167098+0.00819571835759038i</v>
      </c>
      <c r="BD498" s="51">
        <f t="shared" si="451"/>
        <v>-41.726152911082011</v>
      </c>
      <c r="BE498" s="63">
        <f t="shared" si="452"/>
        <v>91.261831900979558</v>
      </c>
      <c r="BF498" s="60" t="str">
        <f t="shared" si="453"/>
        <v>0.000341887483215272-0.000305468258971356i</v>
      </c>
      <c r="BG498" s="66">
        <f t="shared" si="454"/>
        <v>-66.773716097489057</v>
      </c>
      <c r="BH498" s="63">
        <f t="shared" si="455"/>
        <v>-41.780023046637716</v>
      </c>
      <c r="BI498" s="60" t="e">
        <f t="shared" ref="BI498:BI560" si="460">IMPRODUCT(AP498,BC498)</f>
        <v>#NUM!</v>
      </c>
      <c r="BJ498" s="66" t="e">
        <f t="shared" si="456"/>
        <v>#NUM!</v>
      </c>
      <c r="BK498" s="63" t="e">
        <f t="shared" ref="BK498:BK560" si="461">(180/PI())*IMARGUMENT(BI498)</f>
        <v>#NUM!</v>
      </c>
      <c r="BL498" s="51">
        <f t="shared" si="457"/>
        <v>-66.773716097489057</v>
      </c>
      <c r="BM498" s="63">
        <f t="shared" si="458"/>
        <v>-41.780023046637716</v>
      </c>
    </row>
    <row r="499" spans="14:65" x14ac:dyDescent="0.3">
      <c r="N499" s="11">
        <v>81</v>
      </c>
      <c r="O499" s="52">
        <f t="shared" si="459"/>
        <v>645654.22903465747</v>
      </c>
      <c r="P499" s="50" t="str">
        <f t="shared" si="411"/>
        <v>21.1560044893378</v>
      </c>
      <c r="Q499" s="18" t="str">
        <f t="shared" si="412"/>
        <v>1+2827.44238799834i</v>
      </c>
      <c r="R499" s="18">
        <f t="shared" si="423"/>
        <v>2827.4425648365973</v>
      </c>
      <c r="S499" s="18">
        <f t="shared" si="424"/>
        <v>1.5704426502840863</v>
      </c>
      <c r="T499" s="18" t="str">
        <f t="shared" si="413"/>
        <v>1+4.05676516538892i</v>
      </c>
      <c r="U499" s="18">
        <f t="shared" si="425"/>
        <v>4.1781986079066407</v>
      </c>
      <c r="V499" s="18">
        <f t="shared" si="426"/>
        <v>1.3291127678681849</v>
      </c>
      <c r="W499" s="32" t="str">
        <f t="shared" si="414"/>
        <v>1-1.82194364528414i</v>
      </c>
      <c r="X499" s="18">
        <f t="shared" si="427"/>
        <v>2.0783355471605782</v>
      </c>
      <c r="Y499" s="18">
        <f t="shared" si="428"/>
        <v>-1.0688253981346345</v>
      </c>
      <c r="Z499" s="32" t="str">
        <f t="shared" si="415"/>
        <v>0.583130616529663+0.994377815104679i</v>
      </c>
      <c r="AA499" s="18">
        <f t="shared" si="429"/>
        <v>1.1527482618102793</v>
      </c>
      <c r="AB499" s="18">
        <f t="shared" si="430"/>
        <v>1.0404162961232928</v>
      </c>
      <c r="AC499" s="68" t="str">
        <f t="shared" si="431"/>
        <v>-0.0396313939039634-0.0400796066905285i</v>
      </c>
      <c r="AD499" s="66">
        <f t="shared" si="432"/>
        <v>-24.979797429023304</v>
      </c>
      <c r="AE499" s="63">
        <f t="shared" si="433"/>
        <v>-134.67783078682197</v>
      </c>
      <c r="AF499" s="51" t="e">
        <f t="shared" si="434"/>
        <v>#NUM!</v>
      </c>
      <c r="AG499" s="51" t="str">
        <f t="shared" si="416"/>
        <v>1-1738.61364230954i</v>
      </c>
      <c r="AH499" s="51">
        <f t="shared" si="435"/>
        <v>1738.613929894974</v>
      </c>
      <c r="AI499" s="51">
        <f t="shared" si="436"/>
        <v>-1.570221155943023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-0.000133283554228113</v>
      </c>
      <c r="AT499" s="32" t="str">
        <f t="shared" si="420"/>
        <v>0.247868351605263i</v>
      </c>
      <c r="AU499" s="32">
        <f t="shared" si="444"/>
        <v>0.24786835160526299</v>
      </c>
      <c r="AV499" s="32">
        <f t="shared" si="445"/>
        <v>1.5707963267948966</v>
      </c>
      <c r="AW499" s="32" t="str">
        <f t="shared" si="421"/>
        <v>1+43.3379442142362i</v>
      </c>
      <c r="AX499" s="32">
        <f t="shared" si="446"/>
        <v>43.349479912869192</v>
      </c>
      <c r="AY499" s="32">
        <f t="shared" si="447"/>
        <v>1.5477259528355209</v>
      </c>
      <c r="AZ499" s="32" t="str">
        <f t="shared" si="422"/>
        <v>1+645.841071095081i</v>
      </c>
      <c r="BA499" s="32">
        <f t="shared" si="448"/>
        <v>645.84184527888988</v>
      </c>
      <c r="BB499" s="32">
        <f t="shared" si="449"/>
        <v>1.5692479594865785</v>
      </c>
      <c r="BC499" s="60" t="str">
        <f t="shared" si="450"/>
        <v>-0.000172403869553467+0.008009348410415i</v>
      </c>
      <c r="BD499" s="51">
        <f t="shared" si="451"/>
        <v>-41.926044484914357</v>
      </c>
      <c r="BE499" s="63">
        <f t="shared" si="452"/>
        <v>91.233120147758086</v>
      </c>
      <c r="BF499" s="60" t="str">
        <f t="shared" si="453"/>
        <v>0.000327844139801684-0.000310511762483612i</v>
      </c>
      <c r="BG499" s="66">
        <f t="shared" si="454"/>
        <v>-66.90584191393765</v>
      </c>
      <c r="BH499" s="63">
        <f t="shared" si="455"/>
        <v>-43.444710639063892</v>
      </c>
      <c r="BI499" s="60" t="e">
        <f t="shared" si="460"/>
        <v>#NUM!</v>
      </c>
      <c r="BJ499" s="66" t="e">
        <f t="shared" si="456"/>
        <v>#NUM!</v>
      </c>
      <c r="BK499" s="63" t="e">
        <f t="shared" si="461"/>
        <v>#NUM!</v>
      </c>
      <c r="BL499" s="51">
        <f t="shared" si="457"/>
        <v>-66.90584191393765</v>
      </c>
      <c r="BM499" s="63">
        <f t="shared" si="458"/>
        <v>-43.444710639063892</v>
      </c>
    </row>
    <row r="500" spans="14:65" x14ac:dyDescent="0.3">
      <c r="N500" s="11">
        <v>82</v>
      </c>
      <c r="O500" s="52">
        <f t="shared" si="459"/>
        <v>660693.44800759677</v>
      </c>
      <c r="P500" s="50" t="str">
        <f t="shared" si="411"/>
        <v>21.1560044893378</v>
      </c>
      <c r="Q500" s="18" t="str">
        <f t="shared" si="412"/>
        <v>1+2893.30198171626i</v>
      </c>
      <c r="R500" s="18">
        <f t="shared" si="423"/>
        <v>2893.3021545291867</v>
      </c>
      <c r="S500" s="18">
        <f t="shared" si="424"/>
        <v>1.5704507009437065</v>
      </c>
      <c r="T500" s="18" t="str">
        <f t="shared" si="413"/>
        <v>1+4.15125936507115i</v>
      </c>
      <c r="U500" s="18">
        <f t="shared" si="425"/>
        <v>4.2700063601932641</v>
      </c>
      <c r="V500" s="18">
        <f t="shared" si="426"/>
        <v>1.3344092752233949</v>
      </c>
      <c r="W500" s="32" t="str">
        <f t="shared" si="414"/>
        <v>1-1.86438216454971i</v>
      </c>
      <c r="X500" s="18">
        <f t="shared" si="427"/>
        <v>2.1156372220896151</v>
      </c>
      <c r="Y500" s="18">
        <f t="shared" si="428"/>
        <v>-1.0784772378343286</v>
      </c>
      <c r="Z500" s="32" t="str">
        <f t="shared" si="415"/>
        <v>0.563484167759835+1.01753984987606i</v>
      </c>
      <c r="AA500" s="18">
        <f t="shared" si="429"/>
        <v>1.1631430494147263</v>
      </c>
      <c r="AB500" s="18">
        <f t="shared" si="430"/>
        <v>1.0650624443652259</v>
      </c>
      <c r="AC500" s="68" t="str">
        <f t="shared" si="431"/>
        <v>-0.0410850879512346-0.0392069855108511i</v>
      </c>
      <c r="AD500" s="66">
        <f t="shared" si="432"/>
        <v>-24.914470970812047</v>
      </c>
      <c r="AE500" s="63">
        <f t="shared" si="433"/>
        <v>-136.33995449287275</v>
      </c>
      <c r="AF500" s="51" t="e">
        <f t="shared" si="434"/>
        <v>#NUM!</v>
      </c>
      <c r="AG500" s="51" t="str">
        <f t="shared" si="416"/>
        <v>1-1779.11115645907i</v>
      </c>
      <c r="AH500" s="51">
        <f t="shared" si="435"/>
        <v>1779.111437498261</v>
      </c>
      <c r="AI500" s="51">
        <f t="shared" si="436"/>
        <v>-1.5702342484272473</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-0.000133283554228113</v>
      </c>
      <c r="AT500" s="32" t="str">
        <f t="shared" si="420"/>
        <v>0.253641947205847i</v>
      </c>
      <c r="AU500" s="32">
        <f t="shared" si="444"/>
        <v>0.25364194720584698</v>
      </c>
      <c r="AV500" s="32">
        <f t="shared" si="445"/>
        <v>1.5707963267948966</v>
      </c>
      <c r="AW500" s="32" t="str">
        <f t="shared" si="421"/>
        <v>1+44.3474146142821i</v>
      </c>
      <c r="AX500" s="32">
        <f t="shared" si="446"/>
        <v>44.358687795865222</v>
      </c>
      <c r="AY500" s="32">
        <f t="shared" si="447"/>
        <v>1.5482509186545337</v>
      </c>
      <c r="AZ500" s="32" t="str">
        <f t="shared" si="422"/>
        <v>1+660.884642178692i</v>
      </c>
      <c r="BA500" s="32">
        <f t="shared" si="448"/>
        <v>660.88539873994637</v>
      </c>
      <c r="BB500" s="32">
        <f t="shared" si="449"/>
        <v>1.5692832045750738</v>
      </c>
      <c r="BC500" s="60" t="str">
        <f t="shared" si="450"/>
        <v>-0.000164648360650905+0.00782720826300578i</v>
      </c>
      <c r="BD500" s="51">
        <f t="shared" si="451"/>
        <v>-42.12594093617809</v>
      </c>
      <c r="BE500" s="63">
        <f t="shared" si="452"/>
        <v>91.205061216759375</v>
      </c>
      <c r="BF500" s="60" t="str">
        <f t="shared" si="453"/>
        <v>0.000313645833336451-0.000315126174007797i</v>
      </c>
      <c r="BG500" s="66">
        <f t="shared" si="454"/>
        <v>-67.040411906990144</v>
      </c>
      <c r="BH500" s="63">
        <f t="shared" si="455"/>
        <v>-45.134893276113338</v>
      </c>
      <c r="BI500" s="60" t="e">
        <f t="shared" si="460"/>
        <v>#NUM!</v>
      </c>
      <c r="BJ500" s="66" t="e">
        <f t="shared" si="456"/>
        <v>#NUM!</v>
      </c>
      <c r="BK500" s="63" t="e">
        <f t="shared" si="461"/>
        <v>#NUM!</v>
      </c>
      <c r="BL500" s="51">
        <f t="shared" si="457"/>
        <v>-67.040411906990144</v>
      </c>
      <c r="BM500" s="63">
        <f t="shared" si="458"/>
        <v>-45.134893276113338</v>
      </c>
    </row>
    <row r="501" spans="14:65" x14ac:dyDescent="0.3">
      <c r="N501" s="11">
        <v>83</v>
      </c>
      <c r="O501" s="52">
        <f t="shared" si="459"/>
        <v>676082.97539198259</v>
      </c>
      <c r="P501" s="50" t="str">
        <f t="shared" si="411"/>
        <v>21.1560044893378</v>
      </c>
      <c r="Q501" s="18" t="str">
        <f t="shared" si="412"/>
        <v>1+2960.69564244227i</v>
      </c>
      <c r="R501" s="18">
        <f t="shared" si="423"/>
        <v>2960.6958113214951</v>
      </c>
      <c r="S501" s="18">
        <f t="shared" si="424"/>
        <v>1.5704585683479837</v>
      </c>
      <c r="T501" s="18" t="str">
        <f t="shared" si="413"/>
        <v>1+4.24795461741716i</v>
      </c>
      <c r="U501" s="18">
        <f t="shared" si="425"/>
        <v>4.3640713137660541</v>
      </c>
      <c r="V501" s="18">
        <f t="shared" si="426"/>
        <v>1.3395983118882944</v>
      </c>
      <c r="W501" s="32" t="str">
        <f t="shared" si="414"/>
        <v>1-1.90780920391694i</v>
      </c>
      <c r="X501" s="18">
        <f t="shared" si="427"/>
        <v>2.1540046328989613</v>
      </c>
      <c r="Y501" s="18">
        <f t="shared" si="428"/>
        <v>-1.0880069320072197</v>
      </c>
      <c r="Z501" s="32" t="str">
        <f t="shared" si="415"/>
        <v>0.542911810385124+1.04124139774459i</v>
      </c>
      <c r="AA501" s="18">
        <f t="shared" si="429"/>
        <v>1.1742814322949846</v>
      </c>
      <c r="AB501" s="18">
        <f t="shared" si="430"/>
        <v>1.0901691984367579</v>
      </c>
      <c r="AC501" s="68" t="str">
        <f t="shared" si="431"/>
        <v>-0.042527318040902-0.0382546671881735i</v>
      </c>
      <c r="AD501" s="66">
        <f t="shared" si="432"/>
        <v>-24.851877215284063</v>
      </c>
      <c r="AE501" s="63">
        <f t="shared" si="433"/>
        <v>-138.02761766302493</v>
      </c>
      <c r="AF501" s="51" t="e">
        <f t="shared" si="434"/>
        <v>#NUM!</v>
      </c>
      <c r="AG501" s="51" t="str">
        <f t="shared" si="416"/>
        <v>1-1820.55197889307i</v>
      </c>
      <c r="AH501" s="51">
        <f t="shared" si="435"/>
        <v>1820.5522535350294</v>
      </c>
      <c r="AI501" s="51">
        <f t="shared" si="436"/>
        <v>-1.5702470428903321</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-0.000133283554228113</v>
      </c>
      <c r="AT501" s="32" t="str">
        <f t="shared" si="420"/>
        <v>0.259550027124189i</v>
      </c>
      <c r="AU501" s="32">
        <f t="shared" si="444"/>
        <v>0.25955002712418901</v>
      </c>
      <c r="AV501" s="32">
        <f t="shared" si="445"/>
        <v>1.5707963267948966</v>
      </c>
      <c r="AW501" s="32" t="str">
        <f t="shared" si="421"/>
        <v>1+45.380398600564i</v>
      </c>
      <c r="AX501" s="32">
        <f t="shared" si="446"/>
        <v>45.391415236210371</v>
      </c>
      <c r="AY501" s="32">
        <f t="shared" si="447"/>
        <v>1.5487639468025016</v>
      </c>
      <c r="AZ501" s="32" t="str">
        <f t="shared" si="422"/>
        <v>1+676.278623047429i</v>
      </c>
      <c r="BA501" s="32">
        <f t="shared" si="448"/>
        <v>676.27936238726568</v>
      </c>
      <c r="BB501" s="32">
        <f t="shared" si="449"/>
        <v>1.5693176473910397</v>
      </c>
      <c r="BC501" s="60" t="str">
        <f t="shared" si="450"/>
        <v>-0.000157241560337797+0.00764920246663166i</v>
      </c>
      <c r="BD501" s="51">
        <f t="shared" si="451"/>
        <v>-42.325842045577183</v>
      </c>
      <c r="BE501" s="63">
        <f t="shared" si="452"/>
        <v>91.17764029709879</v>
      </c>
      <c r="BF501" s="60" t="str">
        <f t="shared" si="453"/>
        <v>0.000299304756461683-0.000319284842498825i</v>
      </c>
      <c r="BG501" s="66">
        <f t="shared" si="454"/>
        <v>-67.177719260861252</v>
      </c>
      <c r="BH501" s="63">
        <f t="shared" si="455"/>
        <v>-46.849977365926151</v>
      </c>
      <c r="BI501" s="60" t="e">
        <f t="shared" si="460"/>
        <v>#NUM!</v>
      </c>
      <c r="BJ501" s="66" t="e">
        <f t="shared" si="456"/>
        <v>#NUM!</v>
      </c>
      <c r="BK501" s="63" t="e">
        <f t="shared" si="461"/>
        <v>#NUM!</v>
      </c>
      <c r="BL501" s="51">
        <f t="shared" si="457"/>
        <v>-67.177719260861252</v>
      </c>
      <c r="BM501" s="63">
        <f t="shared" si="458"/>
        <v>-46.849977365926151</v>
      </c>
    </row>
    <row r="502" spans="14:65" x14ac:dyDescent="0.3">
      <c r="N502" s="11">
        <v>84</v>
      </c>
      <c r="O502" s="52">
        <f t="shared" si="459"/>
        <v>691830.97091893724</v>
      </c>
      <c r="P502" s="50" t="str">
        <f t="shared" si="411"/>
        <v>21.1560044893378</v>
      </c>
      <c r="Q502" s="18" t="str">
        <f t="shared" si="412"/>
        <v>1+3029.65910318734i</v>
      </c>
      <c r="R502" s="18">
        <f t="shared" si="423"/>
        <v>3029.6592682224045</v>
      </c>
      <c r="S502" s="18">
        <f t="shared" si="424"/>
        <v>1.5704662566683163</v>
      </c>
      <c r="T502" s="18" t="str">
        <f t="shared" si="413"/>
        <v>1+4.34690219152965i</v>
      </c>
      <c r="U502" s="18">
        <f t="shared" si="425"/>
        <v>4.4604437741916749</v>
      </c>
      <c r="V502" s="18">
        <f t="shared" si="426"/>
        <v>1.3446815109030295</v>
      </c>
      <c r="W502" s="32" t="str">
        <f t="shared" si="414"/>
        <v>1-1.95224778897693i</v>
      </c>
      <c r="X502" s="18">
        <f t="shared" si="427"/>
        <v>2.1934610617846197</v>
      </c>
      <c r="Y502" s="18">
        <f t="shared" si="428"/>
        <v>-1.0974126090719978</v>
      </c>
      <c r="Z502" s="32" t="str">
        <f t="shared" si="415"/>
        <v>0.521369907677362+1.06549502558465i</v>
      </c>
      <c r="AA502" s="18">
        <f t="shared" si="429"/>
        <v>1.1862150859676062</v>
      </c>
      <c r="AB502" s="18">
        <f t="shared" si="430"/>
        <v>1.1157277388629121</v>
      </c>
      <c r="AC502" s="68" t="str">
        <f t="shared" si="431"/>
        <v>-0.0439519158620996-0.0372210631947782i</v>
      </c>
      <c r="AD502" s="66">
        <f t="shared" si="432"/>
        <v>-24.792311642362513</v>
      </c>
      <c r="AE502" s="63">
        <f t="shared" si="433"/>
        <v>-139.74011441757006</v>
      </c>
      <c r="AF502" s="51" t="e">
        <f t="shared" si="434"/>
        <v>#NUM!</v>
      </c>
      <c r="AG502" s="51" t="str">
        <f t="shared" si="416"/>
        <v>1-1862.95808208414i</v>
      </c>
      <c r="AH502" s="51">
        <f t="shared" si="435"/>
        <v>1862.9583504744858</v>
      </c>
      <c r="AI502" s="51">
        <f t="shared" si="436"/>
        <v>-1.5702595461160544</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-0.000133283554228113</v>
      </c>
      <c r="AT502" s="32" t="str">
        <f t="shared" si="420"/>
        <v>0.265595723902462i</v>
      </c>
      <c r="AU502" s="32">
        <f t="shared" si="444"/>
        <v>0.265595723902462</v>
      </c>
      <c r="AV502" s="32">
        <f t="shared" si="445"/>
        <v>1.5707963267948966</v>
      </c>
      <c r="AW502" s="32" t="str">
        <f t="shared" si="421"/>
        <v>1+46.4374438748645i</v>
      </c>
      <c r="AX502" s="32">
        <f t="shared" si="446"/>
        <v>46.448209800068611</v>
      </c>
      <c r="AY502" s="32">
        <f t="shared" si="447"/>
        <v>1.5492653082128971</v>
      </c>
      <c r="AZ502" s="32" t="str">
        <f t="shared" si="422"/>
        <v>1+692.031175793711i</v>
      </c>
      <c r="BA502" s="32">
        <f t="shared" si="448"/>
        <v>692.03189830413601</v>
      </c>
      <c r="BB502" s="32">
        <f t="shared" si="449"/>
        <v>1.5693513061961861</v>
      </c>
      <c r="BC502" s="60" t="str">
        <f t="shared" si="450"/>
        <v>-0.000150167804636137+0.00747523768972472i</v>
      </c>
      <c r="BD502" s="51">
        <f t="shared" si="451"/>
        <v>-42.525747603665316</v>
      </c>
      <c r="BE502" s="63">
        <f t="shared" si="452"/>
        <v>91.150842911750743</v>
      </c>
      <c r="BF502" s="60" t="str">
        <f t="shared" si="453"/>
        <v>0.000284836457159795-0.000322961612641794i</v>
      </c>
      <c r="BG502" s="66">
        <f t="shared" si="454"/>
        <v>-67.318059246027829</v>
      </c>
      <c r="BH502" s="63">
        <f t="shared" si="455"/>
        <v>-48.589271505819355</v>
      </c>
      <c r="BI502" s="60" t="e">
        <f t="shared" si="460"/>
        <v>#NUM!</v>
      </c>
      <c r="BJ502" s="66" t="e">
        <f t="shared" si="456"/>
        <v>#NUM!</v>
      </c>
      <c r="BK502" s="63" t="e">
        <f t="shared" si="461"/>
        <v>#NUM!</v>
      </c>
      <c r="BL502" s="51">
        <f t="shared" si="457"/>
        <v>-67.318059246027829</v>
      </c>
      <c r="BM502" s="63">
        <f t="shared" si="458"/>
        <v>-48.589271505819355</v>
      </c>
    </row>
    <row r="503" spans="14:65" x14ac:dyDescent="0.3">
      <c r="N503" s="11">
        <v>85</v>
      </c>
      <c r="O503" s="52">
        <f t="shared" si="459"/>
        <v>707945.78438413853</v>
      </c>
      <c r="P503" s="50" t="str">
        <f t="shared" si="411"/>
        <v>21.1560044893378</v>
      </c>
      <c r="Q503" s="18" t="str">
        <f t="shared" si="412"/>
        <v>1+3100.2289292912i</v>
      </c>
      <c r="R503" s="18">
        <f t="shared" si="423"/>
        <v>3100.2290905696086</v>
      </c>
      <c r="S503" s="18">
        <f t="shared" si="424"/>
        <v>1.5704737699811495</v>
      </c>
      <c r="T503" s="18" t="str">
        <f t="shared" si="413"/>
        <v>1+4.44815455072215i</v>
      </c>
      <c r="U503" s="18">
        <f t="shared" si="425"/>
        <v>4.5591752441763163</v>
      </c>
      <c r="V503" s="18">
        <f t="shared" si="426"/>
        <v>1.3496605162245363</v>
      </c>
      <c r="W503" s="32" t="str">
        <f t="shared" si="414"/>
        <v>1-1.99772148165569i</v>
      </c>
      <c r="X503" s="18">
        <f t="shared" si="427"/>
        <v>2.2340302411266966</v>
      </c>
      <c r="Y503" s="18">
        <f t="shared" si="428"/>
        <v>-1.1066925984463103</v>
      </c>
      <c r="Z503" s="32" t="str">
        <f t="shared" si="415"/>
        <v>0.498812766372726+1.09031359299078i</v>
      </c>
      <c r="AA503" s="18">
        <f t="shared" si="429"/>
        <v>1.1989987101564687</v>
      </c>
      <c r="AB503" s="18">
        <f t="shared" si="430"/>
        <v>1.141727255600673</v>
      </c>
      <c r="AC503" s="68" t="str">
        <f t="shared" si="431"/>
        <v>-0.0453523631805183-0.0361051038016711i</v>
      </c>
      <c r="AD503" s="66">
        <f t="shared" si="432"/>
        <v>-24.736070380067126</v>
      </c>
      <c r="AE503" s="63">
        <f t="shared" si="433"/>
        <v>-141.47663571111786</v>
      </c>
      <c r="AF503" s="51" t="e">
        <f t="shared" si="434"/>
        <v>#NUM!</v>
      </c>
      <c r="AG503" s="51" t="str">
        <f t="shared" si="416"/>
        <v>1-1906.3519503095i</v>
      </c>
      <c r="AH503" s="51">
        <f t="shared" si="435"/>
        <v>1906.3522125905363</v>
      </c>
      <c r="AI503" s="51">
        <f t="shared" si="436"/>
        <v>-1.5702717647337747</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-0.000133283554228113</v>
      </c>
      <c r="AT503" s="32" t="str">
        <f t="shared" si="420"/>
        <v>0.271782243049123i</v>
      </c>
      <c r="AU503" s="32">
        <f t="shared" si="444"/>
        <v>0.27178224304912302</v>
      </c>
      <c r="AV503" s="32">
        <f t="shared" si="445"/>
        <v>1.5707963267948966</v>
      </c>
      <c r="AW503" s="32" t="str">
        <f t="shared" si="421"/>
        <v>1+47.5191108965797i</v>
      </c>
      <c r="AX503" s="32">
        <f t="shared" si="446"/>
        <v>47.529631814284436</v>
      </c>
      <c r="AY503" s="32">
        <f t="shared" si="447"/>
        <v>1.5497552677054076</v>
      </c>
      <c r="AZ503" s="32" t="str">
        <f t="shared" si="422"/>
        <v>1+708.150652629517i</v>
      </c>
      <c r="BA503" s="32">
        <f t="shared" si="448"/>
        <v>708.15135869361347</v>
      </c>
      <c r="BB503" s="32">
        <f t="shared" si="449"/>
        <v>1.569384198836552</v>
      </c>
      <c r="BC503" s="60" t="str">
        <f t="shared" si="450"/>
        <v>-0.000143412131882725+0.00730522267338137i</v>
      </c>
      <c r="BD503" s="51">
        <f t="shared" si="451"/>
        <v>-42.725657410405077</v>
      </c>
      <c r="BE503" s="63">
        <f t="shared" si="452"/>
        <v>91.124654910167507</v>
      </c>
      <c r="BF503" s="60" t="str">
        <f t="shared" si="453"/>
        <v>0.000270259902006393-0.000326131201889704i</v>
      </c>
      <c r="BG503" s="66">
        <f t="shared" si="454"/>
        <v>-67.46172779047221</v>
      </c>
      <c r="BH503" s="63">
        <f t="shared" si="455"/>
        <v>-50.351980800950386</v>
      </c>
      <c r="BI503" s="60" t="e">
        <f t="shared" si="460"/>
        <v>#NUM!</v>
      </c>
      <c r="BJ503" s="66" t="e">
        <f t="shared" si="456"/>
        <v>#NUM!</v>
      </c>
      <c r="BK503" s="63" t="e">
        <f t="shared" si="461"/>
        <v>#NUM!</v>
      </c>
      <c r="BL503" s="51">
        <f t="shared" si="457"/>
        <v>-67.46172779047221</v>
      </c>
      <c r="BM503" s="63">
        <f t="shared" si="458"/>
        <v>-50.351980800950386</v>
      </c>
    </row>
    <row r="504" spans="14:65" x14ac:dyDescent="0.3">
      <c r="N504" s="11">
        <v>86</v>
      </c>
      <c r="O504" s="52">
        <f t="shared" si="459"/>
        <v>724435.96007499192</v>
      </c>
      <c r="P504" s="50" t="str">
        <f t="shared" si="411"/>
        <v>21.1560044893378</v>
      </c>
      <c r="Q504" s="18" t="str">
        <f t="shared" si="412"/>
        <v>1+3172.44253780976i</v>
      </c>
      <c r="R504" s="18">
        <f t="shared" si="423"/>
        <v>3172.4426954170231</v>
      </c>
      <c r="S504" s="18">
        <f t="shared" si="424"/>
        <v>1.5704811122701379</v>
      </c>
      <c r="T504" s="18" t="str">
        <f t="shared" si="413"/>
        <v>1+4.55176538033573i</v>
      </c>
      <c r="U504" s="18">
        <f t="shared" si="425"/>
        <v>4.6603184523831489</v>
      </c>
      <c r="V504" s="18">
        <f t="shared" si="426"/>
        <v>1.3545369798865285</v>
      </c>
      <c r="W504" s="32" t="str">
        <f t="shared" si="414"/>
        <v>1-2.04425439270699i</v>
      </c>
      <c r="X504" s="18">
        <f t="shared" si="427"/>
        <v>2.2757363692004891</v>
      </c>
      <c r="Y504" s="18">
        <f t="shared" si="428"/>
        <v>-1.1158454261764372</v>
      </c>
      <c r="Z504" s="32" t="str">
        <f t="shared" si="415"/>
        <v>0.475192539750224+1.11571025909592i</v>
      </c>
      <c r="AA504" s="18">
        <f t="shared" si="429"/>
        <v>1.2126901220370163</v>
      </c>
      <c r="AB504" s="18">
        <f t="shared" si="430"/>
        <v>1.1681548629303431</v>
      </c>
      <c r="AC504" s="68" t="str">
        <f t="shared" si="431"/>
        <v>-0.0467218372859001-0.0349063002038538i</v>
      </c>
      <c r="AD504" s="66">
        <f t="shared" si="432"/>
        <v>-24.683448624331771</v>
      </c>
      <c r="AE504" s="63">
        <f t="shared" si="433"/>
        <v>-143.23626436867355</v>
      </c>
      <c r="AF504" s="51" t="e">
        <f t="shared" si="434"/>
        <v>#NUM!</v>
      </c>
      <c r="AG504" s="51" t="str">
        <f t="shared" si="416"/>
        <v>1-1950.75659157246i</v>
      </c>
      <c r="AH504" s="51">
        <f t="shared" si="435"/>
        <v>1950.756847883252</v>
      </c>
      <c r="AI504" s="51">
        <f t="shared" si="436"/>
        <v>-1.5702837052219507</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-0.000133283554228113</v>
      </c>
      <c r="AT504" s="32" t="str">
        <f t="shared" si="420"/>
        <v>0.278112864738513i</v>
      </c>
      <c r="AU504" s="32">
        <f t="shared" si="444"/>
        <v>0.27811286473851299</v>
      </c>
      <c r="AV504" s="32">
        <f t="shared" si="445"/>
        <v>1.5707963267948966</v>
      </c>
      <c r="AW504" s="32" t="str">
        <f t="shared" si="421"/>
        <v>1+48.6259731798821i</v>
      </c>
      <c r="AX504" s="32">
        <f t="shared" si="446"/>
        <v>48.636254663477267</v>
      </c>
      <c r="AY504" s="32">
        <f t="shared" si="447"/>
        <v>1.5502340841215434</v>
      </c>
      <c r="AZ504" s="32" t="str">
        <f t="shared" si="422"/>
        <v>1+724.645600314828i</v>
      </c>
      <c r="BA504" s="32">
        <f t="shared" si="448"/>
        <v>724.64629030695903</v>
      </c>
      <c r="BB504" s="32">
        <f t="shared" si="449"/>
        <v>1.5694163427519656</v>
      </c>
      <c r="BC504" s="60" t="str">
        <f t="shared" si="450"/>
        <v>-0.00013696025135529+0.00713906818763206i</v>
      </c>
      <c r="BD504" s="51">
        <f t="shared" si="451"/>
        <v>-42.925571274745835</v>
      </c>
      <c r="BE504" s="63">
        <f t="shared" si="452"/>
        <v>91.099062461051588</v>
      </c>
      <c r="BF504" s="60" t="str">
        <f t="shared" si="453"/>
        <v>0.000255597491911725-0.000328769606585688i</v>
      </c>
      <c r="BG504" s="66">
        <f t="shared" si="454"/>
        <v>-67.609019899077595</v>
      </c>
      <c r="BH504" s="63">
        <f t="shared" si="455"/>
        <v>-52.137201907621986</v>
      </c>
      <c r="BI504" s="60" t="e">
        <f t="shared" si="460"/>
        <v>#NUM!</v>
      </c>
      <c r="BJ504" s="66" t="e">
        <f t="shared" si="456"/>
        <v>#NUM!</v>
      </c>
      <c r="BK504" s="63" t="e">
        <f t="shared" si="461"/>
        <v>#NUM!</v>
      </c>
      <c r="BL504" s="51">
        <f t="shared" si="457"/>
        <v>-67.609019899077595</v>
      </c>
      <c r="BM504" s="63">
        <f t="shared" si="458"/>
        <v>-52.137201907621986</v>
      </c>
    </row>
    <row r="505" spans="14:65" x14ac:dyDescent="0.3">
      <c r="N505" s="11">
        <v>87</v>
      </c>
      <c r="O505" s="52">
        <f t="shared" si="459"/>
        <v>741310.24130091805</v>
      </c>
      <c r="P505" s="50" t="str">
        <f t="shared" si="411"/>
        <v>21.1560044893378</v>
      </c>
      <c r="Q505" s="18" t="str">
        <f t="shared" si="412"/>
        <v>1+3246.33821735408i</v>
      </c>
      <c r="R505" s="18">
        <f t="shared" si="423"/>
        <v>3246.3383713737644</v>
      </c>
      <c r="S505" s="18">
        <f t="shared" si="424"/>
        <v>1.5704882874282573</v>
      </c>
      <c r="T505" s="18" t="str">
        <f t="shared" si="413"/>
        <v>1+4.65778961620368i</v>
      </c>
      <c r="U505" s="18">
        <f t="shared" si="425"/>
        <v>4.7639273828234225</v>
      </c>
      <c r="V505" s="18">
        <f t="shared" si="426"/>
        <v>1.3593125593375541</v>
      </c>
      <c r="W505" s="32" t="str">
        <f t="shared" si="414"/>
        <v>1-2.09187119449621i</v>
      </c>
      <c r="X505" s="18">
        <f t="shared" si="427"/>
        <v>2.3186041262714516</v>
      </c>
      <c r="Y505" s="18">
        <f t="shared" si="428"/>
        <v>-1.1248698100886707</v>
      </c>
      <c r="Z505" s="32" t="str">
        <f t="shared" si="415"/>
        <v>0.450459126142377+1.14169848954859i</v>
      </c>
      <c r="AA505" s="18">
        <f t="shared" si="429"/>
        <v>1.2273503433667525</v>
      </c>
      <c r="AB505" s="18">
        <f t="shared" si="430"/>
        <v>1.1949955308973612</v>
      </c>
      <c r="AC505" s="68" t="str">
        <f t="shared" si="431"/>
        <v>-0.048053267368053-0.0336248031923869i</v>
      </c>
      <c r="AD505" s="66">
        <f t="shared" si="432"/>
        <v>-24.634738915441595</v>
      </c>
      <c r="AE505" s="63">
        <f t="shared" si="433"/>
        <v>-145.01797103237678</v>
      </c>
      <c r="AF505" s="51" t="e">
        <f t="shared" si="434"/>
        <v>#NUM!</v>
      </c>
      <c r="AG505" s="51" t="str">
        <f t="shared" si="416"/>
        <v>1-1996.19554980158i</v>
      </c>
      <c r="AH505" s="51">
        <f t="shared" si="435"/>
        <v>1996.195800278027</v>
      </c>
      <c r="AI505" s="51">
        <f t="shared" si="436"/>
        <v>-1.5702953739115741</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-0.000133283554228113</v>
      </c>
      <c r="AT505" s="32" t="str">
        <f t="shared" si="420"/>
        <v>0.284590945550045i</v>
      </c>
      <c r="AU505" s="32">
        <f t="shared" si="444"/>
        <v>0.28459094555004499</v>
      </c>
      <c r="AV505" s="32">
        <f t="shared" si="445"/>
        <v>1.5707963267948966</v>
      </c>
      <c r="AW505" s="32" t="str">
        <f t="shared" si="421"/>
        <v>1+49.7586175978051i</v>
      </c>
      <c r="AX505" s="32">
        <f t="shared" si="446"/>
        <v>49.768665094058925</v>
      </c>
      <c r="AY505" s="32">
        <f t="shared" si="447"/>
        <v>1.550702010457395</v>
      </c>
      <c r="AZ505" s="32" t="str">
        <f t="shared" si="422"/>
        <v>1+741.524764689241i</v>
      </c>
      <c r="BA505" s="32">
        <f t="shared" si="448"/>
        <v>741.52543897524799</v>
      </c>
      <c r="BB505" s="32">
        <f t="shared" si="449"/>
        <v>1.5694477549852905</v>
      </c>
      <c r="BC505" s="60" t="str">
        <f t="shared" si="450"/>
        <v>-0.000130798513289966+0.006976686988477i</v>
      </c>
      <c r="BD505" s="51">
        <f t="shared" si="451"/>
        <v>-43.125489014220662</v>
      </c>
      <c r="BE505" s="63">
        <f t="shared" si="452"/>
        <v>91.074052045278876</v>
      </c>
      <c r="BF505" s="60" t="str">
        <f t="shared" si="453"/>
        <v>0.000240875022852892-0.00033085453093327i</v>
      </c>
      <c r="BG505" s="66">
        <f t="shared" si="454"/>
        <v>-67.76022792966225</v>
      </c>
      <c r="BH505" s="63">
        <f t="shared" si="455"/>
        <v>-53.943918987097931</v>
      </c>
      <c r="BI505" s="60" t="e">
        <f t="shared" si="460"/>
        <v>#NUM!</v>
      </c>
      <c r="BJ505" s="66" t="e">
        <f t="shared" si="456"/>
        <v>#NUM!</v>
      </c>
      <c r="BK505" s="63" t="e">
        <f t="shared" si="461"/>
        <v>#NUM!</v>
      </c>
      <c r="BL505" s="51">
        <f t="shared" si="457"/>
        <v>-67.76022792966225</v>
      </c>
      <c r="BM505" s="63">
        <f t="shared" si="458"/>
        <v>-53.943918987097931</v>
      </c>
    </row>
    <row r="506" spans="14:65" x14ac:dyDescent="0.3">
      <c r="N506" s="11">
        <v>88</v>
      </c>
      <c r="O506" s="52">
        <f t="shared" si="459"/>
        <v>758577.57502918423</v>
      </c>
      <c r="P506" s="50" t="str">
        <f t="shared" si="411"/>
        <v>21.1560044893378</v>
      </c>
      <c r="Q506" s="18" t="str">
        <f t="shared" si="412"/>
        <v>1+3321.95514839163i</v>
      </c>
      <c r="R506" s="18">
        <f t="shared" si="423"/>
        <v>3321.9552989053982</v>
      </c>
      <c r="S506" s="18">
        <f t="shared" si="424"/>
        <v>1.5704952992598686</v>
      </c>
      <c r="T506" s="18" t="str">
        <f t="shared" si="413"/>
        <v>1+4.76628347377929i</v>
      </c>
      <c r="U506" s="18">
        <f t="shared" si="425"/>
        <v>4.8700573048396034</v>
      </c>
      <c r="V506" s="18">
        <f t="shared" si="426"/>
        <v>1.363988914950925</v>
      </c>
      <c r="W506" s="32" t="str">
        <f t="shared" si="414"/>
        <v>1-2.14059713408194i</v>
      </c>
      <c r="X506" s="18">
        <f t="shared" si="427"/>
        <v>2.3626586910596745</v>
      </c>
      <c r="Y506" s="18">
        <f t="shared" si="428"/>
        <v>-1.1337646545173947</v>
      </c>
      <c r="Z506" s="32" t="str">
        <f t="shared" si="415"/>
        <v>0.424560062662843+1.1682920636526i</v>
      </c>
      <c r="AA506" s="18">
        <f t="shared" si="429"/>
        <v>1.2430436809709979</v>
      </c>
      <c r="AB506" s="18">
        <f t="shared" si="430"/>
        <v>1.2222320365002419</v>
      </c>
      <c r="AC506" s="68" t="str">
        <f t="shared" si="431"/>
        <v>-0.0493394018156195-0.0322614563682462i</v>
      </c>
      <c r="AD506" s="66">
        <f t="shared" si="432"/>
        <v>-24.59022928456649</v>
      </c>
      <c r="AE506" s="63">
        <f t="shared" si="433"/>
        <v>-146.82061120550705</v>
      </c>
      <c r="AF506" s="51" t="e">
        <f t="shared" si="434"/>
        <v>#NUM!</v>
      </c>
      <c r="AG506" s="51" t="str">
        <f t="shared" si="416"/>
        <v>1-2042.69291733398i</v>
      </c>
      <c r="AH506" s="51">
        <f t="shared" si="435"/>
        <v>2042.6931621088875</v>
      </c>
      <c r="AI506" s="51">
        <f t="shared" si="436"/>
        <v>-1.5703067769895256</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-0.000133283554228113</v>
      </c>
      <c r="AT506" s="32" t="str">
        <f t="shared" si="420"/>
        <v>0.291219920247915i</v>
      </c>
      <c r="AU506" s="32">
        <f t="shared" si="444"/>
        <v>0.29121992024791499</v>
      </c>
      <c r="AV506" s="32">
        <f t="shared" si="445"/>
        <v>1.5707963267948966</v>
      </c>
      <c r="AW506" s="32" t="str">
        <f t="shared" si="421"/>
        <v>1+50.9176446934118i</v>
      </c>
      <c r="AX506" s="32">
        <f t="shared" si="446"/>
        <v>50.927463525336961</v>
      </c>
      <c r="AY506" s="32">
        <f t="shared" si="447"/>
        <v>1.5511592939935912</v>
      </c>
      <c r="AZ506" s="32" t="str">
        <f t="shared" si="422"/>
        <v>1+758.797095309136i</v>
      </c>
      <c r="BA506" s="32">
        <f t="shared" si="448"/>
        <v>758.79775424653303</v>
      </c>
      <c r="BB506" s="32">
        <f t="shared" si="449"/>
        <v>1.5694784521914609</v>
      </c>
      <c r="BC506" s="60" t="str">
        <f t="shared" si="450"/>
        <v>-0.000124913880229369+0.00681799377568594i</v>
      </c>
      <c r="BD506" s="51">
        <f t="shared" si="451"/>
        <v>-43.325410454561307</v>
      </c>
      <c r="BE506" s="63">
        <f t="shared" si="452"/>
        <v>91.049610448970398</v>
      </c>
      <c r="BF506" s="60" t="str">
        <f t="shared" si="453"/>
        <v>0.000226121584842251-0.000332365830778153i</v>
      </c>
      <c r="BG506" s="66">
        <f t="shared" si="454"/>
        <v>-67.915639739127798</v>
      </c>
      <c r="BH506" s="63">
        <f t="shared" si="455"/>
        <v>-55.771000756536672</v>
      </c>
      <c r="BI506" s="60" t="e">
        <f t="shared" si="460"/>
        <v>#NUM!</v>
      </c>
      <c r="BJ506" s="66" t="e">
        <f t="shared" si="456"/>
        <v>#NUM!</v>
      </c>
      <c r="BK506" s="63" t="e">
        <f t="shared" si="461"/>
        <v>#NUM!</v>
      </c>
      <c r="BL506" s="51">
        <f t="shared" si="457"/>
        <v>-67.915639739127798</v>
      </c>
      <c r="BM506" s="63">
        <f t="shared" si="458"/>
        <v>-55.771000756536672</v>
      </c>
    </row>
    <row r="507" spans="14:65" x14ac:dyDescent="0.3">
      <c r="N507" s="11">
        <v>89</v>
      </c>
      <c r="O507" s="52">
        <f t="shared" si="459"/>
        <v>776247.11662869214</v>
      </c>
      <c r="P507" s="50" t="str">
        <f t="shared" si="411"/>
        <v>21.1560044893378</v>
      </c>
      <c r="Q507" s="18" t="str">
        <f t="shared" si="412"/>
        <v>1+3399.33342402013i</v>
      </c>
      <c r="R507" s="18">
        <f t="shared" si="423"/>
        <v>3399.3335711077871</v>
      </c>
      <c r="S507" s="18">
        <f t="shared" si="424"/>
        <v>1.5705021514827346</v>
      </c>
      <c r="T507" s="18" t="str">
        <f t="shared" si="413"/>
        <v>1+4.87730447794192i</v>
      </c>
      <c r="U507" s="18">
        <f t="shared" si="425"/>
        <v>4.9787648036990371</v>
      </c>
      <c r="V507" s="18">
        <f t="shared" si="426"/>
        <v>1.3685677077001581</v>
      </c>
      <c r="W507" s="32" t="str">
        <f t="shared" si="414"/>
        <v>1-2.19045804660232i</v>
      </c>
      <c r="X507" s="18">
        <f t="shared" si="427"/>
        <v>2.4079257575608204</v>
      </c>
      <c r="Y507" s="18">
        <f t="shared" si="428"/>
        <v>-1.1425290446639502</v>
      </c>
      <c r="Z507" s="32" t="str">
        <f t="shared" si="415"/>
        <v>0.397440413925642+1.19550508167292i</v>
      </c>
      <c r="AA507" s="18">
        <f t="shared" si="429"/>
        <v>1.2598378002453969</v>
      </c>
      <c r="AB507" s="18">
        <f t="shared" si="430"/>
        <v>1.24984493772306</v>
      </c>
      <c r="AC507" s="68" t="str">
        <f t="shared" si="431"/>
        <v>-0.0505728860435352-0.0308178417825066i</v>
      </c>
      <c r="AD507" s="66">
        <f t="shared" si="432"/>
        <v>-24.550201289171994</v>
      </c>
      <c r="AE507" s="63">
        <f t="shared" si="433"/>
        <v>-148.64292357474426</v>
      </c>
      <c r="AF507" s="51" t="e">
        <f t="shared" si="434"/>
        <v>#NUM!</v>
      </c>
      <c r="AG507" s="51" t="str">
        <f t="shared" si="416"/>
        <v>1-2090.2733476894i</v>
      </c>
      <c r="AH507" s="51">
        <f t="shared" si="435"/>
        <v>2090.2735868925511</v>
      </c>
      <c r="AI507" s="51">
        <f t="shared" si="436"/>
        <v>-1.5703179205018563</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-0.000133283554228113</v>
      </c>
      <c r="AT507" s="32" t="str">
        <f t="shared" si="420"/>
        <v>0.298003303602251i</v>
      </c>
      <c r="AU507" s="32">
        <f t="shared" si="444"/>
        <v>0.29800330360225102</v>
      </c>
      <c r="AV507" s="32">
        <f t="shared" si="445"/>
        <v>1.5707963267948966</v>
      </c>
      <c r="AW507" s="32" t="str">
        <f t="shared" si="421"/>
        <v>1+52.1036689982097i</v>
      </c>
      <c r="AX507" s="32">
        <f t="shared" si="446"/>
        <v>52.113264367865099</v>
      </c>
      <c r="AY507" s="32">
        <f t="shared" si="447"/>
        <v>1.5516061764225026</v>
      </c>
      <c r="AZ507" s="32" t="str">
        <f t="shared" si="422"/>
        <v>1+776.471750192831i</v>
      </c>
      <c r="BA507" s="32">
        <f t="shared" si="448"/>
        <v>776.4723941309943</v>
      </c>
      <c r="BB507" s="32">
        <f t="shared" si="449"/>
        <v>1.5695084506463097</v>
      </c>
      <c r="BC507" s="60" t="str">
        <f t="shared" si="450"/>
        <v>-0.000119293899643+0.00666290515135866i</v>
      </c>
      <c r="BD507" s="51">
        <f t="shared" si="451"/>
        <v>-43.525335429330418</v>
      </c>
      <c r="BE507" s="63">
        <f t="shared" si="452"/>
        <v>91.025724756709977</v>
      </c>
      <c r="BF507" s="60" t="str">
        <f t="shared" si="453"/>
        <v>0.000211369393558754-0.000333285962413729i</v>
      </c>
      <c r="BG507" s="66">
        <f t="shared" si="454"/>
        <v>-68.075536718502406</v>
      </c>
      <c r="BH507" s="63">
        <f t="shared" si="455"/>
        <v>-57.617198818034268</v>
      </c>
      <c r="BI507" s="60" t="e">
        <f t="shared" si="460"/>
        <v>#NUM!</v>
      </c>
      <c r="BJ507" s="66" t="e">
        <f t="shared" si="456"/>
        <v>#NUM!</v>
      </c>
      <c r="BK507" s="63" t="e">
        <f t="shared" si="461"/>
        <v>#NUM!</v>
      </c>
      <c r="BL507" s="51">
        <f t="shared" si="457"/>
        <v>-68.075536718502406</v>
      </c>
      <c r="BM507" s="63">
        <f t="shared" si="458"/>
        <v>-57.617198818034268</v>
      </c>
    </row>
    <row r="508" spans="14:65" x14ac:dyDescent="0.3">
      <c r="N508" s="11">
        <v>90</v>
      </c>
      <c r="O508" s="52">
        <f t="shared" si="459"/>
        <v>794328.23472428333</v>
      </c>
      <c r="P508" s="50" t="str">
        <f t="shared" si="411"/>
        <v>21.1560044893378</v>
      </c>
      <c r="Q508" s="18" t="str">
        <f t="shared" si="412"/>
        <v>1+3478.51407122555i</v>
      </c>
      <c r="R508" s="18">
        <f t="shared" si="423"/>
        <v>3478.5142149650833</v>
      </c>
      <c r="S508" s="18">
        <f t="shared" si="424"/>
        <v>1.5705088477299924</v>
      </c>
      <c r="T508" s="18" t="str">
        <f t="shared" si="413"/>
        <v>1+4.99091149349752i</v>
      </c>
      <c r="U508" s="18">
        <f t="shared" si="425"/>
        <v>5.0901078118175098</v>
      </c>
      <c r="V508" s="18">
        <f t="shared" si="426"/>
        <v>1.3730505969934614</v>
      </c>
      <c r="W508" s="32" t="str">
        <f t="shared" si="414"/>
        <v>1-2.24148036897315i</v>
      </c>
      <c r="X508" s="18">
        <f t="shared" si="427"/>
        <v>2.4544315522116333</v>
      </c>
      <c r="Y508" s="18">
        <f t="shared" si="428"/>
        <v>-1.1511622406389996</v>
      </c>
      <c r="Z508" s="32" t="str">
        <f t="shared" si="415"/>
        <v>0.369042655519805+1.22335197231194i</v>
      </c>
      <c r="AA508" s="18">
        <f t="shared" si="429"/>
        <v>1.2778037915707647</v>
      </c>
      <c r="AB508" s="18">
        <f t="shared" si="430"/>
        <v>1.2778125732889531</v>
      </c>
      <c r="AC508" s="68" t="str">
        <f t="shared" si="431"/>
        <v>-0.0517463500199978-0.029296315856167i</v>
      </c>
      <c r="AD508" s="66">
        <f t="shared" si="432"/>
        <v>-24.514927961523959</v>
      </c>
      <c r="AE508" s="63">
        <f t="shared" si="433"/>
        <v>-150.4835297788853</v>
      </c>
      <c r="AF508" s="51" t="e">
        <f t="shared" si="434"/>
        <v>#NUM!</v>
      </c>
      <c r="AG508" s="51" t="str">
        <f t="shared" si="416"/>
        <v>1-2138.9620686418i</v>
      </c>
      <c r="AH508" s="51">
        <f t="shared" si="435"/>
        <v>2138.9623024000239</v>
      </c>
      <c r="AI508" s="51">
        <f t="shared" si="436"/>
        <v>-1.5703288103569928</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-0.000133283554228113</v>
      </c>
      <c r="AT508" s="32" t="str">
        <f t="shared" si="420"/>
        <v>0.304944692252698i</v>
      </c>
      <c r="AU508" s="32">
        <f t="shared" si="444"/>
        <v>0.30494469225269799</v>
      </c>
      <c r="AV508" s="32">
        <f t="shared" si="445"/>
        <v>1.5707963267948966</v>
      </c>
      <c r="AW508" s="32" t="str">
        <f t="shared" si="421"/>
        <v>1+53.317319357984i</v>
      </c>
      <c r="AX508" s="32">
        <f t="shared" si="446"/>
        <v>53.326696349213826</v>
      </c>
      <c r="AY508" s="32">
        <f t="shared" si="447"/>
        <v>1.552042893972746</v>
      </c>
      <c r="AZ508" s="32" t="str">
        <f t="shared" si="422"/>
        <v>1+794.558100676298i</v>
      </c>
      <c r="BA508" s="32">
        <f t="shared" si="448"/>
        <v>794.55872995665095</v>
      </c>
      <c r="BB508" s="32">
        <f t="shared" si="449"/>
        <v>1.5695377662551988</v>
      </c>
      <c r="BC508" s="60" t="str">
        <f t="shared" si="450"/>
        <v>-0.000113926677764241+0.00651133957924222i</v>
      </c>
      <c r="BD508" s="51">
        <f t="shared" si="451"/>
        <v>-43.725263779570291</v>
      </c>
      <c r="BE508" s="63">
        <f t="shared" si="452"/>
        <v>91.002382344904959</v>
      </c>
      <c r="BF508" s="60" t="str">
        <f t="shared" si="453"/>
        <v>0.000196653550704446-0.000333600425030308i</v>
      </c>
      <c r="BG508" s="66">
        <f t="shared" si="454"/>
        <v>-68.24019174109425</v>
      </c>
      <c r="BH508" s="63">
        <f t="shared" si="455"/>
        <v>-59.481147433980311</v>
      </c>
      <c r="BI508" s="60" t="e">
        <f t="shared" si="460"/>
        <v>#NUM!</v>
      </c>
      <c r="BJ508" s="66" t="e">
        <f t="shared" si="456"/>
        <v>#NUM!</v>
      </c>
      <c r="BK508" s="63" t="e">
        <f t="shared" si="461"/>
        <v>#NUM!</v>
      </c>
      <c r="BL508" s="51">
        <f t="shared" si="457"/>
        <v>-68.24019174109425</v>
      </c>
      <c r="BM508" s="63">
        <f t="shared" si="458"/>
        <v>-59.481147433980311</v>
      </c>
    </row>
    <row r="509" spans="14:65" x14ac:dyDescent="0.3">
      <c r="N509" s="11">
        <v>91</v>
      </c>
      <c r="O509" s="52">
        <f t="shared" si="459"/>
        <v>812830.51616410096</v>
      </c>
      <c r="P509" s="50" t="str">
        <f t="shared" si="411"/>
        <v>21.1560044893378</v>
      </c>
      <c r="Q509" s="18" t="str">
        <f t="shared" si="412"/>
        <v>1+3559.5390726351i</v>
      </c>
      <c r="R509" s="18">
        <f t="shared" si="423"/>
        <v>3559.539213102722</v>
      </c>
      <c r="S509" s="18">
        <f t="shared" si="424"/>
        <v>1.5705153915520784</v>
      </c>
      <c r="T509" s="18" t="str">
        <f t="shared" si="413"/>
        <v>1+5.10716475638948i</v>
      </c>
      <c r="U509" s="18">
        <f t="shared" si="425"/>
        <v>5.2041456406317854</v>
      </c>
      <c r="V509" s="18">
        <f t="shared" si="426"/>
        <v>1.3774392386607253</v>
      </c>
      <c r="W509" s="32" t="str">
        <f t="shared" si="414"/>
        <v>1-2.2936911539051i</v>
      </c>
      <c r="X509" s="18">
        <f t="shared" si="427"/>
        <v>2.5022028513896535</v>
      </c>
      <c r="Y509" s="18">
        <f t="shared" si="428"/>
        <v>-1.1596636712393757</v>
      </c>
      <c r="Z509" s="32" t="str">
        <f t="shared" si="415"/>
        <v>0.339306551992402+1.25184750035964i</v>
      </c>
      <c r="AA509" s="18">
        <f t="shared" si="429"/>
        <v>1.2970162298065708</v>
      </c>
      <c r="AB509" s="18">
        <f t="shared" si="430"/>
        <v>1.3061110906533557</v>
      </c>
      <c r="AC509" s="68" t="str">
        <f t="shared" si="431"/>
        <v>-0.0528525041988058-0.0277000334973177i</v>
      </c>
      <c r="AD509" s="66">
        <f t="shared" si="432"/>
        <v>-24.484671699821394</v>
      </c>
      <c r="AE509" s="63">
        <f t="shared" si="433"/>
        <v>-152.34093577162616</v>
      </c>
      <c r="AF509" s="51" t="e">
        <f t="shared" si="434"/>
        <v>#NUM!</v>
      </c>
      <c r="AG509" s="51" t="str">
        <f t="shared" si="416"/>
        <v>1-2188.78489559549i</v>
      </c>
      <c r="AH509" s="51">
        <f t="shared" si="435"/>
        <v>2188.7851240327268</v>
      </c>
      <c r="AI509" s="51">
        <f t="shared" si="436"/>
        <v>-1.5703394523288703</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-0.000133283554228113</v>
      </c>
      <c r="AT509" s="32" t="str">
        <f t="shared" si="420"/>
        <v>0.312047766615397i</v>
      </c>
      <c r="AU509" s="32">
        <f t="shared" si="444"/>
        <v>0.31204776661539702</v>
      </c>
      <c r="AV509" s="32">
        <f t="shared" si="445"/>
        <v>1.5707963267948966</v>
      </c>
      <c r="AW509" s="32" t="str">
        <f t="shared" si="421"/>
        <v>1+54.55923926622i</v>
      </c>
      <c r="AX509" s="32">
        <f t="shared" si="446"/>
        <v>54.56840284733137</v>
      </c>
      <c r="AY509" s="32">
        <f t="shared" si="447"/>
        <v>1.5524696775310305</v>
      </c>
      <c r="AZ509" s="32" t="str">
        <f t="shared" si="422"/>
        <v>1+813.065736381961i</v>
      </c>
      <c r="BA509" s="32">
        <f t="shared" si="448"/>
        <v>813.06635133815519</v>
      </c>
      <c r="BB509" s="32">
        <f t="shared" si="449"/>
        <v>1.5695664145614507</v>
      </c>
      <c r="BC509" s="60" t="str">
        <f t="shared" si="450"/>
        <v>-0.00010880085459056+0.00636321734480013i</v>
      </c>
      <c r="BD509" s="51">
        <f t="shared" si="451"/>
        <v>-43.925195353467153</v>
      </c>
      <c r="BE509" s="63">
        <f t="shared" si="452"/>
        <v>90.979570875288104</v>
      </c>
      <c r="BF509" s="60" t="str">
        <f t="shared" si="453"/>
        <v>0.000182011731225758-0.000333298184117267i</v>
      </c>
      <c r="BG509" s="66">
        <f t="shared" si="454"/>
        <v>-68.409867053288565</v>
      </c>
      <c r="BH509" s="63">
        <f t="shared" si="455"/>
        <v>-61.361364896338003</v>
      </c>
      <c r="BI509" s="60" t="e">
        <f t="shared" si="460"/>
        <v>#NUM!</v>
      </c>
      <c r="BJ509" s="66" t="e">
        <f t="shared" si="456"/>
        <v>#NUM!</v>
      </c>
      <c r="BK509" s="63" t="e">
        <f t="shared" si="461"/>
        <v>#NUM!</v>
      </c>
      <c r="BL509" s="51">
        <f t="shared" si="457"/>
        <v>-68.409867053288565</v>
      </c>
      <c r="BM509" s="63">
        <f t="shared" si="458"/>
        <v>-61.361364896338003</v>
      </c>
    </row>
    <row r="510" spans="14:65" x14ac:dyDescent="0.3">
      <c r="N510" s="11">
        <v>92</v>
      </c>
      <c r="O510" s="52">
        <f t="shared" si="459"/>
        <v>831763.77110267128</v>
      </c>
      <c r="P510" s="50" t="str">
        <f t="shared" si="411"/>
        <v>21.1560044893378</v>
      </c>
      <c r="Q510" s="18" t="str">
        <f t="shared" si="412"/>
        <v>1+3642.45138877702i</v>
      </c>
      <c r="R510" s="18">
        <f t="shared" si="423"/>
        <v>3642.4515260472094</v>
      </c>
      <c r="S510" s="18">
        <f t="shared" si="424"/>
        <v>1.5705217864186114</v>
      </c>
      <c r="T510" s="18" t="str">
        <f t="shared" si="413"/>
        <v>1+5.22612590563659i</v>
      </c>
      <c r="U510" s="18">
        <f t="shared" si="425"/>
        <v>5.3209390131409959</v>
      </c>
      <c r="V510" s="18">
        <f t="shared" si="426"/>
        <v>1.3817352830864666</v>
      </c>
      <c r="W510" s="32" t="str">
        <f t="shared" si="414"/>
        <v>1-2.34711808424744i</v>
      </c>
      <c r="X510" s="18">
        <f t="shared" si="427"/>
        <v>2.551266999238099</v>
      </c>
      <c r="Y510" s="18">
        <f t="shared" si="428"/>
        <v>-1.1680329275083263</v>
      </c>
      <c r="Z510" s="32" t="str">
        <f t="shared" si="415"/>
        <v>0.308169029081063+1.2810067745222i</v>
      </c>
      <c r="AA510" s="18">
        <f t="shared" si="429"/>
        <v>1.3175532273333534</v>
      </c>
      <c r="AB510" s="18">
        <f t="shared" si="430"/>
        <v>1.3347145042597872</v>
      </c>
      <c r="AC510" s="68" t="str">
        <f t="shared" si="431"/>
        <v>-0.053884242090498-0.0260329585057379i</v>
      </c>
      <c r="AD510" s="66">
        <f t="shared" si="432"/>
        <v>-24.459682136438282</v>
      </c>
      <c r="AE510" s="63">
        <f t="shared" si="433"/>
        <v>-154.21353489748316</v>
      </c>
      <c r="AF510" s="51" t="e">
        <f t="shared" si="434"/>
        <v>#NUM!</v>
      </c>
      <c r="AG510" s="51" t="str">
        <f t="shared" si="416"/>
        <v>1-2239.76824527283i</v>
      </c>
      <c r="AH510" s="51">
        <f t="shared" si="435"/>
        <v>2239.7684685102013</v>
      </c>
      <c r="AI510" s="51">
        <f t="shared" si="436"/>
        <v>-1.5703498520599932</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-0.000133283554228113</v>
      </c>
      <c r="AT510" s="32" t="str">
        <f t="shared" si="420"/>
        <v>0.319316292834396i</v>
      </c>
      <c r="AU510" s="32">
        <f t="shared" si="444"/>
        <v>0.319316292834396</v>
      </c>
      <c r="AV510" s="32">
        <f t="shared" si="445"/>
        <v>1.5707963267948966</v>
      </c>
      <c r="AW510" s="32" t="str">
        <f t="shared" si="421"/>
        <v>1+55.8300872052918i</v>
      </c>
      <c r="AX510" s="32">
        <f t="shared" si="446"/>
        <v>55.839042231672337</v>
      </c>
      <c r="AY510" s="32">
        <f t="shared" si="447"/>
        <v>1.5528867527614021</v>
      </c>
      <c r="AZ510" s="32" t="str">
        <f t="shared" si="422"/>
        <v>1+832.00447030325i</v>
      </c>
      <c r="BA510" s="32">
        <f t="shared" si="448"/>
        <v>832.00507126134255</v>
      </c>
      <c r="BB510" s="32">
        <f t="shared" si="449"/>
        <v>1.5695944107545881</v>
      </c>
      <c r="BC510" s="60" t="str">
        <f t="shared" si="450"/>
        <v>-0.00010390557999584+0.00621846051602797i</v>
      </c>
      <c r="BD510" s="51">
        <f t="shared" si="451"/>
        <v>-44.125130006030425</v>
      </c>
      <c r="BE510" s="63">
        <f t="shared" si="452"/>
        <v>90.957278288557575</v>
      </c>
      <c r="BF510" s="60" t="str">
        <f t="shared" si="453"/>
        <v>0.000167483798010375-0.000332372062223308i</v>
      </c>
      <c r="BG510" s="66">
        <f t="shared" si="454"/>
        <v>-68.584812142468706</v>
      </c>
      <c r="BH510" s="63">
        <f t="shared" si="455"/>
        <v>-63.256256608925604</v>
      </c>
      <c r="BI510" s="60" t="e">
        <f t="shared" si="460"/>
        <v>#NUM!</v>
      </c>
      <c r="BJ510" s="66" t="e">
        <f t="shared" si="456"/>
        <v>#NUM!</v>
      </c>
      <c r="BK510" s="63" t="e">
        <f t="shared" si="461"/>
        <v>#NUM!</v>
      </c>
      <c r="BL510" s="51">
        <f t="shared" si="457"/>
        <v>-68.584812142468706</v>
      </c>
      <c r="BM510" s="63">
        <f t="shared" si="458"/>
        <v>-63.256256608925604</v>
      </c>
    </row>
    <row r="511" spans="14:65" x14ac:dyDescent="0.3">
      <c r="N511" s="11">
        <v>93</v>
      </c>
      <c r="O511" s="52">
        <f t="shared" si="459"/>
        <v>851138.03820237669</v>
      </c>
      <c r="P511" s="50" t="str">
        <f t="shared" si="411"/>
        <v>21.1560044893378</v>
      </c>
      <c r="Q511" s="18" t="str">
        <f t="shared" si="412"/>
        <v>1+3727.29498085883i</v>
      </c>
      <c r="R511" s="18">
        <f t="shared" si="423"/>
        <v>3727.2951150043677</v>
      </c>
      <c r="S511" s="18">
        <f t="shared" si="424"/>
        <v>1.570528035720232</v>
      </c>
      <c r="T511" s="18" t="str">
        <f t="shared" si="413"/>
        <v>1+5.34785801601483i</v>
      </c>
      <c r="U511" s="18">
        <f t="shared" si="425"/>
        <v>5.4405500971366925</v>
      </c>
      <c r="V511" s="18">
        <f t="shared" si="426"/>
        <v>1.3859403734821916</v>
      </c>
      <c r="W511" s="32" t="str">
        <f t="shared" si="414"/>
        <v>1-2.40178948766583i</v>
      </c>
      <c r="X511" s="18">
        <f t="shared" si="427"/>
        <v>2.6016519258083104</v>
      </c>
      <c r="Y511" s="18">
        <f t="shared" si="428"/>
        <v>-1.1762697561257176</v>
      </c>
      <c r="Z511" s="32" t="str">
        <f t="shared" si="415"/>
        <v>0.27556403992501+1.31084525543274i</v>
      </c>
      <c r="AA511" s="18">
        <f t="shared" si="429"/>
        <v>1.3394964814400665</v>
      </c>
      <c r="AB511" s="18">
        <f t="shared" si="430"/>
        <v>1.3635947854492672</v>
      </c>
      <c r="AC511" s="68" t="str">
        <f t="shared" si="431"/>
        <v>-0.0548347472528922-0.0242998586424131i</v>
      </c>
      <c r="AD511" s="66">
        <f t="shared" si="432"/>
        <v>-24.440194022028141</v>
      </c>
      <c r="AE511" s="63">
        <f t="shared" si="433"/>
        <v>-156.09961276360238</v>
      </c>
      <c r="AF511" s="51" t="e">
        <f t="shared" si="434"/>
        <v>#NUM!</v>
      </c>
      <c r="AG511" s="51" t="str">
        <f t="shared" si="416"/>
        <v>1-2291.93914972064i</v>
      </c>
      <c r="AH511" s="51">
        <f t="shared" si="435"/>
        <v>2291.9393678765091</v>
      </c>
      <c r="AI511" s="51">
        <f t="shared" si="436"/>
        <v>-1.5703600150644277</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-0.000133283554228113</v>
      </c>
      <c r="AT511" s="32" t="str">
        <f t="shared" si="420"/>
        <v>0.326754124778506i</v>
      </c>
      <c r="AU511" s="32">
        <f t="shared" si="444"/>
        <v>0.32675412477850602</v>
      </c>
      <c r="AV511" s="32">
        <f t="shared" si="445"/>
        <v>1.5707963267948966</v>
      </c>
      <c r="AW511" s="32" t="str">
        <f t="shared" si="421"/>
        <v>1+57.1305369955985i</v>
      </c>
      <c r="AX511" s="32">
        <f t="shared" si="446"/>
        <v>57.139288212275169</v>
      </c>
      <c r="AY511" s="32">
        <f t="shared" si="447"/>
        <v>1.5532943402219279</v>
      </c>
      <c r="AZ511" s="32" t="str">
        <f t="shared" si="422"/>
        <v>1+851.384344007576i</v>
      </c>
      <c r="BA511" s="32">
        <f t="shared" si="448"/>
        <v>851.38493128620189</v>
      </c>
      <c r="BB511" s="32">
        <f t="shared" si="449"/>
        <v>1.5696217696783876</v>
      </c>
      <c r="BC511" s="60" t="str">
        <f t="shared" si="450"/>
        <v>-0.0000992304909058943+0.00607699290500882i</v>
      </c>
      <c r="BD511" s="51">
        <f t="shared" si="451"/>
        <v>-44.325067598786617</v>
      </c>
      <c r="BE511" s="63">
        <f t="shared" si="452"/>
        <v>90.935492798152723</v>
      </c>
      <c r="BF511" s="60" t="str">
        <f t="shared" si="453"/>
        <v>0.000153111347451267-0.000330819083101747i</v>
      </c>
      <c r="BG511" s="66">
        <f t="shared" si="454"/>
        <v>-68.765261620814769</v>
      </c>
      <c r="BH511" s="63">
        <f t="shared" si="455"/>
        <v>-65.164119965449601</v>
      </c>
      <c r="BI511" s="60" t="e">
        <f t="shared" si="460"/>
        <v>#NUM!</v>
      </c>
      <c r="BJ511" s="66" t="e">
        <f t="shared" si="456"/>
        <v>#NUM!</v>
      </c>
      <c r="BK511" s="63" t="e">
        <f t="shared" si="461"/>
        <v>#NUM!</v>
      </c>
      <c r="BL511" s="51">
        <f t="shared" si="457"/>
        <v>-68.765261620814769</v>
      </c>
      <c r="BM511" s="63">
        <f t="shared" si="458"/>
        <v>-65.164119965449601</v>
      </c>
    </row>
    <row r="512" spans="14:65" x14ac:dyDescent="0.3">
      <c r="N512" s="11">
        <v>94</v>
      </c>
      <c r="O512" s="52">
        <f t="shared" si="459"/>
        <v>870963.58995608077</v>
      </c>
      <c r="P512" s="50" t="str">
        <f t="shared" si="411"/>
        <v>21.1560044893378</v>
      </c>
      <c r="Q512" s="18" t="str">
        <f t="shared" si="412"/>
        <v>1+3814.11483407606i</v>
      </c>
      <c r="R512" s="18">
        <f t="shared" si="423"/>
        <v>3814.1149651680726</v>
      </c>
      <c r="S512" s="18">
        <f t="shared" si="424"/>
        <v>1.5705341427704009</v>
      </c>
      <c r="T512" s="18" t="str">
        <f t="shared" si="413"/>
        <v>1+5.47242563150043i</v>
      </c>
      <c r="U512" s="18">
        <f t="shared" si="425"/>
        <v>5.5630425391419465</v>
      </c>
      <c r="V512" s="18">
        <f t="shared" si="426"/>
        <v>1.3900561442916941</v>
      </c>
      <c r="W512" s="32" t="str">
        <f t="shared" si="414"/>
        <v>1-2.45773435166203i</v>
      </c>
      <c r="X512" s="18">
        <f t="shared" si="427"/>
        <v>2.6533861655137154</v>
      </c>
      <c r="Y512" s="18">
        <f t="shared" si="428"/>
        <v>-1.1843740526722339</v>
      </c>
      <c r="Z512" s="32" t="str">
        <f t="shared" si="415"/>
        <v>0.241422424970818+1.34137876384879i</v>
      </c>
      <c r="AA512" s="18">
        <f t="shared" si="429"/>
        <v>1.3629313171922119</v>
      </c>
      <c r="AB512" s="18">
        <f t="shared" si="430"/>
        <v>1.3927219846604717</v>
      </c>
      <c r="AC512" s="68" t="str">
        <f t="shared" si="431"/>
        <v>-0.0556976020785487-0.0225062841434158i</v>
      </c>
      <c r="AD512" s="66">
        <f t="shared" si="432"/>
        <v>-24.426425167556516</v>
      </c>
      <c r="AE512" s="63">
        <f t="shared" si="433"/>
        <v>-157.99735394685129</v>
      </c>
      <c r="AF512" s="51" t="e">
        <f t="shared" si="434"/>
        <v>#NUM!</v>
      </c>
      <c r="AG512" s="51" t="str">
        <f t="shared" si="416"/>
        <v>1-2345.32527064305i</v>
      </c>
      <c r="AH512" s="51">
        <f t="shared" si="435"/>
        <v>2345.3254838330849</v>
      </c>
      <c r="AI512" s="51">
        <f t="shared" si="436"/>
        <v>-1.5703699467307251</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-0.000133283554228113</v>
      </c>
      <c r="AT512" s="32" t="str">
        <f t="shared" si="420"/>
        <v>0.334365206084676i</v>
      </c>
      <c r="AU512" s="32">
        <f t="shared" si="444"/>
        <v>0.33436520608467601</v>
      </c>
      <c r="AV512" s="32">
        <f t="shared" si="445"/>
        <v>1.5707963267948966</v>
      </c>
      <c r="AW512" s="32" t="str">
        <f t="shared" si="421"/>
        <v>1+58.4612781528323i</v>
      </c>
      <c r="AX512" s="32">
        <f t="shared" si="446"/>
        <v>58.469830196972758</v>
      </c>
      <c r="AY512" s="32">
        <f t="shared" si="447"/>
        <v>1.5536926554788719</v>
      </c>
      <c r="AZ512" s="32" t="str">
        <f t="shared" si="422"/>
        <v>1+871.215632960499i</v>
      </c>
      <c r="BA512" s="32">
        <f t="shared" si="448"/>
        <v>871.21620687104007</v>
      </c>
      <c r="BB512" s="32">
        <f t="shared" si="449"/>
        <v>1.5696485058387488</v>
      </c>
      <c r="BC512" s="60" t="str">
        <f t="shared" si="450"/>
        <v>-0.0000947656894904+0.00593874003020221i</v>
      </c>
      <c r="BD512" s="51">
        <f t="shared" si="451"/>
        <v>-44.525007999486746</v>
      </c>
      <c r="BE512" s="63">
        <f t="shared" si="452"/>
        <v>90.914202884163245</v>
      </c>
      <c r="BF512" s="60" t="str">
        <f t="shared" si="453"/>
        <v>0.000138937192237544-0.000328640755515433i</v>
      </c>
      <c r="BG512" s="66">
        <f t="shared" si="454"/>
        <v>-68.951433167043291</v>
      </c>
      <c r="BH512" s="63">
        <f t="shared" si="455"/>
        <v>-67.08315106268806</v>
      </c>
      <c r="BI512" s="60" t="e">
        <f t="shared" si="460"/>
        <v>#NUM!</v>
      </c>
      <c r="BJ512" s="66" t="e">
        <f t="shared" si="456"/>
        <v>#NUM!</v>
      </c>
      <c r="BK512" s="63" t="e">
        <f t="shared" si="461"/>
        <v>#NUM!</v>
      </c>
      <c r="BL512" s="51">
        <f t="shared" si="457"/>
        <v>-68.951433167043291</v>
      </c>
      <c r="BM512" s="63">
        <f t="shared" si="458"/>
        <v>-67.08315106268806</v>
      </c>
    </row>
    <row r="513" spans="14:65" x14ac:dyDescent="0.3">
      <c r="N513" s="11">
        <v>95</v>
      </c>
      <c r="O513" s="52">
        <f t="shared" si="459"/>
        <v>891250.93813374708</v>
      </c>
      <c r="P513" s="50" t="str">
        <f t="shared" si="411"/>
        <v>21.1560044893378</v>
      </c>
      <c r="Q513" s="18" t="str">
        <f t="shared" si="412"/>
        <v>1+3902.95698146411i</v>
      </c>
      <c r="R513" s="18">
        <f t="shared" si="423"/>
        <v>3902.9571095721049</v>
      </c>
      <c r="S513" s="18">
        <f t="shared" si="424"/>
        <v>1.5705401108071553</v>
      </c>
      <c r="T513" s="18" t="str">
        <f t="shared" si="413"/>
        <v>1+5.59989479949198i</v>
      </c>
      <c r="U513" s="18">
        <f t="shared" si="425"/>
        <v>5.688481499080166</v>
      </c>
      <c r="V513" s="18">
        <f t="shared" si="426"/>
        <v>1.3940842197229051</v>
      </c>
      <c r="W513" s="32" t="str">
        <f t="shared" si="414"/>
        <v>1-2.51498233894344i</v>
      </c>
      <c r="X513" s="18">
        <f t="shared" si="427"/>
        <v>2.7064988758906616</v>
      </c>
      <c r="Y513" s="18">
        <f t="shared" si="428"/>
        <v>-1.1923458548088754</v>
      </c>
      <c r="Z513" s="32" t="str">
        <f t="shared" si="415"/>
        <v>0.205671765275718+1.37262348904069i</v>
      </c>
      <c r="AA513" s="18">
        <f t="shared" si="429"/>
        <v>1.3879467272550006</v>
      </c>
      <c r="AB513" s="18">
        <f t="shared" si="430"/>
        <v>1.4220643857023942</v>
      </c>
      <c r="AC513" s="68" t="str">
        <f t="shared" si="431"/>
        <v>-0.0564668954345703-0.0206585289651839i</v>
      </c>
      <c r="AD513" s="66">
        <f t="shared" si="432"/>
        <v>-24.418574488395066</v>
      </c>
      <c r="AE513" s="63">
        <f t="shared" si="433"/>
        <v>-159.90485052642589</v>
      </c>
      <c r="AF513" s="51" t="e">
        <f t="shared" si="434"/>
        <v>#NUM!</v>
      </c>
      <c r="AG513" s="51" t="str">
        <f t="shared" si="416"/>
        <v>1-2399.954914068i</v>
      </c>
      <c r="AH513" s="51">
        <f t="shared" si="435"/>
        <v>2399.9551224052379</v>
      </c>
      <c r="AI513" s="51">
        <f t="shared" si="436"/>
        <v>-1.5703796523247782</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-0.000133283554228113</v>
      </c>
      <c r="AT513" s="32" t="str">
        <f t="shared" si="420"/>
        <v>0.34215357224896i</v>
      </c>
      <c r="AU513" s="32">
        <f t="shared" si="444"/>
        <v>0.34215357224895998</v>
      </c>
      <c r="AV513" s="32">
        <f t="shared" si="445"/>
        <v>1.5707963267948966</v>
      </c>
      <c r="AW513" s="32" t="str">
        <f t="shared" si="421"/>
        <v>1+59.8230162535693i</v>
      </c>
      <c r="AX513" s="32">
        <f t="shared" si="446"/>
        <v>59.831373656926992</v>
      </c>
      <c r="AY513" s="32">
        <f t="shared" si="447"/>
        <v>1.5540819092184077</v>
      </c>
      <c r="AZ513" s="32" t="str">
        <f t="shared" si="422"/>
        <v>1+891.508851973922i</v>
      </c>
      <c r="BA513" s="32">
        <f t="shared" si="448"/>
        <v>891.50941282067265</v>
      </c>
      <c r="BB513" s="32">
        <f t="shared" si="449"/>
        <v>1.5696746334113849</v>
      </c>
      <c r="BC513" s="60" t="str">
        <f t="shared" si="450"/>
        <v>-0.0000905017223264302+0.00580362907945919i</v>
      </c>
      <c r="BD513" s="51">
        <f t="shared" si="451"/>
        <v>-44.724951081826838</v>
      </c>
      <c r="BE513" s="63">
        <f t="shared" si="452"/>
        <v>90.893397287369112</v>
      </c>
      <c r="BF513" s="60" t="str">
        <f t="shared" si="453"/>
        <v>0.000125004790732446-0.000325843283918774i</v>
      </c>
      <c r="BG513" s="66">
        <f t="shared" si="454"/>
        <v>-69.143525570221897</v>
      </c>
      <c r="BH513" s="63">
        <f t="shared" si="455"/>
        <v>-69.01145323905682</v>
      </c>
      <c r="BI513" s="60" t="e">
        <f t="shared" si="460"/>
        <v>#NUM!</v>
      </c>
      <c r="BJ513" s="66" t="e">
        <f t="shared" si="456"/>
        <v>#NUM!</v>
      </c>
      <c r="BK513" s="63" t="e">
        <f t="shared" si="461"/>
        <v>#NUM!</v>
      </c>
      <c r="BL513" s="51">
        <f t="shared" si="457"/>
        <v>-69.143525570221897</v>
      </c>
      <c r="BM513" s="63">
        <f t="shared" si="458"/>
        <v>-69.01145323905682</v>
      </c>
    </row>
    <row r="514" spans="14:65" x14ac:dyDescent="0.3">
      <c r="N514" s="11">
        <v>96</v>
      </c>
      <c r="O514" s="52">
        <f t="shared" si="459"/>
        <v>912010.83935591124</v>
      </c>
      <c r="P514" s="50" t="str">
        <f t="shared" si="411"/>
        <v>21.1560044893378</v>
      </c>
      <c r="Q514" s="18" t="str">
        <f t="shared" si="412"/>
        <v>1+3993.86852830547i</v>
      </c>
      <c r="R514" s="18">
        <f t="shared" si="423"/>
        <v>3993.8686534973708</v>
      </c>
      <c r="S514" s="18">
        <f t="shared" si="424"/>
        <v>1.5705459429948252</v>
      </c>
      <c r="T514" s="18" t="str">
        <f t="shared" si="413"/>
        <v>1+5.73033310582958i</v>
      </c>
      <c r="U514" s="18">
        <f t="shared" si="425"/>
        <v>5.8169336856944209</v>
      </c>
      <c r="V514" s="18">
        <f t="shared" si="426"/>
        <v>1.398026212399994</v>
      </c>
      <c r="W514" s="32" t="str">
        <f t="shared" si="414"/>
        <v>1-2.57356380315068i</v>
      </c>
      <c r="X514" s="18">
        <f t="shared" si="427"/>
        <v>2.7610198566630033</v>
      </c>
      <c r="Y514" s="18">
        <f t="shared" si="428"/>
        <v>-1.2001853354102459</v>
      </c>
      <c r="Z514" s="32" t="str">
        <f t="shared" si="415"/>
        <v>0.168236228897328+1.4045959973753i</v>
      </c>
      <c r="AA514" s="18">
        <f t="shared" si="429"/>
        <v>1.414635410470241</v>
      </c>
      <c r="AB514" s="18">
        <f t="shared" si="430"/>
        <v>1.4515886909554563</v>
      </c>
      <c r="AC514" s="68" t="str">
        <f t="shared" si="431"/>
        <v>-0.057137325998568-0.0187635746433484i</v>
      </c>
      <c r="AD514" s="66">
        <f t="shared" si="432"/>
        <v>-24.416820195196681</v>
      </c>
      <c r="AE514" s="63">
        <f t="shared" si="433"/>
        <v>-161.82011237898564</v>
      </c>
      <c r="AF514" s="51" t="e">
        <f t="shared" si="434"/>
        <v>#NUM!</v>
      </c>
      <c r="AG514" s="51" t="str">
        <f t="shared" si="416"/>
        <v>1-2455.85704535554i</v>
      </c>
      <c r="AH514" s="51">
        <f t="shared" si="435"/>
        <v>2455.8572489504436</v>
      </c>
      <c r="AI514" s="51">
        <f t="shared" si="436"/>
        <v>-1.5703891369926142</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-0.000133283554228113</v>
      </c>
      <c r="AT514" s="32" t="str">
        <f t="shared" si="420"/>
        <v>0.350123352766188i</v>
      </c>
      <c r="AU514" s="32">
        <f t="shared" si="444"/>
        <v>0.350123352766188</v>
      </c>
      <c r="AV514" s="32">
        <f t="shared" si="445"/>
        <v>1.5707963267948966</v>
      </c>
      <c r="AW514" s="32" t="str">
        <f t="shared" si="421"/>
        <v>1+61.2164733093751i</v>
      </c>
      <c r="AX514" s="32">
        <f t="shared" si="446"/>
        <v>61.224640500679406</v>
      </c>
      <c r="AY514" s="32">
        <f t="shared" si="447"/>
        <v>1.554462307355917</v>
      </c>
      <c r="AZ514" s="32" t="str">
        <f t="shared" si="422"/>
        <v>1+912.274760781174i</v>
      </c>
      <c r="BA514" s="32">
        <f t="shared" si="448"/>
        <v>912.27530886150168</v>
      </c>
      <c r="BB514" s="32">
        <f t="shared" si="449"/>
        <v>1.5697001662493379</v>
      </c>
      <c r="BC514" s="60" t="str">
        <f t="shared" si="450"/>
        <v>-0.0000864295604907398+0.0056715888737556i</v>
      </c>
      <c r="BD514" s="51">
        <f t="shared" si="451"/>
        <v>-44.924896725180972</v>
      </c>
      <c r="BE514" s="63">
        <f t="shared" si="452"/>
        <v>90.873065003408911</v>
      </c>
      <c r="BF514" s="60" t="str">
        <f t="shared" si="453"/>
        <v>0.00011135763515277-0.000322437694899965i</v>
      </c>
      <c r="BG514" s="66">
        <f t="shared" si="454"/>
        <v>-69.34171692037765</v>
      </c>
      <c r="BH514" s="63">
        <f t="shared" si="455"/>
        <v>-70.947047375576688</v>
      </c>
      <c r="BI514" s="60" t="e">
        <f t="shared" si="460"/>
        <v>#NUM!</v>
      </c>
      <c r="BJ514" s="66" t="e">
        <f t="shared" si="456"/>
        <v>#NUM!</v>
      </c>
      <c r="BK514" s="63" t="e">
        <f t="shared" si="461"/>
        <v>#NUM!</v>
      </c>
      <c r="BL514" s="51">
        <f t="shared" si="457"/>
        <v>-69.34171692037765</v>
      </c>
      <c r="BM514" s="63">
        <f t="shared" si="458"/>
        <v>-70.947047375576688</v>
      </c>
    </row>
    <row r="515" spans="14:65" x14ac:dyDescent="0.3">
      <c r="N515" s="11">
        <v>97</v>
      </c>
      <c r="O515" s="52">
        <f t="shared" si="459"/>
        <v>933254.30079699249</v>
      </c>
      <c r="P515" s="50" t="str">
        <f t="shared" si="411"/>
        <v>21.1560044893378</v>
      </c>
      <c r="Q515" s="18" t="str">
        <f t="shared" si="412"/>
        <v>1+4086.89767710564i</v>
      </c>
      <c r="R515" s="18">
        <f t="shared" si="423"/>
        <v>4086.897799447825</v>
      </c>
      <c r="S515" s="18">
        <f t="shared" si="424"/>
        <v>1.5705516424257124</v>
      </c>
      <c r="T515" s="18" t="str">
        <f t="shared" si="413"/>
        <v>1+5.86380971062982i</v>
      </c>
      <c r="U515" s="18">
        <f t="shared" si="425"/>
        <v>5.9484673927387863</v>
      </c>
      <c r="V515" s="18">
        <f t="shared" si="426"/>
        <v>1.4018837221295797</v>
      </c>
      <c r="W515" s="32" t="str">
        <f t="shared" si="414"/>
        <v>1-2.6335098049515i</v>
      </c>
      <c r="X515" s="18">
        <f t="shared" si="427"/>
        <v>2.8169795691086739</v>
      </c>
      <c r="Y515" s="18">
        <f t="shared" si="428"/>
        <v>-1.2078927956872048</v>
      </c>
      <c r="Z515" s="32" t="str">
        <f t="shared" si="415"/>
        <v>0.129036410043918+1.43731324109974i</v>
      </c>
      <c r="AA515" s="18">
        <f t="shared" si="429"/>
        <v>1.4430938112810481</v>
      </c>
      <c r="AB515" s="18">
        <f t="shared" si="430"/>
        <v>1.4812602353991873</v>
      </c>
      <c r="AC515" s="68" t="str">
        <f t="shared" si="431"/>
        <v>-0.0577042980585916-0.0168290173028771i</v>
      </c>
      <c r="AD515" s="66">
        <f t="shared" si="432"/>
        <v>-24.421318175205894</v>
      </c>
      <c r="AE515" s="63">
        <f t="shared" si="433"/>
        <v>-163.74107911828028</v>
      </c>
      <c r="AF515" s="51" t="e">
        <f t="shared" si="434"/>
        <v>#NUM!</v>
      </c>
      <c r="AG515" s="51" t="str">
        <f t="shared" si="416"/>
        <v>1-2513.06130455564i</v>
      </c>
      <c r="AH515" s="51">
        <f t="shared" si="435"/>
        <v>2513.0615035161586</v>
      </c>
      <c r="AI515" s="51">
        <f t="shared" si="436"/>
        <v>-1.5703984057631228</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-0.000133283554228113</v>
      </c>
      <c r="AT515" s="32" t="str">
        <f t="shared" si="420"/>
        <v>0.358278773319482i</v>
      </c>
      <c r="AU515" s="32">
        <f t="shared" si="444"/>
        <v>0.35827877331948199</v>
      </c>
      <c r="AV515" s="32">
        <f t="shared" si="445"/>
        <v>1.5707963267948966</v>
      </c>
      <c r="AW515" s="32" t="str">
        <f t="shared" si="421"/>
        <v>1+62.6423881496254i</v>
      </c>
      <c r="AX515" s="32">
        <f t="shared" si="446"/>
        <v>62.650369456918028</v>
      </c>
      <c r="AY515" s="32">
        <f t="shared" si="447"/>
        <v>1.5548340511429168</v>
      </c>
      <c r="AZ515" s="32" t="str">
        <f t="shared" si="422"/>
        <v>1+933.524369741977i</v>
      </c>
      <c r="BA515" s="32">
        <f t="shared" si="448"/>
        <v>933.52490534648052</v>
      </c>
      <c r="BB515" s="32">
        <f t="shared" si="449"/>
        <v>1.5697251178903233</v>
      </c>
      <c r="BC515" s="60" t="str">
        <f t="shared" si="450"/>
        <v>-0.0000825405805397945+0.00554254983163566i</v>
      </c>
      <c r="BD515" s="51">
        <f t="shared" si="451"/>
        <v>-45.124844814346218</v>
      </c>
      <c r="BE515" s="63">
        <f t="shared" si="452"/>
        <v>90.853195277073993</v>
      </c>
      <c r="BF515" s="60" t="str">
        <f t="shared" si="453"/>
        <v>0.0000980386132800526-0.000318439870631207i</v>
      </c>
      <c r="BG515" s="66">
        <f t="shared" si="454"/>
        <v>-69.546162989552116</v>
      </c>
      <c r="BH515" s="63">
        <f t="shared" si="455"/>
        <v>-72.887883841206289</v>
      </c>
      <c r="BI515" s="60" t="e">
        <f t="shared" si="460"/>
        <v>#NUM!</v>
      </c>
      <c r="BJ515" s="66" t="e">
        <f t="shared" si="456"/>
        <v>#NUM!</v>
      </c>
      <c r="BK515" s="63" t="e">
        <f t="shared" si="461"/>
        <v>#NUM!</v>
      </c>
      <c r="BL515" s="51">
        <f t="shared" si="457"/>
        <v>-69.546162989552116</v>
      </c>
      <c r="BM515" s="63">
        <f t="shared" si="458"/>
        <v>-72.887883841206289</v>
      </c>
    </row>
    <row r="516" spans="14:65" x14ac:dyDescent="0.3">
      <c r="N516" s="11">
        <v>98</v>
      </c>
      <c r="O516" s="52">
        <f t="shared" si="459"/>
        <v>954992.58602143743</v>
      </c>
      <c r="P516" s="50" t="str">
        <f t="shared" si="411"/>
        <v>21.1560044893378</v>
      </c>
      <c r="Q516" s="18" t="str">
        <f t="shared" si="412"/>
        <v>1+4182.09375315069i</v>
      </c>
      <c r="R516" s="18">
        <f t="shared" si="423"/>
        <v>4182.0938727080274</v>
      </c>
      <c r="S516" s="18">
        <f t="shared" si="424"/>
        <v>1.5705572121217288</v>
      </c>
      <c r="T516" s="18" t="str">
        <f t="shared" si="413"/>
        <v>1+6.00039538495533i</v>
      </c>
      <c r="U516" s="18">
        <f t="shared" si="425"/>
        <v>6.0831525359630119</v>
      </c>
      <c r="V516" s="18">
        <f t="shared" si="426"/>
        <v>1.4056583347750333</v>
      </c>
      <c r="W516" s="32" t="str">
        <f t="shared" si="414"/>
        <v>1-2.69485212850952i</v>
      </c>
      <c r="X516" s="18">
        <f t="shared" si="427"/>
        <v>2.8744091557278844</v>
      </c>
      <c r="Y516" s="18">
        <f t="shared" si="428"/>
        <v>-1.2154686583315286</v>
      </c>
      <c r="Z516" s="32" t="str">
        <f t="shared" si="415"/>
        <v>0.08798916064409+1.4707925673297i</v>
      </c>
      <c r="AA516" s="18">
        <f t="shared" si="429"/>
        <v>1.4734221623496579</v>
      </c>
      <c r="AB516" s="18">
        <f t="shared" si="430"/>
        <v>1.5110432264187064</v>
      </c>
      <c r="AC516" s="68" t="str">
        <f t="shared" si="431"/>
        <v>-0.058164006622048-0.0148629790388819i</v>
      </c>
      <c r="AD516" s="66">
        <f t="shared" si="432"/>
        <v>-24.432200604842535</v>
      </c>
      <c r="AE516" s="63">
        <f t="shared" si="433"/>
        <v>-165.66563350685902</v>
      </c>
      <c r="AF516" s="51" t="e">
        <f t="shared" si="434"/>
        <v>#NUM!</v>
      </c>
      <c r="AG516" s="51" t="str">
        <f t="shared" si="416"/>
        <v>1-2571.59802212372i</v>
      </c>
      <c r="AH516" s="51">
        <f t="shared" si="435"/>
        <v>2571.5982165553446</v>
      </c>
      <c r="AI516" s="51">
        <f t="shared" si="436"/>
        <v>-1.5704074635507224</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-0.000133283554228113</v>
      </c>
      <c r="AT516" s="32" t="str">
        <f t="shared" si="420"/>
        <v>0.366624158020771i</v>
      </c>
      <c r="AU516" s="32">
        <f t="shared" si="444"/>
        <v>0.36662415802077097</v>
      </c>
      <c r="AV516" s="32">
        <f t="shared" si="445"/>
        <v>1.5707963267948966</v>
      </c>
      <c r="AW516" s="32" t="str">
        <f t="shared" si="421"/>
        <v>1+64.1015168132426i</v>
      </c>
      <c r="AX516" s="32">
        <f t="shared" si="446"/>
        <v>64.109316466161317</v>
      </c>
      <c r="AY516" s="32">
        <f t="shared" si="447"/>
        <v>1.5551973372716679</v>
      </c>
      <c r="AZ516" s="32" t="str">
        <f t="shared" si="422"/>
        <v>1+955.268945680273i</v>
      </c>
      <c r="BA516" s="32">
        <f t="shared" si="448"/>
        <v>955.26946909293611</v>
      </c>
      <c r="BB516" s="32">
        <f t="shared" si="449"/>
        <v>1.5697495015639069</v>
      </c>
      <c r="BC516" s="60" t="str">
        <f t="shared" si="450"/>
        <v>-0.0000788265463383059+0.00541644393435686i</v>
      </c>
      <c r="BD516" s="51">
        <f t="shared" si="451"/>
        <v>-45.324795239299512</v>
      </c>
      <c r="BE516" s="63">
        <f t="shared" si="452"/>
        <v>90.833777596726279</v>
      </c>
      <c r="BF516" s="60" t="str">
        <f t="shared" si="453"/>
        <v>0.0000850893604248394-0.00031387048355995i</v>
      </c>
      <c r="BG516" s="66">
        <f t="shared" si="454"/>
        <v>-69.756995844142054</v>
      </c>
      <c r="BH516" s="63">
        <f t="shared" si="455"/>
        <v>-74.831855910132731</v>
      </c>
      <c r="BI516" s="60" t="e">
        <f t="shared" si="460"/>
        <v>#NUM!</v>
      </c>
      <c r="BJ516" s="66" t="e">
        <f t="shared" si="456"/>
        <v>#NUM!</v>
      </c>
      <c r="BK516" s="63" t="e">
        <f t="shared" si="461"/>
        <v>#NUM!</v>
      </c>
      <c r="BL516" s="51">
        <f t="shared" si="457"/>
        <v>-69.756995844142054</v>
      </c>
      <c r="BM516" s="63">
        <f t="shared" si="458"/>
        <v>-74.831855910132731</v>
      </c>
    </row>
    <row r="517" spans="14:65" x14ac:dyDescent="0.3">
      <c r="N517" s="11">
        <v>99</v>
      </c>
      <c r="O517" s="52">
        <f t="shared" si="459"/>
        <v>977237.22095581202</v>
      </c>
      <c r="P517" s="50" t="str">
        <f t="shared" si="411"/>
        <v>21.1560044893378</v>
      </c>
      <c r="Q517" s="18" t="str">
        <f t="shared" si="412"/>
        <v>1+4279.50723066022i</v>
      </c>
      <c r="R517" s="18">
        <f t="shared" si="423"/>
        <v>4279.5073474961</v>
      </c>
      <c r="S517" s="18">
        <f t="shared" si="424"/>
        <v>1.5705626550359999</v>
      </c>
      <c r="T517" s="18" t="str">
        <f t="shared" si="413"/>
        <v>1+6.14016254833857i</v>
      </c>
      <c r="U517" s="18">
        <f t="shared" si="425"/>
        <v>6.2210606909127319</v>
      </c>
      <c r="V517" s="18">
        <f t="shared" si="426"/>
        <v>1.409351621233039</v>
      </c>
      <c r="W517" s="32" t="str">
        <f t="shared" si="414"/>
        <v>1-2.75762329833667i</v>
      </c>
      <c r="X517" s="18">
        <f t="shared" si="427"/>
        <v>2.9333404602141253</v>
      </c>
      <c r="Y517" s="18">
        <f t="shared" si="428"/>
        <v>-1.2229134607123215</v>
      </c>
      <c r="Z517" s="32" t="str">
        <f t="shared" si="415"/>
        <v>0.045007413978563+1.50505172724711i</v>
      </c>
      <c r="AA517" s="18">
        <f t="shared" si="429"/>
        <v>1.5057245329085087</v>
      </c>
      <c r="AB517" s="18">
        <f t="shared" si="430"/>
        <v>1.5409010054562473</v>
      </c>
      <c r="AC517" s="68" t="str">
        <f t="shared" si="431"/>
        <v>-0.0585135089169357-0.0128740055549929i</v>
      </c>
      <c r="AD517" s="66">
        <f t="shared" si="432"/>
        <v>-24.449574829843151</v>
      </c>
      <c r="AE517" s="63">
        <f t="shared" si="433"/>
        <v>-167.59161611651214</v>
      </c>
      <c r="AF517" s="51" t="e">
        <f t="shared" si="434"/>
        <v>#NUM!</v>
      </c>
      <c r="AG517" s="51" t="str">
        <f t="shared" si="416"/>
        <v>1-2631.49823500225i</v>
      </c>
      <c r="AH517" s="51">
        <f t="shared" si="435"/>
        <v>2631.4984250080706</v>
      </c>
      <c r="AI517" s="51">
        <f t="shared" si="436"/>
        <v>-1.5704163151579658</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-0.000133283554228113</v>
      </c>
      <c r="AT517" s="32" t="str">
        <f t="shared" si="420"/>
        <v>0.375163931703487i</v>
      </c>
      <c r="AU517" s="32">
        <f t="shared" si="444"/>
        <v>0.375163931703487</v>
      </c>
      <c r="AV517" s="32">
        <f t="shared" si="445"/>
        <v>1.5707963267948966</v>
      </c>
      <c r="AW517" s="32" t="str">
        <f t="shared" si="421"/>
        <v>1+65.5946329495581i</v>
      </c>
      <c r="AX517" s="32">
        <f t="shared" si="446"/>
        <v>65.602255081569069</v>
      </c>
      <c r="AY517" s="32">
        <f t="shared" si="447"/>
        <v>1.5555523579775015</v>
      </c>
      <c r="AZ517" s="32" t="str">
        <f t="shared" si="422"/>
        <v>1+977.520017858048i</v>
      </c>
      <c r="BA517" s="32">
        <f t="shared" si="448"/>
        <v>977.52052935639085</v>
      </c>
      <c r="BB517" s="32">
        <f t="shared" si="449"/>
        <v>1.5697733301985195</v>
      </c>
      <c r="BC517" s="60" t="str">
        <f t="shared" si="450"/>
        <v>-0.0000752795916987657+0.00529320469172838i</v>
      </c>
      <c r="BD517" s="51">
        <f t="shared" si="451"/>
        <v>-45.524747894964364</v>
      </c>
      <c r="BE517" s="63">
        <f t="shared" si="452"/>
        <v>90.814801688837122</v>
      </c>
      <c r="BF517" s="60" t="str">
        <f t="shared" si="453"/>
        <v>0.0000725496196651546-0.000308754830046907i</v>
      </c>
      <c r="BG517" s="66">
        <f t="shared" si="454"/>
        <v>-69.974322724807521</v>
      </c>
      <c r="BH517" s="63">
        <f t="shared" si="455"/>
        <v>-76.776814427675049</v>
      </c>
      <c r="BI517" s="60" t="e">
        <f t="shared" si="460"/>
        <v>#NUM!</v>
      </c>
      <c r="BJ517" s="66" t="e">
        <f t="shared" si="456"/>
        <v>#NUM!</v>
      </c>
      <c r="BK517" s="63" t="e">
        <f t="shared" si="461"/>
        <v>#NUM!</v>
      </c>
      <c r="BL517" s="51">
        <f t="shared" si="457"/>
        <v>-69.974322724807521</v>
      </c>
      <c r="BM517" s="63">
        <f t="shared" si="458"/>
        <v>-76.776814427675049</v>
      </c>
    </row>
    <row r="518" spans="14:65" x14ac:dyDescent="0.3">
      <c r="N518" s="11">
        <v>100</v>
      </c>
      <c r="O518" s="52">
        <f t="shared" si="459"/>
        <v>1000000</v>
      </c>
      <c r="P518" s="50" t="str">
        <f t="shared" si="411"/>
        <v>21.1560044893378</v>
      </c>
      <c r="Q518" s="18" t="str">
        <f t="shared" si="412"/>
        <v>1+4379.18975954942i</v>
      </c>
      <c r="R518" s="18">
        <f t="shared" si="423"/>
        <v>4379.1898737257907</v>
      </c>
      <c r="S518" s="18">
        <f t="shared" si="424"/>
        <v>1.5705679740544296</v>
      </c>
      <c r="T518" s="18" t="str">
        <f t="shared" si="413"/>
        <v>1+6.28318530717959i</v>
      </c>
      <c r="U518" s="18">
        <f t="shared" si="425"/>
        <v>6.362265131567332</v>
      </c>
      <c r="V518" s="18">
        <f t="shared" si="426"/>
        <v>1.4129651365067379</v>
      </c>
      <c r="W518" s="32" t="str">
        <f t="shared" si="414"/>
        <v>1-2.82185659653805i</v>
      </c>
      <c r="X518" s="18">
        <f t="shared" si="427"/>
        <v>2.9938060477300974</v>
      </c>
      <c r="Y518" s="18">
        <f t="shared" si="428"/>
        <v>-1.2302278481509796</v>
      </c>
      <c r="Z518" s="32" t="str">
        <f t="shared" si="415"/>
        <v>1.54010888551201i</v>
      </c>
      <c r="AA518" s="18">
        <f t="shared" si="429"/>
        <v>1.54010888551201</v>
      </c>
      <c r="AB518" s="18">
        <f t="shared" si="430"/>
        <v>1.5707963267948966</v>
      </c>
      <c r="AC518" s="68" t="str">
        <f t="shared" si="431"/>
        <v>-0.0587507797644084-0.0108709525575583i</v>
      </c>
      <c r="AD518" s="66">
        <f t="shared" si="432"/>
        <v>-24.473522543072352</v>
      </c>
      <c r="AE518" s="63">
        <f t="shared" si="433"/>
        <v>-169.51684096928093</v>
      </c>
      <c r="AF518" s="51" t="e">
        <f t="shared" si="434"/>
        <v>#NUM!</v>
      </c>
      <c r="AG518" s="51" t="str">
        <f t="shared" si="416"/>
        <v>1-2692.79370307697i</v>
      </c>
      <c r="AH518" s="51">
        <f t="shared" si="435"/>
        <v>2692.7938887577302</v>
      </c>
      <c r="AI518" s="51">
        <f t="shared" si="436"/>
        <v>-1.5704249652780868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-0.000133283554228113</v>
      </c>
      <c r="AT518" s="32" t="str">
        <f t="shared" si="420"/>
        <v>0.383902622268673i</v>
      </c>
      <c r="AU518" s="32">
        <f t="shared" si="444"/>
        <v>0.383902622268673</v>
      </c>
      <c r="AV518" s="32">
        <f t="shared" si="445"/>
        <v>1.5707963267948966</v>
      </c>
      <c r="AW518" s="32" t="str">
        <f t="shared" si="421"/>
        <v>1+67.122528228511i</v>
      </c>
      <c r="AX518" s="32">
        <f t="shared" si="446"/>
        <v>67.129976879090734</v>
      </c>
      <c r="AY518" s="32">
        <f t="shared" si="447"/>
        <v>1.5558993011389159</v>
      </c>
      <c r="AZ518" s="32" t="str">
        <f t="shared" si="422"/>
        <v>1+1000.2893840883i</v>
      </c>
      <c r="BA518" s="32">
        <f t="shared" si="448"/>
        <v>1000.289883943525</v>
      </c>
      <c r="BB518" s="32">
        <f t="shared" si="449"/>
        <v>1.5697966164283099</v>
      </c>
      <c r="BC518" s="60" t="str">
        <f t="shared" si="450"/>
        <v>-0.0000718922037960492+0.00517276710863261i</v>
      </c>
      <c r="BD518" s="51">
        <f t="shared" si="451"/>
        <v>-45.724702680989118</v>
      </c>
      <c r="BE518" s="63">
        <f t="shared" si="452"/>
        <v>90.7962575126449</v>
      </c>
      <c r="BF518" s="60" t="str">
        <f t="shared" si="453"/>
        <v>0.0000604566288612428-0.000303122564435125i</v>
      </c>
      <c r="BG518" s="66">
        <f t="shared" si="454"/>
        <v>-70.19822522406146</v>
      </c>
      <c r="BH518" s="63">
        <f t="shared" si="455"/>
        <v>-78.720583456636035</v>
      </c>
      <c r="BI518" s="60" t="e">
        <f t="shared" si="460"/>
        <v>#NUM!</v>
      </c>
      <c r="BJ518" s="66" t="e">
        <f t="shared" si="456"/>
        <v>#NUM!</v>
      </c>
      <c r="BK518" s="63" t="e">
        <f t="shared" si="461"/>
        <v>#NUM!</v>
      </c>
      <c r="BL518" s="51">
        <f t="shared" si="457"/>
        <v>-70.19822522406146</v>
      </c>
      <c r="BM518" s="63">
        <f t="shared" si="458"/>
        <v>-78.720583456636035</v>
      </c>
    </row>
    <row r="519" spans="14:65" x14ac:dyDescent="0.3">
      <c r="N519" s="11">
        <v>1</v>
      </c>
      <c r="O519" s="52">
        <f>10^(6+(N519/100))</f>
        <v>1023292.9922807553</v>
      </c>
      <c r="P519" s="50" t="str">
        <f t="shared" si="411"/>
        <v>21.1560044893378</v>
      </c>
      <c r="Q519" s="18" t="str">
        <f t="shared" si="412"/>
        <v>1+4481.19419281457i</v>
      </c>
      <c r="R519" s="18">
        <f t="shared" si="423"/>
        <v>4481.1943043919691</v>
      </c>
      <c r="S519" s="18">
        <f t="shared" si="424"/>
        <v>1.5705731719972305</v>
      </c>
      <c r="T519" s="18" t="str">
        <f t="shared" si="413"/>
        <v>1+6.42953949403828i</v>
      </c>
      <c r="U519" s="18">
        <f t="shared" si="425"/>
        <v>6.5068408698382978</v>
      </c>
      <c r="V519" s="18">
        <f t="shared" si="426"/>
        <v>1.4165004188699757</v>
      </c>
      <c r="W519" s="32" t="str">
        <f t="shared" si="414"/>
        <v>1-2.88758608045861i</v>
      </c>
      <c r="X519" s="18">
        <f t="shared" si="427"/>
        <v>3.0558392254924533</v>
      </c>
      <c r="Y519" s="18">
        <f t="shared" si="428"/>
        <v>-1.2374125672987362</v>
      </c>
      <c r="Z519" s="32" t="str">
        <f t="shared" si="415"/>
        <v>-0.0471285480509001+1.57598262989376i</v>
      </c>
      <c r="AA519" s="18">
        <f t="shared" si="429"/>
        <v>1.576687143909101</v>
      </c>
      <c r="AB519" s="18">
        <f t="shared" si="430"/>
        <v>1.6006916481335469</v>
      </c>
      <c r="AC519" s="68" t="str">
        <f t="shared" si="431"/>
        <v>-0.0588747488390062-0.00886286391825202i</v>
      </c>
      <c r="AD519" s="66">
        <f t="shared" si="432"/>
        <v>-24.504099282542477</v>
      </c>
      <c r="AE519" s="63">
        <f t="shared" si="433"/>
        <v>-171.43911185471035</v>
      </c>
      <c r="AF519" s="51" t="e">
        <f t="shared" si="434"/>
        <v>#NUM!</v>
      </c>
      <c r="AG519" s="51" t="str">
        <f t="shared" si="416"/>
        <v>1-2755.51692601641i</v>
      </c>
      <c r="AH519" s="51">
        <f t="shared" si="435"/>
        <v>2755.5171074705604</v>
      </c>
      <c r="AI519" s="51">
        <f t="shared" si="436"/>
        <v>-1.5704334184974889</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-0.000133283554228113</v>
      </c>
      <c r="AT519" s="32" t="str">
        <f t="shared" si="420"/>
        <v>0.392844863085739i</v>
      </c>
      <c r="AU519" s="32">
        <f t="shared" si="444"/>
        <v>0.39284486308573902</v>
      </c>
      <c r="AV519" s="32">
        <f t="shared" si="445"/>
        <v>1.5707963267948966</v>
      </c>
      <c r="AW519" s="32" t="str">
        <f t="shared" si="421"/>
        <v>1+68.6860127604025i</v>
      </c>
      <c r="AX519" s="32">
        <f t="shared" si="446"/>
        <v>68.693291877170765</v>
      </c>
      <c r="AY519" s="32">
        <f t="shared" si="447"/>
        <v>1.5562383503754846</v>
      </c>
      <c r="AZ519" s="32" t="str">
        <f t="shared" si="422"/>
        <v>1+1023.58911699039i</v>
      </c>
      <c r="BA519" s="32">
        <f t="shared" si="448"/>
        <v>1023.5896054675263</v>
      </c>
      <c r="BB519" s="32">
        <f t="shared" si="449"/>
        <v>1.5698193725998444</v>
      </c>
      <c r="BC519" s="60" t="str">
        <f t="shared" si="450"/>
        <v>-0.0000686572073227842+0.00505506765222144i</v>
      </c>
      <c r="BD519" s="51">
        <f t="shared" si="451"/>
        <v>-45.924659501534599</v>
      </c>
      <c r="BE519" s="63">
        <f t="shared" si="452"/>
        <v>90.778135254929182</v>
      </c>
      <c r="BF519" s="60" t="str">
        <f t="shared" si="453"/>
        <v>0.0000488445525363128-0.000297007338903213i</v>
      </c>
      <c r="BG519" s="66">
        <f t="shared" si="454"/>
        <v>-70.428758784077075</v>
      </c>
      <c r="BH519" s="63">
        <f t="shared" si="455"/>
        <v>-80.660976599781179</v>
      </c>
      <c r="BI519" s="60" t="e">
        <f t="shared" si="460"/>
        <v>#NUM!</v>
      </c>
      <c r="BJ519" s="66" t="e">
        <f t="shared" si="456"/>
        <v>#NUM!</v>
      </c>
      <c r="BK519" s="63" t="e">
        <f t="shared" si="461"/>
        <v>#NUM!</v>
      </c>
      <c r="BL519" s="51">
        <f t="shared" si="457"/>
        <v>-70.428758784077075</v>
      </c>
      <c r="BM519" s="63">
        <f t="shared" si="458"/>
        <v>-80.660976599781179</v>
      </c>
    </row>
    <row r="520" spans="14:65" x14ac:dyDescent="0.3">
      <c r="N520" s="11">
        <v>2</v>
      </c>
      <c r="O520" s="52">
        <f t="shared" ref="O520:O560" si="462">10^(6+(N520/100))</f>
        <v>1047128.5480509007</v>
      </c>
      <c r="P520" s="50" t="str">
        <f t="shared" si="411"/>
        <v>21.1560044893378</v>
      </c>
      <c r="Q520" s="18" t="str">
        <f t="shared" si="412"/>
        <v>1+4585.57461455635i</v>
      </c>
      <c r="R520" s="18">
        <f t="shared" si="423"/>
        <v>4585.5747235939371</v>
      </c>
      <c r="S520" s="18">
        <f t="shared" si="424"/>
        <v>1.5705782516204194</v>
      </c>
      <c r="T520" s="18" t="str">
        <f t="shared" si="413"/>
        <v>1+6.57930270784171i</v>
      </c>
      <c r="U520" s="18">
        <f t="shared" si="425"/>
        <v>6.6548646959508702</v>
      </c>
      <c r="V520" s="18">
        <f t="shared" si="426"/>
        <v>1.4199589891173572</v>
      </c>
      <c r="W520" s="32" t="str">
        <f t="shared" si="414"/>
        <v>1-2.95484660074075i</v>
      </c>
      <c r="X520" s="18">
        <f t="shared" si="427"/>
        <v>3.1194740636698945</v>
      </c>
      <c r="Y520" s="18">
        <f t="shared" si="428"/>
        <v>-1.2444684596380153</v>
      </c>
      <c r="Z520" s="32" t="str">
        <f t="shared" si="415"/>
        <v>-0.09647819614319+1.61269198112648i</v>
      </c>
      <c r="AA520" s="18">
        <f t="shared" si="429"/>
        <v>1.6155752747305507</v>
      </c>
      <c r="AB520" s="18">
        <f t="shared" si="430"/>
        <v>1.6305494271710899</v>
      </c>
      <c r="AC520" s="68" t="str">
        <f t="shared" si="431"/>
        <v>-0.0588853184845177-0.00685884499930534i</v>
      </c>
      <c r="AD520" s="66">
        <f t="shared" si="432"/>
        <v>-24.541334263531613</v>
      </c>
      <c r="AE520" s="63">
        <f t="shared" si="433"/>
        <v>-173.35623899358086</v>
      </c>
      <c r="AF520" s="51" t="e">
        <f t="shared" si="434"/>
        <v>#NUM!</v>
      </c>
      <c r="AG520" s="51" t="str">
        <f t="shared" si="416"/>
        <v>1-2819.70116050359i</v>
      </c>
      <c r="AH520" s="51">
        <f t="shared" si="435"/>
        <v>2819.7013378273405</v>
      </c>
      <c r="AI520" s="51">
        <f t="shared" si="436"/>
        <v>-1.5704416792981752</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-0.000133283554228113</v>
      </c>
      <c r="AT520" s="32" t="str">
        <f t="shared" si="420"/>
        <v>0.401995395449129i</v>
      </c>
      <c r="AU520" s="32">
        <f t="shared" si="444"/>
        <v>0.40199539544912899</v>
      </c>
      <c r="AV520" s="32">
        <f t="shared" si="445"/>
        <v>1.5707963267948966</v>
      </c>
      <c r="AW520" s="32" t="str">
        <f t="shared" si="421"/>
        <v>1+70.2859155254262i</v>
      </c>
      <c r="AX520" s="32">
        <f t="shared" si="446"/>
        <v>70.293028966230693</v>
      </c>
      <c r="AY520" s="32">
        <f t="shared" si="447"/>
        <v>1.5565696851436206</v>
      </c>
      <c r="AZ520" s="32" t="str">
        <f t="shared" si="422"/>
        <v>1+1047.43157039111i</v>
      </c>
      <c r="BA520" s="32">
        <f t="shared" si="448"/>
        <v>1047.4320477491544</v>
      </c>
      <c r="BB520" s="32">
        <f t="shared" si="449"/>
        <v>1.5698416107786521</v>
      </c>
      <c r="BC520" s="60" t="str">
        <f t="shared" si="450"/>
        <v>-0.0000655677493526301+0.00494004421977746i</v>
      </c>
      <c r="BD520" s="51">
        <f t="shared" si="451"/>
        <v>-46.124618265071291</v>
      </c>
      <c r="BE520" s="63">
        <f t="shared" si="452"/>
        <v>90.76042532489879</v>
      </c>
      <c r="BF520" s="60" t="str">
        <f t="shared" si="453"/>
        <v>0.0000377439753961105-0.000290446358179434i</v>
      </c>
      <c r="BG520" s="66">
        <f t="shared" si="454"/>
        <v>-70.665952528602887</v>
      </c>
      <c r="BH520" s="63">
        <f t="shared" si="455"/>
        <v>-82.595813668682098</v>
      </c>
      <c r="BI520" s="60" t="e">
        <f t="shared" si="460"/>
        <v>#NUM!</v>
      </c>
      <c r="BJ520" s="66" t="e">
        <f t="shared" si="456"/>
        <v>#NUM!</v>
      </c>
      <c r="BK520" s="63" t="e">
        <f t="shared" si="461"/>
        <v>#NUM!</v>
      </c>
      <c r="BL520" s="51">
        <f t="shared" si="457"/>
        <v>-70.665952528602887</v>
      </c>
      <c r="BM520" s="63">
        <f t="shared" si="458"/>
        <v>-82.595813668682098</v>
      </c>
    </row>
    <row r="521" spans="14:65" x14ac:dyDescent="0.3">
      <c r="N521" s="11">
        <v>3</v>
      </c>
      <c r="O521" s="52">
        <f t="shared" si="462"/>
        <v>1071519.3052376076</v>
      </c>
      <c r="P521" s="50" t="str">
        <f t="shared" si="411"/>
        <v>21.1560044893378</v>
      </c>
      <c r="Q521" s="18" t="str">
        <f t="shared" si="412"/>
        <v>1+4692.38636865603i</v>
      </c>
      <c r="R521" s="18">
        <f t="shared" si="423"/>
        <v>4692.3864752116187</v>
      </c>
      <c r="S521" s="18">
        <f t="shared" si="424"/>
        <v>1.570583215617279</v>
      </c>
      <c r="T521" s="18" t="str">
        <f t="shared" si="413"/>
        <v>1+6.73255435502821i</v>
      </c>
      <c r="U521" s="18">
        <f t="shared" si="425"/>
        <v>6.8064152197327275</v>
      </c>
      <c r="V521" s="18">
        <f t="shared" si="426"/>
        <v>1.4233423498950168</v>
      </c>
      <c r="W521" s="32" t="str">
        <f t="shared" si="414"/>
        <v>1-3.02367381980261i</v>
      </c>
      <c r="X521" s="18">
        <f t="shared" si="427"/>
        <v>3.1847454166007845</v>
      </c>
      <c r="Y521" s="18">
        <f t="shared" si="428"/>
        <v>-1.2513964551262311</v>
      </c>
      <c r="Z521" s="32" t="str">
        <f t="shared" si="415"/>
        <v>-0.14815362149688+1.65025640299409i</v>
      </c>
      <c r="AA521" s="18">
        <f t="shared" si="429"/>
        <v>1.6568933855820758</v>
      </c>
      <c r="AB521" s="18">
        <f t="shared" si="430"/>
        <v>1.660332418190605</v>
      </c>
      <c r="AC521" s="68" t="str">
        <f t="shared" si="431"/>
        <v>-0.0587833614824927-0.00486793475745105i</v>
      </c>
      <c r="AD521" s="66">
        <f t="shared" si="432"/>
        <v>-24.5852305493625</v>
      </c>
      <c r="AE521" s="63">
        <f t="shared" si="433"/>
        <v>-175.26605570517515</v>
      </c>
      <c r="AF521" s="51" t="e">
        <f t="shared" si="434"/>
        <v>#NUM!</v>
      </c>
      <c r="AG521" s="51" t="str">
        <f t="shared" si="416"/>
        <v>1-2885.38043786924i</v>
      </c>
      <c r="AH521" s="51">
        <f t="shared" si="435"/>
        <v>2885.3806111566091</v>
      </c>
      <c r="AI521" s="51">
        <f t="shared" si="436"/>
        <v>-1.5704497520601277</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-0.000133283554228113</v>
      </c>
      <c r="AT521" s="32" t="str">
        <f t="shared" si="420"/>
        <v>0.411359071092224i</v>
      </c>
      <c r="AU521" s="32">
        <f t="shared" si="444"/>
        <v>0.41135907109222403</v>
      </c>
      <c r="AV521" s="32">
        <f t="shared" si="445"/>
        <v>1.5707963267948966</v>
      </c>
      <c r="AW521" s="32" t="str">
        <f t="shared" si="421"/>
        <v>1+71.9230848132057i</v>
      </c>
      <c r="AX521" s="32">
        <f t="shared" si="446"/>
        <v>71.930036348159746</v>
      </c>
      <c r="AY521" s="32">
        <f t="shared" si="447"/>
        <v>1.5568934808302375</v>
      </c>
      <c r="AZ521" s="32" t="str">
        <f t="shared" si="422"/>
        <v>1+1071.82938587485i</v>
      </c>
      <c r="BA521" s="32">
        <f t="shared" si="448"/>
        <v>1071.8298523669034</v>
      </c>
      <c r="BB521" s="32">
        <f t="shared" si="449"/>
        <v>1.5698633427556219</v>
      </c>
      <c r="BC521" s="60" t="str">
        <f t="shared" si="450"/>
        <v>-0.0000626172848800685+0.00482763610723035i</v>
      </c>
      <c r="BD521" s="51">
        <f t="shared" si="451"/>
        <v>-46.324578884185698</v>
      </c>
      <c r="BE521" s="63">
        <f t="shared" si="452"/>
        <v>90.743118349191931</v>
      </c>
      <c r="BF521" s="60" t="str">
        <f t="shared" si="453"/>
        <v>0.0000271814720948696-0.000283479861539771i</v>
      </c>
      <c r="BG521" s="66">
        <f t="shared" si="454"/>
        <v>-70.90980943354819</v>
      </c>
      <c r="BH521" s="63">
        <f t="shared" si="455"/>
        <v>-84.522937355983203</v>
      </c>
      <c r="BI521" s="60" t="e">
        <f t="shared" si="460"/>
        <v>#NUM!</v>
      </c>
      <c r="BJ521" s="66" t="e">
        <f t="shared" si="456"/>
        <v>#NUM!</v>
      </c>
      <c r="BK521" s="63" t="e">
        <f t="shared" si="461"/>
        <v>#NUM!</v>
      </c>
      <c r="BL521" s="51">
        <f t="shared" si="457"/>
        <v>-70.90980943354819</v>
      </c>
      <c r="BM521" s="63">
        <f t="shared" si="458"/>
        <v>-84.522937355983203</v>
      </c>
    </row>
    <row r="522" spans="14:65" x14ac:dyDescent="0.3">
      <c r="N522" s="11">
        <v>4</v>
      </c>
      <c r="O522" s="52">
        <f t="shared" si="462"/>
        <v>1096478.196143186</v>
      </c>
      <c r="P522" s="50" t="str">
        <f t="shared" si="411"/>
        <v>21.1560044893378</v>
      </c>
      <c r="Q522" s="18" t="str">
        <f t="shared" si="412"/>
        <v>1+4801.68608811945i</v>
      </c>
      <c r="R522" s="18">
        <f t="shared" si="423"/>
        <v>4801.6861922495373</v>
      </c>
      <c r="S522" s="18">
        <f t="shared" si="424"/>
        <v>1.5705880666197851</v>
      </c>
      <c r="T522" s="18" t="str">
        <f t="shared" si="413"/>
        <v>1+6.88937569164964i</v>
      </c>
      <c r="U522" s="18">
        <f t="shared" si="425"/>
        <v>6.9615729128332022</v>
      </c>
      <c r="V522" s="18">
        <f t="shared" si="426"/>
        <v>1.4266519851071999</v>
      </c>
      <c r="W522" s="32" t="str">
        <f t="shared" si="414"/>
        <v>1-3.09410423074679i</v>
      </c>
      <c r="X522" s="18">
        <f t="shared" si="427"/>
        <v>3.2516889443372632</v>
      </c>
      <c r="Y522" s="18">
        <f t="shared" si="428"/>
        <v>-1.2581975659981148</v>
      </c>
      <c r="Z522" s="32" t="str">
        <f t="shared" si="415"/>
        <v>-0.20226443461741+1.6886958126503i</v>
      </c>
      <c r="AA522" s="18">
        <f t="shared" si="429"/>
        <v>1.7007658419587799</v>
      </c>
      <c r="AB522" s="18">
        <f t="shared" si="430"/>
        <v>1.6900039626343357</v>
      </c>
      <c r="AC522" s="68" t="str">
        <f t="shared" si="431"/>
        <v>-0.0585706989334087-0.00289898028907344i</v>
      </c>
      <c r="AD522" s="66">
        <f t="shared" si="432"/>
        <v>-24.635765555846394</v>
      </c>
      <c r="AE522" s="63">
        <f t="shared" si="433"/>
        <v>-177.16643473497925</v>
      </c>
      <c r="AF522" s="51" t="e">
        <f t="shared" si="434"/>
        <v>#NUM!</v>
      </c>
      <c r="AG522" s="51" t="str">
        <f t="shared" si="416"/>
        <v>1-2952.58958213556i</v>
      </c>
      <c r="AH522" s="51">
        <f t="shared" si="435"/>
        <v>2952.5897514784274</v>
      </c>
      <c r="AI522" s="51">
        <f t="shared" si="436"/>
        <v>-1.5704576410636273</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-0.000133283554228113</v>
      </c>
      <c r="AT522" s="32" t="str">
        <f t="shared" si="420"/>
        <v>0.420940854759793i</v>
      </c>
      <c r="AU522" s="32">
        <f t="shared" si="444"/>
        <v>0.42094085475979298</v>
      </c>
      <c r="AV522" s="32">
        <f t="shared" si="445"/>
        <v>1.5707963267948966</v>
      </c>
      <c r="AW522" s="32" t="str">
        <f t="shared" si="421"/>
        <v>1+73.5983886725678i</v>
      </c>
      <c r="AX522" s="32">
        <f t="shared" si="446"/>
        <v>73.605181986041956</v>
      </c>
      <c r="AY522" s="32">
        <f t="shared" si="447"/>
        <v>1.5572099088443554</v>
      </c>
      <c r="AZ522" s="32" t="str">
        <f t="shared" si="422"/>
        <v>1+1096.79549948631i</v>
      </c>
      <c r="BA522" s="32">
        <f t="shared" si="448"/>
        <v>1096.7959553597125</v>
      </c>
      <c r="BB522" s="32">
        <f t="shared" si="449"/>
        <v>1.569884580053253</v>
      </c>
      <c r="BC522" s="60" t="str">
        <f t="shared" si="450"/>
        <v>-0.0000597995630066718+0.00471778397831843i</v>
      </c>
      <c r="BD522" s="51">
        <f t="shared" si="451"/>
        <v>-46.52454127539567</v>
      </c>
      <c r="BE522" s="63">
        <f t="shared" si="452"/>
        <v>90.726205166985807</v>
      </c>
      <c r="BF522" s="60" t="str">
        <f t="shared" si="453"/>
        <v>0.0000171792649624648-0.000276150547272496i</v>
      </c>
      <c r="BG522" s="66">
        <f t="shared" si="454"/>
        <v>-71.160306831242067</v>
      </c>
      <c r="BH522" s="63">
        <f t="shared" si="455"/>
        <v>-86.440229567993455</v>
      </c>
      <c r="BI522" s="60" t="e">
        <f t="shared" si="460"/>
        <v>#NUM!</v>
      </c>
      <c r="BJ522" s="66" t="e">
        <f t="shared" si="456"/>
        <v>#NUM!</v>
      </c>
      <c r="BK522" s="63" t="e">
        <f t="shared" si="461"/>
        <v>#NUM!</v>
      </c>
      <c r="BL522" s="51">
        <f t="shared" si="457"/>
        <v>-71.160306831242067</v>
      </c>
      <c r="BM522" s="63">
        <f t="shared" si="458"/>
        <v>-86.440229567993455</v>
      </c>
    </row>
    <row r="523" spans="14:65" x14ac:dyDescent="0.3">
      <c r="N523" s="11">
        <v>5</v>
      </c>
      <c r="O523" s="52">
        <f t="shared" si="462"/>
        <v>1122018.4543019643</v>
      </c>
      <c r="P523" s="50" t="str">
        <f t="shared" si="411"/>
        <v>21.1560044893378</v>
      </c>
      <c r="Q523" s="18" t="str">
        <f t="shared" si="412"/>
        <v>1+4913.53172510462i</v>
      </c>
      <c r="R523" s="18">
        <f t="shared" si="423"/>
        <v>4913.5318268644178</v>
      </c>
      <c r="S523" s="18">
        <f t="shared" si="424"/>
        <v>1.5705928072000024</v>
      </c>
      <c r="T523" s="18" t="str">
        <f t="shared" si="413"/>
        <v>1+7.04984986645445i</v>
      </c>
      <c r="U523" s="18">
        <f t="shared" si="425"/>
        <v>7.1204201518974868</v>
      </c>
      <c r="V523" s="18">
        <f t="shared" si="426"/>
        <v>1.429889359393965</v>
      </c>
      <c r="W523" s="32" t="str">
        <f t="shared" si="414"/>
        <v>1-3.16617517670943i</v>
      </c>
      <c r="X523" s="18">
        <f t="shared" si="427"/>
        <v>3.3203411345238294</v>
      </c>
      <c r="Y523" s="18">
        <f t="shared" si="428"/>
        <v>-1.2648728807402712</v>
      </c>
      <c r="Z523" s="32" t="str">
        <f t="shared" si="415"/>
        <v>-0.25892541179417+1.7280305911789i</v>
      </c>
      <c r="AA523" s="18">
        <f t="shared" si="429"/>
        <v>1.7473214051578718</v>
      </c>
      <c r="AB523" s="18">
        <f t="shared" si="430"/>
        <v>1.7195282678874004</v>
      </c>
      <c r="AC523" s="68" t="str">
        <f t="shared" si="431"/>
        <v>-0.0582500591610638-0.000960517347180977i</v>
      </c>
      <c r="AD523" s="66">
        <f t="shared" si="432"/>
        <v>-24.692891875071027</v>
      </c>
      <c r="AE523" s="63">
        <f t="shared" si="433"/>
        <v>-179.05530391258591</v>
      </c>
      <c r="AF523" s="51" t="e">
        <f t="shared" si="434"/>
        <v>#NUM!</v>
      </c>
      <c r="AG523" s="51" t="str">
        <f t="shared" si="416"/>
        <v>1-3021.36422848048i</v>
      </c>
      <c r="AH523" s="51">
        <f t="shared" si="435"/>
        <v>3021.3643939686335</v>
      </c>
      <c r="AI523" s="51">
        <f t="shared" si="436"/>
        <v>-1.570465350491524</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-0.000133283554228113</v>
      </c>
      <c r="AT523" s="32" t="str">
        <f t="shared" si="420"/>
        <v>0.430745826840367i</v>
      </c>
      <c r="AU523" s="32">
        <f t="shared" si="444"/>
        <v>0.430745826840367</v>
      </c>
      <c r="AV523" s="32">
        <f t="shared" si="445"/>
        <v>1.5707963267948966</v>
      </c>
      <c r="AW523" s="32" t="str">
        <f t="shared" si="421"/>
        <v>1+75.3127153717938i</v>
      </c>
      <c r="AX523" s="32">
        <f t="shared" si="446"/>
        <v>75.31935406436267</v>
      </c>
      <c r="AY523" s="32">
        <f t="shared" si="447"/>
        <v>1.557519136706687</v>
      </c>
      <c r="AZ523" s="32" t="str">
        <f t="shared" si="422"/>
        <v>1+1122.34314858941i</v>
      </c>
      <c r="BA523" s="32">
        <f t="shared" si="448"/>
        <v>1122.343594085871</v>
      </c>
      <c r="BB523" s="32">
        <f t="shared" si="449"/>
        <v>1.5699053339317655</v>
      </c>
      <c r="BC523" s="60" t="str">
        <f t="shared" si="450"/>
        <v>-0.0000571086137451471+0.00461042983438621i</v>
      </c>
      <c r="BD523" s="51">
        <f t="shared" si="451"/>
        <v>-46.724505358973147</v>
      </c>
      <c r="BE523" s="63">
        <f t="shared" si="452"/>
        <v>90.709676825213648</v>
      </c>
      <c r="BF523" s="60" t="str">
        <f t="shared" si="453"/>
        <v>7.75497796314983E-06-0.000268502956796755i</v>
      </c>
      <c r="BG523" s="66">
        <f t="shared" si="454"/>
        <v>-71.417397234044159</v>
      </c>
      <c r="BH523" s="63">
        <f t="shared" si="455"/>
        <v>-88.34562708737225</v>
      </c>
      <c r="BI523" s="60" t="e">
        <f t="shared" si="460"/>
        <v>#NUM!</v>
      </c>
      <c r="BJ523" s="66" t="e">
        <f t="shared" si="456"/>
        <v>#NUM!</v>
      </c>
      <c r="BK523" s="63" t="e">
        <f t="shared" si="461"/>
        <v>#NUM!</v>
      </c>
      <c r="BL523" s="51">
        <f t="shared" si="457"/>
        <v>-71.417397234044159</v>
      </c>
      <c r="BM523" s="63">
        <f t="shared" si="458"/>
        <v>-88.34562708737225</v>
      </c>
    </row>
    <row r="524" spans="14:65" x14ac:dyDescent="0.3">
      <c r="N524" s="11">
        <v>6</v>
      </c>
      <c r="O524" s="52">
        <f t="shared" si="462"/>
        <v>1148153.6214968837</v>
      </c>
      <c r="P524" s="50" t="str">
        <f t="shared" si="411"/>
        <v>21.1560044893378</v>
      </c>
      <c r="Q524" s="18" t="str">
        <f t="shared" si="412"/>
        <v>1+5027.98258164873i</v>
      </c>
      <c r="R524" s="18">
        <f t="shared" si="423"/>
        <v>5027.9826810921923</v>
      </c>
      <c r="S524" s="18">
        <f t="shared" si="424"/>
        <v>1.5705974398714486</v>
      </c>
      <c r="T524" s="18" t="str">
        <f t="shared" si="413"/>
        <v>1+7.21406196497425i</v>
      </c>
      <c r="U524" s="18">
        <f t="shared" si="425"/>
        <v>7.2830412627204106</v>
      </c>
      <c r="V524" s="18">
        <f t="shared" si="426"/>
        <v>1.4330559176755067</v>
      </c>
      <c r="W524" s="32" t="str">
        <f t="shared" si="414"/>
        <v>1-3.23992487066003i</v>
      </c>
      <c r="X524" s="18">
        <f t="shared" si="427"/>
        <v>3.3907393246195454</v>
      </c>
      <c r="Y524" s="18">
        <f t="shared" si="428"/>
        <v>-1.2714235582494264</v>
      </c>
      <c r="Z524" s="32" t="str">
        <f t="shared" si="415"/>
        <v>-0.31825673855641+1.76828159440014i</v>
      </c>
      <c r="AA524" s="18">
        <f t="shared" si="429"/>
        <v>1.7966933930782025</v>
      </c>
      <c r="AB524" s="18">
        <f t="shared" si="430"/>
        <v>1.748870668929321</v>
      </c>
      <c r="AC524" s="68" t="str">
        <f t="shared" si="431"/>
        <v>-0.057825019243831+0.00093933993903468i</v>
      </c>
      <c r="AD524" s="66">
        <f t="shared" si="432"/>
        <v>-24.756538395570352</v>
      </c>
      <c r="AE524" s="63">
        <f t="shared" si="433"/>
        <v>179.06933916529874</v>
      </c>
      <c r="AF524" s="51" t="e">
        <f t="shared" si="434"/>
        <v>#NUM!</v>
      </c>
      <c r="AG524" s="51" t="str">
        <f t="shared" si="416"/>
        <v>1-3091.74084213183i</v>
      </c>
      <c r="AH524" s="51">
        <f t="shared" si="435"/>
        <v>3091.7410038530129</v>
      </c>
      <c r="AI524" s="51">
        <f t="shared" si="436"/>
        <v>-1.5704728844314548</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-0.000133283554228113</v>
      </c>
      <c r="AT524" s="32" t="str">
        <f t="shared" si="420"/>
        <v>0.440779186059927i</v>
      </c>
      <c r="AU524" s="32">
        <f t="shared" si="444"/>
        <v>0.440779186059927</v>
      </c>
      <c r="AV524" s="32">
        <f t="shared" si="445"/>
        <v>1.5707963267948966</v>
      </c>
      <c r="AW524" s="32" t="str">
        <f t="shared" si="421"/>
        <v>1+77.0669738695916i</v>
      </c>
      <c r="AX524" s="32">
        <f t="shared" si="446"/>
        <v>77.073461459936496</v>
      </c>
      <c r="AY524" s="32">
        <f t="shared" si="447"/>
        <v>1.5578213281372508</v>
      </c>
      <c r="AZ524" s="32" t="str">
        <f t="shared" si="422"/>
        <v>1+1148.48587888586i</v>
      </c>
      <c r="BA524" s="32">
        <f t="shared" si="448"/>
        <v>1148.4863142415875</v>
      </c>
      <c r="BB524" s="32">
        <f t="shared" si="449"/>
        <v>1.5699256153950687</v>
      </c>
      <c r="BC524" s="60" t="str">
        <f t="shared" si="450"/>
        <v>-0.0000545387354136722+0.00450551698480652i</v>
      </c>
      <c r="BD524" s="51">
        <f t="shared" si="451"/>
        <v>-46.924471058776184</v>
      </c>
      <c r="BE524" s="63">
        <f t="shared" si="452"/>
        <v>90.693524573886947</v>
      </c>
      <c r="BF524" s="60" t="str">
        <f t="shared" si="453"/>
        <v>-1.07850862499807E-06-0.000260582836762243i</v>
      </c>
      <c r="BG524" s="66">
        <f t="shared" si="454"/>
        <v>-71.681009454346537</v>
      </c>
      <c r="BH524" s="63">
        <f t="shared" si="455"/>
        <v>-90.23713626081431</v>
      </c>
      <c r="BI524" s="60" t="e">
        <f t="shared" si="460"/>
        <v>#NUM!</v>
      </c>
      <c r="BJ524" s="66" t="e">
        <f t="shared" si="456"/>
        <v>#NUM!</v>
      </c>
      <c r="BK524" s="63" t="e">
        <f t="shared" si="461"/>
        <v>#NUM!</v>
      </c>
      <c r="BL524" s="51">
        <f t="shared" si="457"/>
        <v>-71.681009454346537</v>
      </c>
      <c r="BM524" s="63">
        <f t="shared" si="458"/>
        <v>-90.23713626081431</v>
      </c>
    </row>
    <row r="525" spans="14:65" x14ac:dyDescent="0.3">
      <c r="N525" s="11">
        <v>7</v>
      </c>
      <c r="O525" s="52">
        <f t="shared" si="462"/>
        <v>1174897.5549395324</v>
      </c>
      <c r="P525" s="50" t="str">
        <f t="shared" si="411"/>
        <v>21.1560044893378</v>
      </c>
      <c r="Q525" s="18" t="str">
        <f t="shared" si="412"/>
        <v>1+5145.09934111085i</v>
      </c>
      <c r="R525" s="18">
        <f t="shared" si="423"/>
        <v>5145.0994382907029</v>
      </c>
      <c r="S525" s="18">
        <f t="shared" si="424"/>
        <v>1.5706019670904263</v>
      </c>
      <c r="T525" s="18" t="str">
        <f t="shared" si="413"/>
        <v>1+7.38209905463729i</v>
      </c>
      <c r="U525" s="18">
        <f t="shared" si="425"/>
        <v>7.449522565404898</v>
      </c>
      <c r="V525" s="18">
        <f t="shared" si="426"/>
        <v>1.4361530847588038</v>
      </c>
      <c r="W525" s="32" t="str">
        <f t="shared" si="414"/>
        <v>1-3.31539241566255i</v>
      </c>
      <c r="X525" s="18">
        <f t="shared" si="427"/>
        <v>3.4629217244738233</v>
      </c>
      <c r="Y525" s="18">
        <f t="shared" si="428"/>
        <v>-1.2778508221837264</v>
      </c>
      <c r="Z525" s="32" t="str">
        <f t="shared" si="415"/>
        <v>-0.38038426460289+1.8094701639287i</v>
      </c>
      <c r="AA525" s="18">
        <f t="shared" si="429"/>
        <v>1.8490198654707954</v>
      </c>
      <c r="AB525" s="18">
        <f t="shared" si="430"/>
        <v>1.7779978681405291</v>
      </c>
      <c r="AC525" s="68" t="str">
        <f t="shared" si="431"/>
        <v>-0.0572999313720884+0.00279299735668947i</v>
      </c>
      <c r="AD525" s="66">
        <f t="shared" si="432"/>
        <v>-24.826611688349658</v>
      </c>
      <c r="AE525" s="63">
        <f t="shared" si="433"/>
        <v>177.20941369598705</v>
      </c>
      <c r="AF525" s="51" t="e">
        <f t="shared" si="434"/>
        <v>#NUM!</v>
      </c>
      <c r="AG525" s="51" t="str">
        <f t="shared" si="416"/>
        <v>1-3163.7567377017i</v>
      </c>
      <c r="AH525" s="51">
        <f t="shared" si="435"/>
        <v>3163.7568957416597</v>
      </c>
      <c r="AI525" s="51">
        <f t="shared" si="436"/>
        <v>-1.5704802468780115</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-0.000133283554228113</v>
      </c>
      <c r="AT525" s="32" t="str">
        <f t="shared" si="420"/>
        <v>0.451046252238338i</v>
      </c>
      <c r="AU525" s="32">
        <f t="shared" si="444"/>
        <v>0.451046252238338</v>
      </c>
      <c r="AV525" s="32">
        <f t="shared" si="445"/>
        <v>1.5707963267948966</v>
      </c>
      <c r="AW525" s="32" t="str">
        <f t="shared" si="421"/>
        <v>1+78.8620942970373i</v>
      </c>
      <c r="AX525" s="32">
        <f t="shared" si="446"/>
        <v>78.868434223805934</v>
      </c>
      <c r="AY525" s="32">
        <f t="shared" si="447"/>
        <v>1.5581166431410483</v>
      </c>
      <c r="AZ525" s="32" t="str">
        <f t="shared" si="422"/>
        <v>1+1175.23755159731i</v>
      </c>
      <c r="BA525" s="32">
        <f t="shared" si="448"/>
        <v>1175.2379770431348</v>
      </c>
      <c r="BB525" s="32">
        <f t="shared" si="449"/>
        <v>1.5699454351965962</v>
      </c>
      <c r="BC525" s="60" t="str">
        <f t="shared" si="450"/>
        <v>-0.0000520844825943075+0.00440299001801873i</v>
      </c>
      <c r="BD525" s="51">
        <f t="shared" si="451"/>
        <v>-47.124438302087135</v>
      </c>
      <c r="BE525" s="63">
        <f t="shared" si="452"/>
        <v>90.677739861520777</v>
      </c>
      <c r="BF525" s="60" t="str">
        <f t="shared" si="453"/>
        <v>-9.31310220365188E-06-0.000252436497686674i</v>
      </c>
      <c r="BG525" s="66">
        <f t="shared" si="454"/>
        <v>-71.9510499904368</v>
      </c>
      <c r="BH525" s="63">
        <f t="shared" si="455"/>
        <v>-92.112846442492156</v>
      </c>
      <c r="BI525" s="60" t="e">
        <f t="shared" si="460"/>
        <v>#NUM!</v>
      </c>
      <c r="BJ525" s="66" t="e">
        <f t="shared" si="456"/>
        <v>#NUM!</v>
      </c>
      <c r="BK525" s="63" t="e">
        <f t="shared" si="461"/>
        <v>#NUM!</v>
      </c>
      <c r="BL525" s="51">
        <f t="shared" si="457"/>
        <v>-71.9510499904368</v>
      </c>
      <c r="BM525" s="63">
        <f t="shared" si="458"/>
        <v>-92.112846442492156</v>
      </c>
    </row>
    <row r="526" spans="14:65" x14ac:dyDescent="0.3">
      <c r="N526" s="11">
        <v>8</v>
      </c>
      <c r="O526" s="52">
        <f t="shared" si="462"/>
        <v>1202264.4346174158</v>
      </c>
      <c r="P526" s="50" t="str">
        <f t="shared" si="411"/>
        <v>21.1560044893378</v>
      </c>
      <c r="Q526" s="18" t="str">
        <f t="shared" si="412"/>
        <v>1+5264.94410034706i</v>
      </c>
      <c r="R526" s="18">
        <f t="shared" si="423"/>
        <v>5264.9441953148289</v>
      </c>
      <c r="S526" s="18">
        <f t="shared" si="424"/>
        <v>1.5706063912573267</v>
      </c>
      <c r="T526" s="18" t="str">
        <f t="shared" si="413"/>
        <v>1+7.55405023093272i</v>
      </c>
      <c r="U526" s="18">
        <f t="shared" si="425"/>
        <v>7.6199524205505815</v>
      </c>
      <c r="V526" s="18">
        <f t="shared" si="426"/>
        <v>1.4391822650024904</v>
      </c>
      <c r="W526" s="32" t="str">
        <f t="shared" si="414"/>
        <v>1-3.39261782560825i</v>
      </c>
      <c r="X526" s="18">
        <f t="shared" si="427"/>
        <v>3.5369274392662979</v>
      </c>
      <c r="Y526" s="18">
        <f t="shared" si="428"/>
        <v>-1.2841559555144582</v>
      </c>
      <c r="Z526" s="32" t="str">
        <f t="shared" si="415"/>
        <v>-0.44543977074593+1.85161813848935i</v>
      </c>
      <c r="AA526" s="18">
        <f t="shared" si="429"/>
        <v>1.9044438348622814</v>
      </c>
      <c r="AB526" s="18">
        <f t="shared" si="430"/>
        <v>1.8068781493300075</v>
      </c>
      <c r="AC526" s="68" t="str">
        <f t="shared" si="431"/>
        <v>-0.0566798366979795+0.00459346468726088i</v>
      </c>
      <c r="AD526" s="66">
        <f t="shared" si="432"/>
        <v>-24.90299762208128</v>
      </c>
      <c r="AE526" s="63">
        <f t="shared" si="433"/>
        <v>175.36674370081712</v>
      </c>
      <c r="AF526" s="51" t="e">
        <f t="shared" si="434"/>
        <v>#NUM!</v>
      </c>
      <c r="AG526" s="51" t="str">
        <f t="shared" si="416"/>
        <v>1-3237.45009897117i</v>
      </c>
      <c r="AH526" s="51">
        <f t="shared" si="435"/>
        <v>3237.4502534137009</v>
      </c>
      <c r="AI526" s="51">
        <f t="shared" si="436"/>
        <v>-1.5704874417348569</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-0.000133283554228113</v>
      </c>
      <c r="AT526" s="32" t="str">
        <f t="shared" si="420"/>
        <v>0.461552469109989i</v>
      </c>
      <c r="AU526" s="32">
        <f t="shared" si="444"/>
        <v>0.46155246910998898</v>
      </c>
      <c r="AV526" s="32">
        <f t="shared" si="445"/>
        <v>1.5707963267948966</v>
      </c>
      <c r="AW526" s="32" t="str">
        <f t="shared" si="421"/>
        <v>1+80.6990284507423i</v>
      </c>
      <c r="AX526" s="32">
        <f t="shared" si="446"/>
        <v>80.705224074366569</v>
      </c>
      <c r="AY526" s="32">
        <f t="shared" si="447"/>
        <v>1.5584052380918474</v>
      </c>
      <c r="AZ526" s="32" t="str">
        <f t="shared" si="422"/>
        <v>1+1202.61235081472i</v>
      </c>
      <c r="BA526" s="32">
        <f t="shared" si="448"/>
        <v>1202.612766576219</v>
      </c>
      <c r="BB526" s="32">
        <f t="shared" si="449"/>
        <v>1.5699648038450069</v>
      </c>
      <c r="BC526" s="60" t="str">
        <f t="shared" si="450"/>
        <v>-0.0000497406546303528+0.00430279477317148i</v>
      </c>
      <c r="BD526" s="51">
        <f t="shared" si="451"/>
        <v>-47.324407019459272</v>
      </c>
      <c r="BE526" s="63">
        <f t="shared" si="452"/>
        <v>90.66231433066001</v>
      </c>
      <c r="BF526" s="60" t="str">
        <f t="shared" si="453"/>
        <v>-0.0000169454436653949-0.000244110187028845i</v>
      </c>
      <c r="BG526" s="66">
        <f t="shared" si="454"/>
        <v>-72.227404641540559</v>
      </c>
      <c r="BH526" s="63">
        <f t="shared" si="455"/>
        <v>-93.970941968522865</v>
      </c>
      <c r="BI526" s="60" t="e">
        <f t="shared" si="460"/>
        <v>#NUM!</v>
      </c>
      <c r="BJ526" s="66" t="e">
        <f t="shared" si="456"/>
        <v>#NUM!</v>
      </c>
      <c r="BK526" s="63" t="e">
        <f t="shared" si="461"/>
        <v>#NUM!</v>
      </c>
      <c r="BL526" s="51">
        <f t="shared" si="457"/>
        <v>-72.227404641540559</v>
      </c>
      <c r="BM526" s="63">
        <f t="shared" si="458"/>
        <v>-93.970941968522865</v>
      </c>
    </row>
    <row r="527" spans="14:65" x14ac:dyDescent="0.3">
      <c r="N527" s="11">
        <v>9</v>
      </c>
      <c r="O527" s="52">
        <f t="shared" si="462"/>
        <v>1230268.770812382</v>
      </c>
      <c r="P527" s="50" t="str">
        <f t="shared" si="411"/>
        <v>21.1560044893378</v>
      </c>
      <c r="Q527" s="18" t="str">
        <f t="shared" si="412"/>
        <v>1+5387.58040263503i</v>
      </c>
      <c r="R527" s="18">
        <f t="shared" si="423"/>
        <v>5387.5804954410687</v>
      </c>
      <c r="S527" s="18">
        <f t="shared" si="424"/>
        <v>1.5706107147179007</v>
      </c>
      <c r="T527" s="18" t="str">
        <f t="shared" si="413"/>
        <v>1+7.73000666465025i</v>
      </c>
      <c r="U527" s="18">
        <f t="shared" si="425"/>
        <v>7.7944212764988059</v>
      </c>
      <c r="V527" s="18">
        <f t="shared" si="426"/>
        <v>1.4421448420360514</v>
      </c>
      <c r="W527" s="32" t="str">
        <f t="shared" si="414"/>
        <v>1-3.47164204643168i</v>
      </c>
      <c r="X527" s="18">
        <f t="shared" si="427"/>
        <v>3.612796492822747</v>
      </c>
      <c r="Y527" s="18">
        <f t="shared" si="428"/>
        <v>-1.2903402952838288</v>
      </c>
      <c r="Z527" s="32" t="str">
        <f t="shared" si="415"/>
        <v>-0.51356124843621+1.89474786549608i</v>
      </c>
      <c r="AA527" s="18">
        <f t="shared" si="429"/>
        <v>1.9631135040280556</v>
      </c>
      <c r="AB527" s="18">
        <f t="shared" si="430"/>
        <v>1.8354815629364403</v>
      </c>
      <c r="AC527" s="68" t="str">
        <f t="shared" si="431"/>
        <v>-0.0559703696611111+0.00633442397747159i</v>
      </c>
      <c r="AD527" s="66">
        <f t="shared" si="432"/>
        <v>-24.985563166245655</v>
      </c>
      <c r="AE527" s="63">
        <f t="shared" si="433"/>
        <v>173.54304769810329</v>
      </c>
      <c r="AF527" s="51" t="e">
        <f t="shared" si="434"/>
        <v>#NUM!</v>
      </c>
      <c r="AG527" s="51" t="str">
        <f t="shared" si="416"/>
        <v>1-3312.85999913583i</v>
      </c>
      <c r="AH527" s="51">
        <f t="shared" si="435"/>
        <v>3312.8601500628201</v>
      </c>
      <c r="AI527" s="51">
        <f t="shared" si="436"/>
        <v>-1.5704944728167964</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-0.000133283554228113</v>
      </c>
      <c r="AT527" s="32" t="str">
        <f t="shared" si="420"/>
        <v>0.47230340721013i</v>
      </c>
      <c r="AU527" s="32">
        <f t="shared" si="444"/>
        <v>0.47230340721012998</v>
      </c>
      <c r="AV527" s="32">
        <f t="shared" si="445"/>
        <v>1.5707963267948966</v>
      </c>
      <c r="AW527" s="32" t="str">
        <f t="shared" si="421"/>
        <v>1+82.5787502975096i</v>
      </c>
      <c r="AX527" s="32">
        <f t="shared" si="446"/>
        <v>82.584804901982068</v>
      </c>
      <c r="AY527" s="32">
        <f t="shared" si="447"/>
        <v>1.5586872658141111</v>
      </c>
      <c r="AZ527" s="32" t="str">
        <f t="shared" si="422"/>
        <v>1+1230.62479101898i</v>
      </c>
      <c r="BA527" s="32">
        <f t="shared" si="448"/>
        <v>1230.6251973165952</v>
      </c>
      <c r="BB527" s="32">
        <f t="shared" si="449"/>
        <v>1.5699837316097562</v>
      </c>
      <c r="BC527" s="60" t="str">
        <f t="shared" si="450"/>
        <v>-0.0000475022846386807+0.00420487831236087i</v>
      </c>
      <c r="BD527" s="51">
        <f t="shared" si="451"/>
        <v>-47.524377144569321</v>
      </c>
      <c r="BE527" s="63">
        <f t="shared" si="452"/>
        <v>90.647239813504356</v>
      </c>
      <c r="BF527" s="60" t="str">
        <f t="shared" si="453"/>
        <v>-0.0000239767615731947-0.000235649493133627i</v>
      </c>
      <c r="BG527" s="66">
        <f t="shared" si="454"/>
        <v>-72.509940310814983</v>
      </c>
      <c r="BH527" s="63">
        <f t="shared" si="455"/>
        <v>-95.80971248839235</v>
      </c>
      <c r="BI527" s="60" t="e">
        <f t="shared" si="460"/>
        <v>#NUM!</v>
      </c>
      <c r="BJ527" s="66" t="e">
        <f t="shared" si="456"/>
        <v>#NUM!</v>
      </c>
      <c r="BK527" s="63" t="e">
        <f t="shared" si="461"/>
        <v>#NUM!</v>
      </c>
      <c r="BL527" s="51">
        <f t="shared" si="457"/>
        <v>-72.509940310814983</v>
      </c>
      <c r="BM527" s="63">
        <f t="shared" si="458"/>
        <v>-95.80971248839235</v>
      </c>
    </row>
    <row r="528" spans="14:65" x14ac:dyDescent="0.3">
      <c r="N528" s="11">
        <v>10</v>
      </c>
      <c r="O528" s="52">
        <f t="shared" si="462"/>
        <v>1258925.4117941677</v>
      </c>
      <c r="P528" s="50" t="str">
        <f t="shared" si="411"/>
        <v>21.1560044893378</v>
      </c>
      <c r="Q528" s="18" t="str">
        <f t="shared" si="412"/>
        <v>1+5513.07327136555i</v>
      </c>
      <c r="R528" s="18">
        <f t="shared" si="423"/>
        <v>5513.0733620590645</v>
      </c>
      <c r="S528" s="18">
        <f t="shared" si="424"/>
        <v>1.5706149397645035</v>
      </c>
      <c r="T528" s="18" t="str">
        <f t="shared" si="413"/>
        <v>1+7.91006165022012i</v>
      </c>
      <c r="U528" s="18">
        <f t="shared" si="425"/>
        <v>7.9730217176603162</v>
      </c>
      <c r="V528" s="18">
        <f t="shared" si="426"/>
        <v>1.445042178529621</v>
      </c>
      <c r="W528" s="32" t="str">
        <f t="shared" si="414"/>
        <v>1-3.55250697782075i</v>
      </c>
      <c r="X528" s="18">
        <f t="shared" si="427"/>
        <v>3.6905698513190508</v>
      </c>
      <c r="Y528" s="18">
        <f t="shared" si="428"/>
        <v>-1.2964052275727163</v>
      </c>
      <c r="Z528" s="32" t="str">
        <f t="shared" si="415"/>
        <v>-0.58489319246111+1.93888221290106i</v>
      </c>
      <c r="AA528" s="18">
        <f t="shared" si="429"/>
        <v>2.0251825305614952</v>
      </c>
      <c r="AB528" s="18">
        <f t="shared" si="430"/>
        <v>1.8637800803008411</v>
      </c>
      <c r="AC528" s="68" t="str">
        <f t="shared" si="431"/>
        <v>-0.0551776559330055+0.00801028107741374i</v>
      </c>
      <c r="AD528" s="66">
        <f t="shared" si="432"/>
        <v>-25.074158338201087</v>
      </c>
      <c r="AE528" s="63">
        <f t="shared" si="433"/>
        <v>171.73993013903174</v>
      </c>
      <c r="AF528" s="51" t="e">
        <f t="shared" si="434"/>
        <v>#NUM!</v>
      </c>
      <c r="AG528" s="51" t="str">
        <f t="shared" si="416"/>
        <v>1-3390.02642152291i</v>
      </c>
      <c r="AH528" s="51">
        <f t="shared" si="435"/>
        <v>3390.0265690143824</v>
      </c>
      <c r="AI528" s="51">
        <f t="shared" si="436"/>
        <v>-1.5705013438518003</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-0.000133283554228113</v>
      </c>
      <c r="AT528" s="32" t="str">
        <f t="shared" si="420"/>
        <v>0.48330476682845i</v>
      </c>
      <c r="AU528" s="32">
        <f t="shared" si="444"/>
        <v>0.48330476682845003</v>
      </c>
      <c r="AV528" s="32">
        <f t="shared" si="445"/>
        <v>1.5707963267948966</v>
      </c>
      <c r="AW528" s="32" t="str">
        <f t="shared" si="421"/>
        <v>1+84.5022564907438i</v>
      </c>
      <c r="AX528" s="32">
        <f t="shared" si="446"/>
        <v>84.508173285354189</v>
      </c>
      <c r="AY528" s="32">
        <f t="shared" si="447"/>
        <v>1.5589628756631089</v>
      </c>
      <c r="AZ528" s="32" t="str">
        <f t="shared" si="422"/>
        <v>1+1259.28972477669i</v>
      </c>
      <c r="BA528" s="32">
        <f t="shared" si="448"/>
        <v>1259.2901218258451</v>
      </c>
      <c r="BB528" s="32">
        <f t="shared" si="449"/>
        <v>1.5700022285265414</v>
      </c>
      <c r="BC528" s="60" t="str">
        <f t="shared" si="450"/>
        <v>-0.0000453646290140927+0.00410918889345305i</v>
      </c>
      <c r="BD528" s="51">
        <f t="shared" si="451"/>
        <v>-47.724348614077378</v>
      </c>
      <c r="BE528" s="63">
        <f t="shared" si="452"/>
        <v>90.632508327630362</v>
      </c>
      <c r="BF528" s="60" t="str">
        <f t="shared" si="453"/>
        <v>-0.0000304126441454776-0.000227098794356055i</v>
      </c>
      <c r="BG528" s="66">
        <f t="shared" si="454"/>
        <v>-72.798506952278487</v>
      </c>
      <c r="BH528" s="63">
        <f t="shared" si="455"/>
        <v>-97.627561533337897</v>
      </c>
      <c r="BI528" s="60" t="e">
        <f t="shared" si="460"/>
        <v>#NUM!</v>
      </c>
      <c r="BJ528" s="66" t="e">
        <f t="shared" si="456"/>
        <v>#NUM!</v>
      </c>
      <c r="BK528" s="63" t="e">
        <f t="shared" si="461"/>
        <v>#NUM!</v>
      </c>
      <c r="BL528" s="51">
        <f t="shared" si="457"/>
        <v>-72.798506952278487</v>
      </c>
      <c r="BM528" s="63">
        <f t="shared" si="458"/>
        <v>-97.627561533337897</v>
      </c>
    </row>
    <row r="529" spans="14:65" x14ac:dyDescent="0.3">
      <c r="N529" s="11">
        <v>11</v>
      </c>
      <c r="O529" s="52">
        <f t="shared" si="462"/>
        <v>1288249.5516931366</v>
      </c>
      <c r="P529" s="50" t="str">
        <f t="shared" si="411"/>
        <v>21.1560044893378</v>
      </c>
      <c r="Q529" s="18" t="str">
        <f t="shared" si="412"/>
        <v>1+5641.48924451871i</v>
      </c>
      <c r="R529" s="18">
        <f t="shared" si="423"/>
        <v>5641.4893331477879</v>
      </c>
      <c r="S529" s="18">
        <f t="shared" si="424"/>
        <v>1.5706190686373103</v>
      </c>
      <c r="T529" s="18" t="str">
        <f t="shared" si="413"/>
        <v>1+8.094310655179i</v>
      </c>
      <c r="U529" s="18">
        <f t="shared" si="425"/>
        <v>8.1558485139526873</v>
      </c>
      <c r="V529" s="18">
        <f t="shared" si="426"/>
        <v>1.4478756160108579</v>
      </c>
      <c r="W529" s="32" t="str">
        <f t="shared" si="414"/>
        <v>1-3.63525549543246i</v>
      </c>
      <c r="X529" s="18">
        <f t="shared" si="427"/>
        <v>3.770289447386221</v>
      </c>
      <c r="Y529" s="18">
        <f t="shared" si="428"/>
        <v>-1.3023521826808369</v>
      </c>
      <c r="Z529" s="32" t="str">
        <f t="shared" si="415"/>
        <v>-0.65958690743756+1.98404458131946i</v>
      </c>
      <c r="AA529" s="18">
        <f t="shared" si="429"/>
        <v>2.0908103187822071</v>
      </c>
      <c r="AB529" s="18">
        <f t="shared" si="430"/>
        <v>1.8917477158667315</v>
      </c>
      <c r="AC529" s="68" t="str">
        <f t="shared" si="431"/>
        <v>-0.0543082071271275+0.00961620018032019i</v>
      </c>
      <c r="AD529" s="66">
        <f t="shared" si="432"/>
        <v>-25.168618249118101</v>
      </c>
      <c r="AE529" s="63">
        <f t="shared" si="433"/>
        <v>169.95887467170027</v>
      </c>
      <c r="AF529" s="51" t="e">
        <f t="shared" si="434"/>
        <v>#NUM!</v>
      </c>
      <c r="AG529" s="51" t="str">
        <f t="shared" si="416"/>
        <v>1-3468.99028079101i</v>
      </c>
      <c r="AH529" s="51">
        <f t="shared" si="435"/>
        <v>3468.9904249251672</v>
      </c>
      <c r="AI529" s="51">
        <f t="shared" si="436"/>
        <v>-1.5705080584829796</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-0.000133283554228113</v>
      </c>
      <c r="AT529" s="32" t="str">
        <f t="shared" si="420"/>
        <v>0.494562381031437i</v>
      </c>
      <c r="AU529" s="32">
        <f t="shared" si="444"/>
        <v>0.49456238103143702</v>
      </c>
      <c r="AV529" s="32">
        <f t="shared" si="445"/>
        <v>1.5707963267948966</v>
      </c>
      <c r="AW529" s="32" t="str">
        <f t="shared" si="421"/>
        <v>1+86.4705668988891i</v>
      </c>
      <c r="AX529" s="32">
        <f t="shared" si="446"/>
        <v>86.476349019921372</v>
      </c>
      <c r="AY529" s="32">
        <f t="shared" si="447"/>
        <v>1.5592322136032499</v>
      </c>
      <c r="AZ529" s="32" t="str">
        <f t="shared" si="422"/>
        <v>1+1288.62235061515i</v>
      </c>
      <c r="BA529" s="32">
        <f t="shared" si="448"/>
        <v>1288.6227386263656</v>
      </c>
      <c r="BB529" s="32">
        <f t="shared" si="449"/>
        <v>1.570020304402622</v>
      </c>
      <c r="BC529" s="60" t="str">
        <f t="shared" si="450"/>
        <v>-0.0000433231574037851+0.00401567594348172i</v>
      </c>
      <c r="BD529" s="51">
        <f t="shared" si="451"/>
        <v>-47.924321367492517</v>
      </c>
      <c r="BE529" s="63">
        <f t="shared" si="452"/>
        <v>90.618112071807928</v>
      </c>
      <c r="BF529" s="60" t="str">
        <f t="shared" si="453"/>
        <v>-0.0000362627407261305-0.000218500765048067i</v>
      </c>
      <c r="BG529" s="66">
        <f t="shared" si="454"/>
        <v>-73.092939616610607</v>
      </c>
      <c r="BH529" s="63">
        <f t="shared" si="455"/>
        <v>-99.423013256491799</v>
      </c>
      <c r="BI529" s="60" t="e">
        <f t="shared" si="460"/>
        <v>#NUM!</v>
      </c>
      <c r="BJ529" s="66" t="e">
        <f t="shared" si="456"/>
        <v>#NUM!</v>
      </c>
      <c r="BK529" s="63" t="e">
        <f t="shared" si="461"/>
        <v>#NUM!</v>
      </c>
      <c r="BL529" s="51">
        <f t="shared" si="457"/>
        <v>-73.092939616610607</v>
      </c>
      <c r="BM529" s="63">
        <f t="shared" si="458"/>
        <v>-99.423013256491799</v>
      </c>
    </row>
    <row r="530" spans="14:65" x14ac:dyDescent="0.3">
      <c r="N530" s="11">
        <v>12</v>
      </c>
      <c r="O530" s="52">
        <f t="shared" si="462"/>
        <v>1318256.7385564097</v>
      </c>
      <c r="P530" s="50" t="str">
        <f t="shared" si="411"/>
        <v>21.1560044893378</v>
      </c>
      <c r="Q530" s="18" t="str">
        <f t="shared" si="412"/>
        <v>1+5772.89640994324i</v>
      </c>
      <c r="R530" s="18">
        <f t="shared" si="423"/>
        <v>5772.8964965548748</v>
      </c>
      <c r="S530" s="18">
        <f t="shared" si="424"/>
        <v>1.5706231035255036</v>
      </c>
      <c r="T530" s="18" t="str">
        <f t="shared" si="413"/>
        <v>1+8.28285137078812i</v>
      </c>
      <c r="U530" s="18">
        <f t="shared" si="425"/>
        <v>8.3429986713750957</v>
      </c>
      <c r="V530" s="18">
        <f t="shared" si="426"/>
        <v>1.4506464747255516</v>
      </c>
      <c r="W530" s="32" t="str">
        <f t="shared" si="414"/>
        <v>1-3.71993147362614i</v>
      </c>
      <c r="X530" s="18">
        <f t="shared" si="427"/>
        <v>3.8519982046302079</v>
      </c>
      <c r="Y530" s="18">
        <f t="shared" si="428"/>
        <v>-1.3081826305204147</v>
      </c>
      <c r="Z530" s="32" t="str">
        <f t="shared" si="415"/>
        <v>-0.73780082874938+2.03025891643681i</v>
      </c>
      <c r="AA530" s="18">
        <f t="shared" si="429"/>
        <v>2.1601623389630791</v>
      </c>
      <c r="AB530" s="18">
        <f t="shared" si="430"/>
        <v>1.9193606170895525</v>
      </c>
      <c r="AC530" s="68" t="str">
        <f t="shared" si="431"/>
        <v>-0.0533688152833812+0.0111481217147026i</v>
      </c>
      <c r="AD530" s="66">
        <f t="shared" si="432"/>
        <v>-25.268765204329512</v>
      </c>
      <c r="AE530" s="63">
        <f t="shared" si="433"/>
        <v>168.20123924555676</v>
      </c>
      <c r="AF530" s="51" t="e">
        <f t="shared" si="434"/>
        <v>#NUM!</v>
      </c>
      <c r="AG530" s="51" t="str">
        <f t="shared" si="416"/>
        <v>1-3549.79344462349i</v>
      </c>
      <c r="AH530" s="51">
        <f t="shared" si="435"/>
        <v>3549.7935854767534</v>
      </c>
      <c r="AI530" s="51">
        <f t="shared" si="436"/>
        <v>-1.570514620270518</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-0.000133283554228113</v>
      </c>
      <c r="AT530" s="32" t="str">
        <f t="shared" si="420"/>
        <v>0.506082218755154i</v>
      </c>
      <c r="AU530" s="32">
        <f t="shared" si="444"/>
        <v>0.50608221875515402</v>
      </c>
      <c r="AV530" s="32">
        <f t="shared" si="445"/>
        <v>1.5707963267948966</v>
      </c>
      <c r="AW530" s="32" t="str">
        <f t="shared" si="421"/>
        <v>1+88.4847251461775i</v>
      </c>
      <c r="AX530" s="32">
        <f t="shared" si="446"/>
        <v>88.490375658568524</v>
      </c>
      <c r="AY530" s="32">
        <f t="shared" si="447"/>
        <v>1.5594954222846771</v>
      </c>
      <c r="AZ530" s="32" t="str">
        <f t="shared" si="422"/>
        <v>1+1318.63822108084i</v>
      </c>
      <c r="BA530" s="32">
        <f t="shared" si="448"/>
        <v>1318.6386002598445</v>
      </c>
      <c r="BB530" s="32">
        <f t="shared" si="449"/>
        <v>1.5700379688220192</v>
      </c>
      <c r="BC530" s="60" t="str">
        <f t="shared" si="450"/>
        <v>-0.0000413735431309566+0.0039242900326099i</v>
      </c>
      <c r="BD530" s="51">
        <f t="shared" si="451"/>
        <v>-48.124295347044921</v>
      </c>
      <c r="BE530" s="63">
        <f t="shared" si="452"/>
        <v>90.60404342190995</v>
      </c>
      <c r="BF530" s="60" t="str">
        <f t="shared" si="453"/>
        <v>-0.0000415404059463544-0.000209895947163364i</v>
      </c>
      <c r="BG530" s="66">
        <f t="shared" si="454"/>
        <v>-73.393060551374433</v>
      </c>
      <c r="BH530" s="63">
        <f t="shared" si="455"/>
        <v>-101.19471733253329</v>
      </c>
      <c r="BI530" s="60" t="e">
        <f t="shared" si="460"/>
        <v>#NUM!</v>
      </c>
      <c r="BJ530" s="66" t="e">
        <f t="shared" si="456"/>
        <v>#NUM!</v>
      </c>
      <c r="BK530" s="63" t="e">
        <f t="shared" si="461"/>
        <v>#NUM!</v>
      </c>
      <c r="BL530" s="51">
        <f t="shared" si="457"/>
        <v>-73.393060551374433</v>
      </c>
      <c r="BM530" s="63">
        <f t="shared" si="458"/>
        <v>-101.19471733253329</v>
      </c>
    </row>
    <row r="531" spans="14:65" x14ac:dyDescent="0.3">
      <c r="N531" s="11">
        <v>13</v>
      </c>
      <c r="O531" s="52">
        <f t="shared" si="462"/>
        <v>1348962.8825916562</v>
      </c>
      <c r="P531" s="50" t="str">
        <f t="shared" ref="P531:P560" si="463">COMPLEX(Adc,0)</f>
        <v>21.1560044893378</v>
      </c>
      <c r="Q531" s="18" t="str">
        <f t="shared" ref="Q531:Q560" si="464">IMSUM(COMPLEX(1,0),IMDIV(COMPLEX(0,2*PI()*O531),COMPLEX(wp_lf,0)))</f>
        <v>1+5907.36444145764i</v>
      </c>
      <c r="R531" s="18">
        <f t="shared" si="423"/>
        <v>5907.3645260977537</v>
      </c>
      <c r="S531" s="18">
        <f t="shared" si="424"/>
        <v>1.5706270465684338</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1-3.80657980872625i</v>
      </c>
      <c r="X531" s="18">
        <f t="shared" si="427"/>
        <v>3.9357400625806549</v>
      </c>
      <c r="Y531" s="18">
        <f t="shared" si="428"/>
        <v>-1.3138980762232009</v>
      </c>
      <c r="Z531" s="32" t="str">
        <f t="shared" ref="Z531:Z560" si="467">IMSUM(COMPLEX(1,0),IMDIV(COMPLEX(0,2*PI()*O531),COMPLEX(Q*(wsl/2),0)),IMDIV(IMPOWER(COMPLEX(0,2*PI()*O531),2),IMPOWER(COMPLEX(wsl/2,0),2)))</f>
        <v>-0.81970085860999+2.0775497217053i</v>
      </c>
      <c r="AA531" s="18">
        <f t="shared" si="429"/>
        <v>2.233410473639748</v>
      </c>
      <c r="AB531" s="18">
        <f t="shared" si="430"/>
        <v>1.9465971226924319</v>
      </c>
      <c r="AC531" s="68" t="str">
        <f t="shared" si="431"/>
        <v>-0.052366449877754+0.0126027644824347i</v>
      </c>
      <c r="AD531" s="66">
        <f t="shared" si="432"/>
        <v>-25.3744108157439</v>
      </c>
      <c r="AE531" s="63">
        <f t="shared" si="433"/>
        <v>166.4682530195596</v>
      </c>
      <c r="AF531" s="51" t="e">
        <f t="shared" si="434"/>
        <v>#NUM!</v>
      </c>
      <c r="AG531" s="51" t="str">
        <f t="shared" ref="AG531:AG560" si="468">IMSUM(COMPLEX(1,0),IMDIV(COMPLEX(0,2*PI()*O531),COMPLEX(wp_lf_DCM,0)))</f>
        <v>1-3632.47875592737i</v>
      </c>
      <c r="AH531" s="51">
        <f t="shared" si="435"/>
        <v>3632.4788935744218</v>
      </c>
      <c r="AI531" s="51">
        <f t="shared" si="436"/>
        <v>-1.5705210326935599</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-0.000133283554228113</v>
      </c>
      <c r="AT531" s="32" t="str">
        <f t="shared" ref="AT531:AT560" si="472">COMPLEX(0,2*PI()*O531*wp0_ea)</f>
        <v>0.517870387970044i</v>
      </c>
      <c r="AU531" s="32">
        <f t="shared" si="444"/>
        <v>0.51787038797004403</v>
      </c>
      <c r="AV531" s="32">
        <f t="shared" si="445"/>
        <v>1.5707963267948966</v>
      </c>
      <c r="AW531" s="32" t="str">
        <f t="shared" ref="AW531:AW560" si="473">IMSUM(COMPLEX(1,0),IMDIV(COMPLEX(0,2*PI()*O531),COMPLEX(wp1_ea,0)))</f>
        <v>1+90.5457991659719i</v>
      </c>
      <c r="AX531" s="32">
        <f t="shared" si="446"/>
        <v>90.551321064932665</v>
      </c>
      <c r="AY531" s="32">
        <f t="shared" si="447"/>
        <v>1.5597526411181555</v>
      </c>
      <c r="AZ531" s="32" t="str">
        <f t="shared" ref="AZ531:AZ560" si="474">IMSUM(COMPLEX(1,0),IMDIV(COMPLEX(0,2*PI()*O531),COMPLEX(wz_ea,0)))</f>
        <v>1+1349.35325098558i</v>
      </c>
      <c r="BA531" s="32">
        <f t="shared" si="448"/>
        <v>1349.3536215334191</v>
      </c>
      <c r="BB531" s="32">
        <f t="shared" si="449"/>
        <v>1.570055231150598</v>
      </c>
      <c r="BC531" s="60" t="str">
        <f t="shared" si="450"/>
        <v>-0.0000395116540475326+0.00383498284864607i</v>
      </c>
      <c r="BD531" s="51">
        <f t="shared" si="451"/>
        <v>-48.32427049756356</v>
      </c>
      <c r="BE531" s="63">
        <f t="shared" si="452"/>
        <v>90.590294926912506</v>
      </c>
      <c r="BF531" s="60" t="str">
        <f t="shared" si="453"/>
        <v>-0.0000462623005843957-0.000201322393195943i</v>
      </c>
      <c r="BG531" s="66">
        <f t="shared" si="454"/>
        <v>-73.698681313307475</v>
      </c>
      <c r="BH531" s="63">
        <f t="shared" si="455"/>
        <v>-102.9414520535279</v>
      </c>
      <c r="BI531" s="60" t="e">
        <f t="shared" si="460"/>
        <v>#NUM!</v>
      </c>
      <c r="BJ531" s="66" t="e">
        <f t="shared" si="456"/>
        <v>#NUM!</v>
      </c>
      <c r="BK531" s="63" t="e">
        <f t="shared" si="461"/>
        <v>#NUM!</v>
      </c>
      <c r="BL531" s="51">
        <f t="shared" si="457"/>
        <v>-73.698681313307475</v>
      </c>
      <c r="BM531" s="63">
        <f t="shared" si="458"/>
        <v>-102.9414520535279</v>
      </c>
    </row>
    <row r="532" spans="14:65" x14ac:dyDescent="0.3">
      <c r="N532" s="11">
        <v>14</v>
      </c>
      <c r="O532" s="52">
        <f t="shared" si="462"/>
        <v>1380384.2646028849</v>
      </c>
      <c r="P532" s="50" t="str">
        <f t="shared" si="463"/>
        <v>21.1560044893378</v>
      </c>
      <c r="Q532" s="18" t="str">
        <f t="shared" si="464"/>
        <v>1+6044.9646357921i</v>
      </c>
      <c r="R532" s="18">
        <f t="shared" ref="R532:R560" si="475">IMABS(Q532)</f>
        <v>6044.9647185055692</v>
      </c>
      <c r="S532" s="18">
        <f t="shared" ref="S532:S560" si="476">IMARGUMENT(Q532)</f>
        <v>1.5706308998567542</v>
      </c>
      <c r="T532" s="18" t="str">
        <f t="shared" si="465"/>
        <v>1+8.67321012961474i</v>
      </c>
      <c r="U532" s="18">
        <f t="shared" ref="U532:U560" si="477">IMABS(T532)</f>
        <v>8.7306685856497683</v>
      </c>
      <c r="V532" s="18">
        <f t="shared" ref="V532:V560" si="478">IMARGUMENT(T532)</f>
        <v>1.4560056298736781</v>
      </c>
      <c r="W532" s="32" t="str">
        <f t="shared" si="466"/>
        <v>1-3.89524644282698i</v>
      </c>
      <c r="X532" s="18">
        <f t="shared" ref="X532:X560" si="479">IMABS(W532)</f>
        <v>4.0215600020833016</v>
      </c>
      <c r="Y532" s="18">
        <f t="shared" ref="Y532:Y560" si="480">IMARGUMENT(W532)</f>
        <v>-1.3195000559596044</v>
      </c>
      <c r="Z532" s="32" t="str">
        <f t="shared" si="467"/>
        <v>-0.90546071796324+2.12594207133586i</v>
      </c>
      <c r="AA532" s="18">
        <f t="shared" ref="AA532:AA560" si="481">IMABS(Z532)</f>
        <v>2.3107333906035796</v>
      </c>
      <c r="AB532" s="18">
        <f t="shared" ref="AB532:AB560" si="482">IMARGUMENT(Z532)</f>
        <v>1.9734377906594518</v>
      </c>
      <c r="AC532" s="68" t="str">
        <f t="shared" ref="AC532:AC560" si="483">(IMDIV(IMPRODUCT(P532,T532,W532),IMPRODUCT(Q532,Z532)))</f>
        <v>-0.0513081597563963+0.0139776133841561i</v>
      </c>
      <c r="AD532" s="66">
        <f t="shared" ref="AD532:AD560" si="484">20*LOG(IMABS(AC532))</f>
        <v>-25.485358087315003</v>
      </c>
      <c r="AE532" s="63">
        <f t="shared" ref="AE532:AE560" si="485">(180/PI())*IMARGUMENT(AC532)</f>
        <v>164.76101499425252</v>
      </c>
      <c r="AF532" s="51" t="e">
        <f t="shared" ref="AF532:AF560" si="486">COMPLEX($B$68,0)</f>
        <v>#NUM!</v>
      </c>
      <c r="AG532" s="51" t="str">
        <f t="shared" si="468"/>
        <v>1-3717.09005554918i</v>
      </c>
      <c r="AH532" s="51">
        <f t="shared" ref="AH532:AH560" si="487">IMABS(AG532)</f>
        <v>3717.0901900630024</v>
      </c>
      <c r="AI532" s="51">
        <f t="shared" ref="AI532:AI560" si="488">IMARGUMENT(AG532)</f>
        <v>-1.5705272991520549</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-0.000133283554228113</v>
      </c>
      <c r="AT532" s="32" t="str">
        <f t="shared" si="472"/>
        <v>0.529933138919461i</v>
      </c>
      <c r="AU532" s="32">
        <f t="shared" ref="AU532:AU560" si="496">IMABS(AT532)</f>
        <v>0.52993313891946103</v>
      </c>
      <c r="AV532" s="32">
        <f t="shared" ref="AV532:AV560" si="497">IMARGUMENT(AT532)</f>
        <v>1.5707963267948966</v>
      </c>
      <c r="AW532" s="32" t="str">
        <f t="shared" si="473"/>
        <v>1+92.6548817669994i</v>
      </c>
      <c r="AX532" s="32">
        <f t="shared" ref="AX532:AX560" si="498">IMABS(AW532)</f>
        <v>92.660277979599428</v>
      </c>
      <c r="AY532" s="32">
        <f t="shared" ref="AY532:AY560" si="499">IMARGUMENT(AW532)</f>
        <v>1.5600040063482927</v>
      </c>
      <c r="AZ532" s="32" t="str">
        <f t="shared" si="474"/>
        <v>1+1380.7837258448i</v>
      </c>
      <c r="BA532" s="32">
        <f t="shared" ref="BA532:BA560" si="500">IMABS(AZ532)</f>
        <v>1380.7840879579428</v>
      </c>
      <c r="BB532" s="32">
        <f t="shared" ref="BB532:BB560" si="501">IMARGUMENT(AZ532)</f>
        <v>1.5700721005410323</v>
      </c>
      <c r="BC532" s="60" t="str">
        <f t="shared" ref="BC532:BC560" si="502">IMPRODUCT(AS532,IMDIV(AZ532,IMPRODUCT(AT532,AW532)))</f>
        <v>-0.0000377335437968551+0.0037477071721048i</v>
      </c>
      <c r="BD532" s="51">
        <f t="shared" ref="BD532:BD560" si="503">20*LOG(IMABS(BC532))</f>
        <v>-48.52424676635912</v>
      </c>
      <c r="BE532" s="63">
        <f t="shared" ref="BE532:BE560" si="504">(180/PI())*IMARGUMENT(BC532)</f>
        <v>90.57685930498414</v>
      </c>
      <c r="BF532" s="60" t="str">
        <f t="shared" ref="BF532:BF560" si="505">IMPRODUCT(AC532,BC532)</f>
        <v>-0.0000504479632354058-0.000192815383193352i</v>
      </c>
      <c r="BG532" s="66">
        <f t="shared" ref="BG532:BG560" si="506">20*LOG(IMABS(BF532))</f>
        <v>-74.009604853674119</v>
      </c>
      <c r="BH532" s="63">
        <f t="shared" ref="BH532:BH560" si="507">(180/PI())*IMARGUMENT(BF532)</f>
        <v>-104.66212570076328</v>
      </c>
      <c r="BI532" s="60" t="e">
        <f t="shared" si="460"/>
        <v>#NUM!</v>
      </c>
      <c r="BJ532" s="66" t="e">
        <f t="shared" ref="BJ532:BJ560" si="508">20*LOG(IMABS(BI532))</f>
        <v>#NUM!</v>
      </c>
      <c r="BK532" s="63" t="e">
        <f t="shared" si="461"/>
        <v>#NUM!</v>
      </c>
      <c r="BL532" s="51">
        <f t="shared" ref="BL532:BL560" si="509">IF($B$31=0,BJ532,BG532)</f>
        <v>-74.009604853674119</v>
      </c>
      <c r="BM532" s="63">
        <f t="shared" ref="BM532:BM560" si="510">IF($B$31=0,BK532,BH532)</f>
        <v>-104.66212570076328</v>
      </c>
    </row>
    <row r="533" spans="14:65" x14ac:dyDescent="0.3">
      <c r="N533" s="11">
        <v>15</v>
      </c>
      <c r="O533" s="52">
        <f t="shared" si="462"/>
        <v>1412537.5446227565</v>
      </c>
      <c r="P533" s="50" t="str">
        <f t="shared" si="463"/>
        <v>21.1560044893378</v>
      </c>
      <c r="Q533" s="18" t="str">
        <f t="shared" si="464"/>
        <v>1+6185.76995039105i</v>
      </c>
      <c r="R533" s="18">
        <f t="shared" si="475"/>
        <v>6185.7700312217303</v>
      </c>
      <c r="S533" s="18">
        <f t="shared" si="476"/>
        <v>1.5706346654335288</v>
      </c>
      <c r="T533" s="18" t="str">
        <f t="shared" si="465"/>
        <v>1+8.87523514621323i</v>
      </c>
      <c r="U533" s="18">
        <f t="shared" si="477"/>
        <v>8.9313940065691089</v>
      </c>
      <c r="V533" s="18">
        <f t="shared" si="478"/>
        <v>1.4585964596847956</v>
      </c>
      <c r="W533" s="32" t="str">
        <f t="shared" si="466"/>
        <v>1-3.98597838815139i</v>
      </c>
      <c r="X533" s="18">
        <f t="shared" si="479"/>
        <v>4.1095040711514024</v>
      </c>
      <c r="Y533" s="18">
        <f t="shared" si="480"/>
        <v>-1.3249901329677383</v>
      </c>
      <c r="Z533" s="32" t="str">
        <f t="shared" si="467"/>
        <v>-0.99526231496888+2.17546162359282i</v>
      </c>
      <c r="AA533" s="18">
        <f t="shared" si="481"/>
        <v>2.3923169420714978</v>
      </c>
      <c r="AB533" s="18">
        <f t="shared" si="482"/>
        <v>1.9998653979891217</v>
      </c>
      <c r="AC533" s="68" t="str">
        <f t="shared" si="483"/>
        <v>-0.0502009819787796+0.0152708944134881i</v>
      </c>
      <c r="AD533" s="66">
        <f t="shared" si="484"/>
        <v>-25.601403438867962</v>
      </c>
      <c r="AE533" s="63">
        <f t="shared" si="485"/>
        <v>163.08049425182276</v>
      </c>
      <c r="AF533" s="51" t="e">
        <f t="shared" si="486"/>
        <v>#NUM!</v>
      </c>
      <c r="AG533" s="51" t="str">
        <f t="shared" si="468"/>
        <v>1-3803.67220551996i</v>
      </c>
      <c r="AH533" s="51">
        <f t="shared" si="487"/>
        <v>3803.6723369718738</v>
      </c>
      <c r="AI533" s="51">
        <f t="shared" si="488"/>
        <v>-1.5705334229685601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-0.000133283554228113</v>
      </c>
      <c r="AT533" s="32" t="str">
        <f t="shared" si="472"/>
        <v>0.542276867433629i</v>
      </c>
      <c r="AU533" s="32">
        <f t="shared" si="496"/>
        <v>0.54227686743362902</v>
      </c>
      <c r="AV533" s="32">
        <f t="shared" si="497"/>
        <v>1.5707963267948966</v>
      </c>
      <c r="AW533" s="32" t="str">
        <f t="shared" si="473"/>
        <v>1+94.8130912127725i</v>
      </c>
      <c r="AX533" s="32">
        <f t="shared" si="498"/>
        <v>94.818364599488419</v>
      </c>
      <c r="AY533" s="32">
        <f t="shared" si="499"/>
        <v>1.5602496511251296</v>
      </c>
      <c r="AZ533" s="32" t="str">
        <f t="shared" si="474"/>
        <v>1+1412.94631051229i</v>
      </c>
      <c r="BA533" s="32">
        <f t="shared" si="500"/>
        <v>1412.9466643827334</v>
      </c>
      <c r="BB533" s="32">
        <f t="shared" si="501"/>
        <v>1.5700885859376579</v>
      </c>
      <c r="BC533" s="60" t="str">
        <f t="shared" si="502"/>
        <v>-0.0000360354434680389+0.00366241685180131i</v>
      </c>
      <c r="BD533" s="51">
        <f t="shared" si="503"/>
        <v>-48.724224103112796</v>
      </c>
      <c r="BE533" s="63">
        <f t="shared" si="504"/>
        <v>90.563729439662211</v>
      </c>
      <c r="BF533" s="60" t="str">
        <f t="shared" si="505"/>
        <v>-0.0000541193663939009-0.0001844072158284i</v>
      </c>
      <c r="BG533" s="66">
        <f t="shared" si="506"/>
        <v>-74.325627541980751</v>
      </c>
      <c r="BH533" s="63">
        <f t="shared" si="507"/>
        <v>-106.355776308515</v>
      </c>
      <c r="BI533" s="60" t="e">
        <f t="shared" si="460"/>
        <v>#NUM!</v>
      </c>
      <c r="BJ533" s="66" t="e">
        <f t="shared" si="508"/>
        <v>#NUM!</v>
      </c>
      <c r="BK533" s="63" t="e">
        <f t="shared" si="461"/>
        <v>#NUM!</v>
      </c>
      <c r="BL533" s="51">
        <f t="shared" si="509"/>
        <v>-74.325627541980751</v>
      </c>
      <c r="BM533" s="63">
        <f t="shared" si="510"/>
        <v>-106.355776308515</v>
      </c>
    </row>
    <row r="534" spans="14:65" x14ac:dyDescent="0.3">
      <c r="N534" s="11">
        <v>16</v>
      </c>
      <c r="O534" s="52">
        <f t="shared" si="462"/>
        <v>1445439.7707459298</v>
      </c>
      <c r="P534" s="50" t="str">
        <f t="shared" si="463"/>
        <v>21.1560044893378</v>
      </c>
      <c r="Q534" s="18" t="str">
        <f t="shared" si="464"/>
        <v>1+6329.85504209603i</v>
      </c>
      <c r="R534" s="18">
        <f t="shared" si="475"/>
        <v>6329.8551210867809</v>
      </c>
      <c r="S534" s="18">
        <f t="shared" si="476"/>
        <v>1.5706383452953157</v>
      </c>
      <c r="T534" s="18" t="str">
        <f t="shared" si="465"/>
        <v>1+9.08196592996386i</v>
      </c>
      <c r="U534" s="18">
        <f t="shared" si="477"/>
        <v>9.136854226320148</v>
      </c>
      <c r="V534" s="18">
        <f t="shared" si="478"/>
        <v>1.4611297774636762</v>
      </c>
      <c r="W534" s="32" t="str">
        <f t="shared" si="466"/>
        <v>1-4.07882375197785i</v>
      </c>
      <c r="X534" s="18">
        <f t="shared" si="479"/>
        <v>4.1996194112917733</v>
      </c>
      <c r="Y534" s="18">
        <f t="shared" si="480"/>
        <v>-1.3303698937893302</v>
      </c>
      <c r="Z534" s="32" t="str">
        <f t="shared" si="467"/>
        <v>-1.08929613085404+2.22613463439824i</v>
      </c>
      <c r="AA534" s="18">
        <f t="shared" si="481"/>
        <v>2.4783545894728158</v>
      </c>
      <c r="AB534" s="18">
        <f t="shared" si="482"/>
        <v>2.0258649147268804</v>
      </c>
      <c r="AC534" s="68" t="str">
        <f t="shared" si="483"/>
        <v>-0.049051859106542+0.0164815388298924i</v>
      </c>
      <c r="AD534" s="66">
        <f t="shared" si="484"/>
        <v>-25.722338638567376</v>
      </c>
      <c r="AE534" s="63">
        <f t="shared" si="485"/>
        <v>161.4275316598482</v>
      </c>
      <c r="AF534" s="51" t="e">
        <f t="shared" si="486"/>
        <v>#NUM!</v>
      </c>
      <c r="AG534" s="51" t="str">
        <f t="shared" si="468"/>
        <v>1-3892.27111284166i</v>
      </c>
      <c r="AH534" s="51">
        <f t="shared" si="487"/>
        <v>3892.2712413013633</v>
      </c>
      <c r="AI534" s="51">
        <f t="shared" si="488"/>
        <v>-1.5705394073900025</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-0.000133283554228113</v>
      </c>
      <c r="AT534" s="32" t="str">
        <f t="shared" si="472"/>
        <v>0.554908118320792i</v>
      </c>
      <c r="AU534" s="32">
        <f t="shared" si="496"/>
        <v>0.55490811832079201</v>
      </c>
      <c r="AV534" s="32">
        <f t="shared" si="497"/>
        <v>1.5707963267948966</v>
      </c>
      <c r="AW534" s="32" t="str">
        <f t="shared" si="473"/>
        <v>1+97.0215718145061i</v>
      </c>
      <c r="AX534" s="32">
        <f t="shared" si="498"/>
        <v>97.026725170735133</v>
      </c>
      <c r="AY534" s="32">
        <f t="shared" si="499"/>
        <v>1.5604897055741294</v>
      </c>
      <c r="AZ534" s="32" t="str">
        <f t="shared" si="474"/>
        <v>1+1445.85805801618i</v>
      </c>
      <c r="BA534" s="32">
        <f t="shared" si="500"/>
        <v>1445.8584038315505</v>
      </c>
      <c r="BB534" s="32">
        <f t="shared" si="501"/>
        <v>1.5701046960812144</v>
      </c>
      <c r="BC534" s="60" t="str">
        <f t="shared" si="502"/>
        <v>-0.0000344137536245126+0.00357906678097086i</v>
      </c>
      <c r="BD534" s="51">
        <f t="shared" si="503"/>
        <v>-48.924202459769084</v>
      </c>
      <c r="BE534" s="63">
        <f t="shared" si="504"/>
        <v>90.550898376114304</v>
      </c>
      <c r="BF534" s="60" t="str">
        <f t="shared" si="505"/>
        <v>-0.0000573004695312324-0.000176127071089732i</v>
      </c>
      <c r="BG534" s="66">
        <f t="shared" si="506"/>
        <v>-74.646541098336471</v>
      </c>
      <c r="BH534" s="63">
        <f t="shared" si="507"/>
        <v>-108.02156996403751</v>
      </c>
      <c r="BI534" s="60" t="e">
        <f t="shared" si="460"/>
        <v>#NUM!</v>
      </c>
      <c r="BJ534" s="66" t="e">
        <f t="shared" si="508"/>
        <v>#NUM!</v>
      </c>
      <c r="BK534" s="63" t="e">
        <f t="shared" si="461"/>
        <v>#NUM!</v>
      </c>
      <c r="BL534" s="51">
        <f t="shared" si="509"/>
        <v>-74.646541098336471</v>
      </c>
      <c r="BM534" s="63">
        <f t="shared" si="510"/>
        <v>-108.02156996403751</v>
      </c>
    </row>
    <row r="535" spans="14:65" x14ac:dyDescent="0.3">
      <c r="N535" s="11">
        <v>17</v>
      </c>
      <c r="O535" s="52">
        <f t="shared" si="462"/>
        <v>1479108.3881682095</v>
      </c>
      <c r="P535" s="50" t="str">
        <f t="shared" si="463"/>
        <v>21.1560044893378</v>
      </c>
      <c r="Q535" s="18" t="str">
        <f t="shared" si="464"/>
        <v>1+6477.29630672986i</v>
      </c>
      <c r="R535" s="18">
        <f t="shared" si="475"/>
        <v>6477.2963839225604</v>
      </c>
      <c r="S535" s="18">
        <f t="shared" si="476"/>
        <v>1.5706419413932258</v>
      </c>
      <c r="T535" s="18" t="str">
        <f t="shared" si="465"/>
        <v>1+9.29351209226457i</v>
      </c>
      <c r="U535" s="18">
        <f t="shared" si="477"/>
        <v>9.3471582317337383</v>
      </c>
      <c r="V535" s="18">
        <f t="shared" si="478"/>
        <v>1.4636067962738264</v>
      </c>
      <c r="W535" s="32" t="str">
        <f t="shared" si="466"/>
        <v>1-4.17383176214723i</v>
      </c>
      <c r="X535" s="18">
        <f t="shared" si="479"/>
        <v>4.2919542843218919</v>
      </c>
      <c r="Y535" s="18">
        <f t="shared" si="480"/>
        <v>-1.3356409447087336</v>
      </c>
      <c r="Z535" s="32" t="str">
        <f t="shared" si="467"/>
        <v>-1.18776162394955+2.2779879712532i</v>
      </c>
      <c r="AA535" s="18">
        <f t="shared" si="481"/>
        <v>2.5690478532914764</v>
      </c>
      <c r="AB535" s="18">
        <f t="shared" si="482"/>
        <v>2.0514234551530359</v>
      </c>
      <c r="AC535" s="68" t="str">
        <f t="shared" si="483"/>
        <v>-0.0478675660209082+0.0176091385402107i</v>
      </c>
      <c r="AD535" s="66">
        <f t="shared" si="484"/>
        <v>-25.847952619676185</v>
      </c>
      <c r="AE535" s="63">
        <f t="shared" si="485"/>
        <v>159.80284287399758</v>
      </c>
      <c r="AF535" s="51" t="e">
        <f t="shared" si="486"/>
        <v>#NUM!</v>
      </c>
      <c r="AG535" s="51" t="str">
        <f t="shared" si="468"/>
        <v>1-3982.93375382768i</v>
      </c>
      <c r="AH535" s="51">
        <f t="shared" si="487"/>
        <v>3982.9338793632833</v>
      </c>
      <c r="AI535" s="51">
        <f t="shared" si="488"/>
        <v>-1.5705452555893997</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-0.000133283554228113</v>
      </c>
      <c r="AT535" s="32" t="str">
        <f t="shared" si="472"/>
        <v>0.567833588837365i</v>
      </c>
      <c r="AU535" s="32">
        <f t="shared" si="496"/>
        <v>0.56783358883736501</v>
      </c>
      <c r="AV535" s="32">
        <f t="shared" si="497"/>
        <v>1.5707963267948966</v>
      </c>
      <c r="AW535" s="32" t="str">
        <f t="shared" si="473"/>
        <v>1+99.2814945378479i</v>
      </c>
      <c r="AX535" s="32">
        <f t="shared" si="498"/>
        <v>99.286530595387035</v>
      </c>
      <c r="AY535" s="32">
        <f t="shared" si="499"/>
        <v>1.560724296864608</v>
      </c>
      <c r="AZ535" s="32" t="str">
        <f t="shared" si="474"/>
        <v>1+1479.53641860061i</v>
      </c>
      <c r="BA535" s="32">
        <f t="shared" si="500"/>
        <v>1479.5367565442637</v>
      </c>
      <c r="BB535" s="32">
        <f t="shared" si="501"/>
        <v>1.5701204395134796</v>
      </c>
      <c r="BC535" s="60" t="str">
        <f t="shared" si="502"/>
        <v>-0.0000328650366900121+0.00349761287390203i</v>
      </c>
      <c r="BD535" s="51">
        <f t="shared" si="503"/>
        <v>-49.124181790434747</v>
      </c>
      <c r="BE535" s="63">
        <f t="shared" si="504"/>
        <v>90.538359317483213</v>
      </c>
      <c r="BF535" s="60" t="str">
        <f t="shared" si="505"/>
        <v>-0.0000600167803430266-0.000168000940141287i</v>
      </c>
      <c r="BG535" s="66">
        <f t="shared" si="506"/>
        <v>-74.972134410110954</v>
      </c>
      <c r="BH535" s="63">
        <f t="shared" si="507"/>
        <v>-109.65879780851927</v>
      </c>
      <c r="BI535" s="60" t="e">
        <f t="shared" si="460"/>
        <v>#NUM!</v>
      </c>
      <c r="BJ535" s="66" t="e">
        <f t="shared" si="508"/>
        <v>#NUM!</v>
      </c>
      <c r="BK535" s="63" t="e">
        <f t="shared" si="461"/>
        <v>#NUM!</v>
      </c>
      <c r="BL535" s="51">
        <f t="shared" si="509"/>
        <v>-74.972134410110954</v>
      </c>
      <c r="BM535" s="63">
        <f t="shared" si="510"/>
        <v>-109.65879780851927</v>
      </c>
    </row>
    <row r="536" spans="14:65" x14ac:dyDescent="0.3">
      <c r="N536" s="11">
        <v>18</v>
      </c>
      <c r="O536" s="52">
        <f t="shared" si="462"/>
        <v>1513561.2484362102</v>
      </c>
      <c r="P536" s="50" t="str">
        <f t="shared" si="463"/>
        <v>21.1560044893378</v>
      </c>
      <c r="Q536" s="18" t="str">
        <f t="shared" si="464"/>
        <v>1+6628.17191960268i</v>
      </c>
      <c r="R536" s="18">
        <f t="shared" si="475"/>
        <v>6628.1719950382603</v>
      </c>
      <c r="S536" s="18">
        <f t="shared" si="476"/>
        <v>1.5706454556339577</v>
      </c>
      <c r="T536" s="18" t="str">
        <f t="shared" si="465"/>
        <v>1+9.50998579769079i</v>
      </c>
      <c r="U536" s="18">
        <f t="shared" si="477"/>
        <v>9.5624175746659645</v>
      </c>
      <c r="V536" s="18">
        <f t="shared" si="478"/>
        <v>1.4660287078128771</v>
      </c>
      <c r="W536" s="32" t="str">
        <f t="shared" si="466"/>
        <v>1-4.27105279316409i</v>
      </c>
      <c r="X536" s="18">
        <f t="shared" si="479"/>
        <v>4.386558099694426</v>
      </c>
      <c r="Y536" s="18">
        <f t="shared" si="480"/>
        <v>-1.3408049083906191</v>
      </c>
      <c r="Z536" s="32" t="str">
        <f t="shared" si="467"/>
        <v>-1.29086765276778+2.33104912748325i</v>
      </c>
      <c r="AA536" s="18">
        <f t="shared" si="481"/>
        <v>2.6646067874458739</v>
      </c>
      <c r="AB536" s="18">
        <f t="shared" si="482"/>
        <v>2.0765302092245674</v>
      </c>
      <c r="AC536" s="68" t="str">
        <f t="shared" si="483"/>
        <v>-0.0466546469159384+0.0186538947406476i</v>
      </c>
      <c r="AD536" s="66">
        <f t="shared" si="484"/>
        <v>-25.978033162727925</v>
      </c>
      <c r="AE536" s="63">
        <f t="shared" si="485"/>
        <v>158.20702246227472</v>
      </c>
      <c r="AF536" s="51" t="e">
        <f t="shared" si="486"/>
        <v>#NUM!</v>
      </c>
      <c r="AG536" s="51" t="str">
        <f t="shared" si="468"/>
        <v>1-4075.70819901034i</v>
      </c>
      <c r="AH536" s="51">
        <f t="shared" si="487"/>
        <v>4075.7083216884043</v>
      </c>
      <c r="AI536" s="51">
        <f t="shared" si="488"/>
        <v>-1.5705509706675427</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-0.000133283554228113</v>
      </c>
      <c r="AT536" s="32" t="str">
        <f t="shared" si="472"/>
        <v>0.581060132238907i</v>
      </c>
      <c r="AU536" s="32">
        <f t="shared" si="496"/>
        <v>0.58106013223890696</v>
      </c>
      <c r="AV536" s="32">
        <f t="shared" si="497"/>
        <v>1.5707963267948966</v>
      </c>
      <c r="AW536" s="32" t="str">
        <f t="shared" si="473"/>
        <v>1+101.59405762374i</v>
      </c>
      <c r="AX536" s="32">
        <f t="shared" si="498"/>
        <v>101.59897905223164</v>
      </c>
      <c r="AY536" s="32">
        <f t="shared" si="499"/>
        <v>1.5609535492766309</v>
      </c>
      <c r="AZ536" s="32" t="str">
        <f t="shared" si="474"/>
        <v>1+1513.99924897817i</v>
      </c>
      <c r="BA536" s="32">
        <f t="shared" si="500"/>
        <v>1513.9995792292884</v>
      </c>
      <c r="BB536" s="32">
        <f t="shared" si="501"/>
        <v>1.5701358245817985</v>
      </c>
      <c r="BC536" s="60" t="str">
        <f t="shared" si="502"/>
        <v>-0.0000313860096760743+0.00341801204307526i</v>
      </c>
      <c r="BD536" s="51">
        <f t="shared" si="503"/>
        <v>-49.324162051281036</v>
      </c>
      <c r="BE536" s="63">
        <f t="shared" si="504"/>
        <v>90.526105621313306</v>
      </c>
      <c r="BF536" s="60" t="str">
        <f t="shared" si="505"/>
        <v>-0.0000622949336742543-0.000160051616344928i</v>
      </c>
      <c r="BG536" s="66">
        <f t="shared" si="506"/>
        <v>-75.302195214008961</v>
      </c>
      <c r="BH536" s="63">
        <f t="shared" si="507"/>
        <v>-111.26687191641196</v>
      </c>
      <c r="BI536" s="60" t="e">
        <f t="shared" si="460"/>
        <v>#NUM!</v>
      </c>
      <c r="BJ536" s="66" t="e">
        <f t="shared" si="508"/>
        <v>#NUM!</v>
      </c>
      <c r="BK536" s="63" t="e">
        <f t="shared" si="461"/>
        <v>#NUM!</v>
      </c>
      <c r="BL536" s="51">
        <f t="shared" si="509"/>
        <v>-75.302195214008961</v>
      </c>
      <c r="BM536" s="63">
        <f t="shared" si="510"/>
        <v>-111.26687191641196</v>
      </c>
    </row>
    <row r="537" spans="14:65" x14ac:dyDescent="0.3">
      <c r="N537" s="11">
        <v>19</v>
      </c>
      <c r="O537" s="52">
        <f t="shared" si="462"/>
        <v>1548816.6189124861</v>
      </c>
      <c r="P537" s="50" t="str">
        <f t="shared" si="463"/>
        <v>21.1560044893378</v>
      </c>
      <c r="Q537" s="18" t="str">
        <f t="shared" si="464"/>
        <v>1+6782.56187696151i</v>
      </c>
      <c r="R537" s="18">
        <f t="shared" si="475"/>
        <v>6782.5619506799667</v>
      </c>
      <c r="S537" s="18">
        <f t="shared" si="476"/>
        <v>1.570648889880808</v>
      </c>
      <c r="T537" s="18" t="str">
        <f t="shared" si="465"/>
        <v>1+9.7315018234665i</v>
      </c>
      <c r="U537" s="18">
        <f t="shared" si="477"/>
        <v>9.7827464313520789</v>
      </c>
      <c r="V537" s="18">
        <f t="shared" si="478"/>
        <v>1.4683966824996388</v>
      </c>
      <c r="W537" s="32" t="str">
        <f t="shared" si="466"/>
        <v>1-4.37053839290596i</v>
      </c>
      <c r="X537" s="18">
        <f t="shared" si="479"/>
        <v>4.4834814423464513</v>
      </c>
      <c r="Y537" s="18">
        <f t="shared" si="480"/>
        <v>-1.3458634207114266</v>
      </c>
      <c r="Z537" s="32" t="str">
        <f t="shared" si="467"/>
        <v>-1.3988329190195+2.38534623681578i</v>
      </c>
      <c r="AA537" s="18">
        <f t="shared" si="481"/>
        <v>2.7652504777730025</v>
      </c>
      <c r="AB537" s="18">
        <f t="shared" si="482"/>
        <v>2.1011763574665046</v>
      </c>
      <c r="AC537" s="68" t="str">
        <f t="shared" si="483"/>
        <v>-0.0454193627160532+0.0196165618083329i</v>
      </c>
      <c r="AD537" s="66">
        <f t="shared" si="484"/>
        <v>-26.112368429589473</v>
      </c>
      <c r="AE537" s="63">
        <f t="shared" si="485"/>
        <v>156.64054896785558</v>
      </c>
      <c r="AF537" s="51" t="e">
        <f t="shared" si="486"/>
        <v>#NUM!</v>
      </c>
      <c r="AG537" s="51" t="str">
        <f t="shared" si="468"/>
        <v>1-4170.64363862851i</v>
      </c>
      <c r="AH537" s="51">
        <f t="shared" si="487"/>
        <v>4170.6437585140811</v>
      </c>
      <c r="AI537" s="51">
        <f t="shared" si="488"/>
        <v>-1.5705565556546404</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-0.000133283554228113</v>
      </c>
      <c r="AT537" s="32" t="str">
        <f t="shared" si="472"/>
        <v>0.594594761413803i</v>
      </c>
      <c r="AU537" s="32">
        <f t="shared" si="496"/>
        <v>0.59459476141380296</v>
      </c>
      <c r="AV537" s="32">
        <f t="shared" si="497"/>
        <v>1.5707963267948966</v>
      </c>
      <c r="AW537" s="32" t="str">
        <f t="shared" si="473"/>
        <v>1+103.96048722374i</v>
      </c>
      <c r="AX537" s="32">
        <f t="shared" si="498"/>
        <v>103.96529663208493</v>
      </c>
      <c r="AY537" s="32">
        <f t="shared" si="499"/>
        <v>1.5611775842664166</v>
      </c>
      <c r="AZ537" s="32" t="str">
        <f t="shared" si="474"/>
        <v>1+1549.26482179769i</v>
      </c>
      <c r="BA537" s="32">
        <f t="shared" si="500"/>
        <v>1549.265144531377</v>
      </c>
      <c r="BB537" s="32">
        <f t="shared" si="501"/>
        <v>1.570150859443509</v>
      </c>
      <c r="BC537" s="60" t="str">
        <f t="shared" si="502"/>
        <v>-0.0000299735372357528+0.00334022217679611i</v>
      </c>
      <c r="BD537" s="51">
        <f t="shared" si="503"/>
        <v>-49.52414320045105</v>
      </c>
      <c r="BE537" s="63">
        <f t="shared" si="504"/>
        <v>90.514130796056904</v>
      </c>
      <c r="BF537" s="60" t="str">
        <f t="shared" si="505"/>
        <v>-0.0000641622958250914-0.000152298740345907i</v>
      </c>
      <c r="BG537" s="66">
        <f t="shared" si="506"/>
        <v>-75.636511630040516</v>
      </c>
      <c r="BH537" s="63">
        <f t="shared" si="507"/>
        <v>-112.84532023608752</v>
      </c>
      <c r="BI537" s="60" t="e">
        <f t="shared" si="460"/>
        <v>#NUM!</v>
      </c>
      <c r="BJ537" s="66" t="e">
        <f t="shared" si="508"/>
        <v>#NUM!</v>
      </c>
      <c r="BK537" s="63" t="e">
        <f t="shared" si="461"/>
        <v>#NUM!</v>
      </c>
      <c r="BL537" s="51">
        <f t="shared" si="509"/>
        <v>-75.636511630040516</v>
      </c>
      <c r="BM537" s="63">
        <f t="shared" si="510"/>
        <v>-112.84532023608752</v>
      </c>
    </row>
    <row r="538" spans="14:65" x14ac:dyDescent="0.3">
      <c r="N538" s="11">
        <v>20</v>
      </c>
      <c r="O538" s="52">
        <f t="shared" si="462"/>
        <v>1584893.1924611153</v>
      </c>
      <c r="P538" s="50" t="str">
        <f t="shared" si="463"/>
        <v>21.1560044893378</v>
      </c>
      <c r="Q538" s="18" t="str">
        <f t="shared" si="464"/>
        <v>1+6940.5480384053i</v>
      </c>
      <c r="R538" s="18">
        <f t="shared" si="475"/>
        <v>6940.5481104457194</v>
      </c>
      <c r="S538" s="18">
        <f t="shared" si="476"/>
        <v>1.5706522459546595</v>
      </c>
      <c r="T538" s="18" t="str">
        <f t="shared" si="465"/>
        <v>1+9.95817762032063i</v>
      </c>
      <c r="U538" s="18">
        <f t="shared" si="477"/>
        <v>10.008261663138841</v>
      </c>
      <c r="V538" s="18">
        <f t="shared" si="478"/>
        <v>1.4707118695839552</v>
      </c>
      <c r="W538" s="32" t="str">
        <f t="shared" si="466"/>
        <v>1-4.47234130995465i</v>
      </c>
      <c r="X538" s="18">
        <f t="shared" si="479"/>
        <v>4.5827761010905679</v>
      </c>
      <c r="Y538" s="18">
        <f t="shared" si="480"/>
        <v>-1.3508181277791915</v>
      </c>
      <c r="Z538" s="32" t="str">
        <f t="shared" si="467"/>
        <v>-1.51188643150958+2.44090808829685i</v>
      </c>
      <c r="AA538" s="18">
        <f t="shared" si="481"/>
        <v>2.871207564300386</v>
      </c>
      <c r="AB538" s="18">
        <f t="shared" si="482"/>
        <v>2.1253549724954044</v>
      </c>
      <c r="AC538" s="68" t="str">
        <f t="shared" si="483"/>
        <v>-0.0441676488177054+0.020498388301239i</v>
      </c>
      <c r="AD538" s="66">
        <f t="shared" si="484"/>
        <v>-26.250748340932258</v>
      </c>
      <c r="AE538" s="63">
        <f t="shared" si="485"/>
        <v>155.10379072836847</v>
      </c>
      <c r="AF538" s="51" t="e">
        <f t="shared" si="486"/>
        <v>#NUM!</v>
      </c>
      <c r="AG538" s="51" t="str">
        <f t="shared" si="468"/>
        <v>1-4267.79040870885i</v>
      </c>
      <c r="AH538" s="51">
        <f t="shared" si="487"/>
        <v>4267.7905258654919</v>
      </c>
      <c r="AI538" s="51">
        <f t="shared" si="488"/>
        <v>-1.5705620135119251</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-0.000133283554228113</v>
      </c>
      <c r="AT538" s="32" t="str">
        <f t="shared" si="472"/>
        <v>0.60844465260159i</v>
      </c>
      <c r="AU538" s="32">
        <f t="shared" si="496"/>
        <v>0.60844465260158997</v>
      </c>
      <c r="AV538" s="32">
        <f t="shared" si="497"/>
        <v>1.5707963267948966</v>
      </c>
      <c r="AW538" s="32" t="str">
        <f t="shared" si="473"/>
        <v>1+106.382038050146i</v>
      </c>
      <c r="AX538" s="32">
        <f t="shared" si="498"/>
        <v>106.38673798788415</v>
      </c>
      <c r="AY538" s="32">
        <f t="shared" si="499"/>
        <v>1.5613965205302724</v>
      </c>
      <c r="AZ538" s="32" t="str">
        <f t="shared" si="474"/>
        <v>1+1585.35183533266i</v>
      </c>
      <c r="BA538" s="32">
        <f t="shared" si="500"/>
        <v>1585.3521507200326</v>
      </c>
      <c r="BB538" s="32">
        <f t="shared" si="501"/>
        <v>1.5701655520702662</v>
      </c>
      <c r="BC538" s="60" t="str">
        <f t="shared" si="502"/>
        <v>-0.0000286246250289718+0.00326420211731406i</v>
      </c>
      <c r="BD538" s="51">
        <f t="shared" si="503"/>
        <v>-49.724125197971119</v>
      </c>
      <c r="BE538" s="63">
        <f t="shared" si="504"/>
        <v>90.502428497658727</v>
      </c>
      <c r="BF538" s="60" t="str">
        <f t="shared" si="505"/>
        <v>-0.000065646600108612-0.000144758891466359i</v>
      </c>
      <c r="BG538" s="66">
        <f t="shared" si="506"/>
        <v>-75.974873538903381</v>
      </c>
      <c r="BH538" s="63">
        <f t="shared" si="507"/>
        <v>-114.39378077397279</v>
      </c>
      <c r="BI538" s="60" t="e">
        <f t="shared" si="460"/>
        <v>#NUM!</v>
      </c>
      <c r="BJ538" s="66" t="e">
        <f t="shared" si="508"/>
        <v>#NUM!</v>
      </c>
      <c r="BK538" s="63" t="e">
        <f t="shared" si="461"/>
        <v>#NUM!</v>
      </c>
      <c r="BL538" s="51">
        <f t="shared" si="509"/>
        <v>-75.974873538903381</v>
      </c>
      <c r="BM538" s="63">
        <f t="shared" si="510"/>
        <v>-114.39378077397279</v>
      </c>
    </row>
    <row r="539" spans="14:65" x14ac:dyDescent="0.3">
      <c r="N539" s="11">
        <v>21</v>
      </c>
      <c r="O539" s="52">
        <f t="shared" si="462"/>
        <v>1621810.0973589318</v>
      </c>
      <c r="P539" s="50" t="str">
        <f t="shared" si="463"/>
        <v>21.1560044893378</v>
      </c>
      <c r="Q539" s="18" t="str">
        <f t="shared" si="464"/>
        <v>1+7102.21417028805i</v>
      </c>
      <c r="R539" s="18">
        <f t="shared" si="475"/>
        <v>7102.2142406886305</v>
      </c>
      <c r="S539" s="18">
        <f t="shared" si="476"/>
        <v>1.5706555256349464</v>
      </c>
      <c r="T539" s="18" t="str">
        <f t="shared" si="465"/>
        <v>1+10.1901333747611i</v>
      </c>
      <c r="U539" s="18">
        <f t="shared" si="477"/>
        <v>10.239082878628341</v>
      </c>
      <c r="V539" s="18">
        <f t="shared" si="478"/>
        <v>1.4729753972773798</v>
      </c>
      <c r="W539" s="32" t="str">
        <f t="shared" si="466"/>
        <v>1-4.57651552156431i</v>
      </c>
      <c r="X539" s="18">
        <f t="shared" si="479"/>
        <v>4.6844950975659101</v>
      </c>
      <c r="Y539" s="18">
        <f t="shared" si="480"/>
        <v>-1.355670683136019</v>
      </c>
      <c r="Z539" s="32" t="str">
        <f t="shared" si="467"/>
        <v>-1.63026799189536+2.49776414155557i</v>
      </c>
      <c r="AA539" s="18">
        <f t="shared" si="481"/>
        <v>2.9827167871320537</v>
      </c>
      <c r="AB539" s="18">
        <f t="shared" si="482"/>
        <v>2.1490609102509319</v>
      </c>
      <c r="AC539" s="68" t="str">
        <f t="shared" si="483"/>
        <v>-0.0429050827648037+0.0213010567447718i</v>
      </c>
      <c r="AD539" s="66">
        <f t="shared" si="484"/>
        <v>-26.392965793207477</v>
      </c>
      <c r="AE539" s="63">
        <f t="shared" si="485"/>
        <v>153.59701227558276</v>
      </c>
      <c r="AF539" s="51" t="e">
        <f t="shared" si="486"/>
        <v>#NUM!</v>
      </c>
      <c r="AG539" s="51" t="str">
        <f t="shared" si="468"/>
        <v>1-4367.20001775476i</v>
      </c>
      <c r="AH539" s="51">
        <f t="shared" si="487"/>
        <v>4367.2001322445913</v>
      </c>
      <c r="AI539" s="51">
        <f t="shared" si="488"/>
        <v>-1.5705673471332238</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-0.000133283554228113</v>
      </c>
      <c r="AT539" s="32" t="str">
        <f t="shared" si="472"/>
        <v>0.622617149197905i</v>
      </c>
      <c r="AU539" s="32">
        <f t="shared" si="496"/>
        <v>0.62261714919790501</v>
      </c>
      <c r="AV539" s="32">
        <f t="shared" si="497"/>
        <v>1.5707963267948966</v>
      </c>
      <c r="AW539" s="32" t="str">
        <f t="shared" si="473"/>
        <v>1+108.859994041259i</v>
      </c>
      <c r="AX539" s="32">
        <f t="shared" si="498"/>
        <v>108.86458699991906</v>
      </c>
      <c r="AY539" s="32">
        <f t="shared" si="499"/>
        <v>1.5616104740671015</v>
      </c>
      <c r="AZ539" s="32" t="str">
        <f t="shared" si="474"/>
        <v>1+1622.27942339534i</v>
      </c>
      <c r="BA539" s="32">
        <f t="shared" si="500"/>
        <v>1622.279731603621</v>
      </c>
      <c r="BB539" s="32">
        <f t="shared" si="501"/>
        <v>1.57017991025227</v>
      </c>
      <c r="BC539" s="60" t="str">
        <f t="shared" si="502"/>
        <v>-0.0000273364133855837+0.00318991163941735i</v>
      </c>
      <c r="BD539" s="51">
        <f t="shared" si="503"/>
        <v>-49.924108005665957</v>
      </c>
      <c r="BE539" s="63">
        <f t="shared" si="504"/>
        <v>90.490992526216843</v>
      </c>
      <c r="BF539" s="60" t="str">
        <f t="shared" si="505"/>
        <v>-0.0000667756177632357-0.000137445717394337i</v>
      </c>
      <c r="BG539" s="66">
        <f t="shared" si="506"/>
        <v>-76.317073798873423</v>
      </c>
      <c r="BH539" s="63">
        <f t="shared" si="507"/>
        <v>-115.9119951982004</v>
      </c>
      <c r="BI539" s="60" t="e">
        <f t="shared" si="460"/>
        <v>#NUM!</v>
      </c>
      <c r="BJ539" s="66" t="e">
        <f t="shared" si="508"/>
        <v>#NUM!</v>
      </c>
      <c r="BK539" s="63" t="e">
        <f t="shared" si="461"/>
        <v>#NUM!</v>
      </c>
      <c r="BL539" s="51">
        <f t="shared" si="509"/>
        <v>-76.317073798873423</v>
      </c>
      <c r="BM539" s="63">
        <f t="shared" si="510"/>
        <v>-115.9119951982004</v>
      </c>
    </row>
    <row r="540" spans="14:65" x14ac:dyDescent="0.3">
      <c r="N540" s="11">
        <v>22</v>
      </c>
      <c r="O540" s="52">
        <f t="shared" si="462"/>
        <v>1659586.9074375622</v>
      </c>
      <c r="P540" s="50" t="str">
        <f t="shared" si="463"/>
        <v>21.1560044893378</v>
      </c>
      <c r="Q540" s="18" t="str">
        <f t="shared" si="464"/>
        <v>1+7267.64599013286i</v>
      </c>
      <c r="R540" s="18">
        <f t="shared" si="475"/>
        <v>7267.6460589309272</v>
      </c>
      <c r="S540" s="18">
        <f t="shared" si="476"/>
        <v>1.5706587306605986</v>
      </c>
      <c r="T540" s="18" t="str">
        <f t="shared" si="465"/>
        <v>1+10.4274920727993i</v>
      </c>
      <c r="U540" s="18">
        <f t="shared" si="477"/>
        <v>10.475332497266722</v>
      </c>
      <c r="V540" s="18">
        <f t="shared" si="478"/>
        <v>1.4751883729028188</v>
      </c>
      <c r="W540" s="32" t="str">
        <f t="shared" si="466"/>
        <v>1-4.68311626228087i</v>
      </c>
      <c r="X540" s="18">
        <f t="shared" si="479"/>
        <v>4.7886927157669597</v>
      </c>
      <c r="Y540" s="18">
        <f t="shared" si="480"/>
        <v>-1.3604227451371802</v>
      </c>
      <c r="Z540" s="32" t="str">
        <f t="shared" si="467"/>
        <v>-1.75422870333816+2.55594454242398i</v>
      </c>
      <c r="AA540" s="18">
        <f t="shared" si="481"/>
        <v>3.1000275559359811</v>
      </c>
      <c r="AB540" s="18">
        <f t="shared" si="482"/>
        <v>2.1722906938311874</v>
      </c>
      <c r="AC540" s="68" t="str">
        <f t="shared" si="483"/>
        <v>-0.0416368612387391+0.0220266236698949i</v>
      </c>
      <c r="AD540" s="66">
        <f t="shared" si="484"/>
        <v>-26.53881771524679</v>
      </c>
      <c r="AE540" s="63">
        <f t="shared" si="485"/>
        <v>152.12038114984074</v>
      </c>
      <c r="AF540" s="51" t="e">
        <f t="shared" si="486"/>
        <v>#NUM!</v>
      </c>
      <c r="AG540" s="51" t="str">
        <f t="shared" si="468"/>
        <v>1-4468.92517405685i</v>
      </c>
      <c r="AH540" s="51">
        <f t="shared" si="487"/>
        <v>4468.9252859405742</v>
      </c>
      <c r="AI540" s="51">
        <f t="shared" si="488"/>
        <v>-1.5705725593464921</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-0.000133283554228113</v>
      </c>
      <c r="AT540" s="32" t="str">
        <f t="shared" si="472"/>
        <v>0.637119765648037i</v>
      </c>
      <c r="AU540" s="32">
        <f t="shared" si="496"/>
        <v>0.63711976564803696</v>
      </c>
      <c r="AV540" s="32">
        <f t="shared" si="497"/>
        <v>1.5707963267948966</v>
      </c>
      <c r="AW540" s="32" t="str">
        <f t="shared" si="473"/>
        <v>1+111.395669042145i</v>
      </c>
      <c r="AX540" s="32">
        <f t="shared" si="498"/>
        <v>111.40015745656333</v>
      </c>
      <c r="AY540" s="32">
        <f t="shared" si="499"/>
        <v>1.5618195582395038</v>
      </c>
      <c r="AZ540" s="32" t="str">
        <f t="shared" si="474"/>
        <v>1+1660.06716548172i</v>
      </c>
      <c r="BA540" s="32">
        <f t="shared" si="500"/>
        <v>1660.067466674325</v>
      </c>
      <c r="BB540" s="32">
        <f t="shared" si="501"/>
        <v>1.5701939416023951</v>
      </c>
      <c r="BC540" s="60" t="str">
        <f t="shared" si="502"/>
        <v>-0.000026106171252807+0.00311731142949435i</v>
      </c>
      <c r="BD540" s="51">
        <f t="shared" si="503"/>
        <v>-50.124091587077871</v>
      </c>
      <c r="BE540" s="63">
        <f t="shared" si="504"/>
        <v>90.479816822718249</v>
      </c>
      <c r="BF540" s="60" t="str">
        <f t="shared" si="505"/>
        <v>-0.0000675768666894063-0.000130370094237439i</v>
      </c>
      <c r="BG540" s="66">
        <f t="shared" si="506"/>
        <v>-76.662909302324664</v>
      </c>
      <c r="BH540" s="63">
        <f t="shared" si="507"/>
        <v>-117.39980202744101</v>
      </c>
      <c r="BI540" s="60" t="e">
        <f t="shared" si="460"/>
        <v>#NUM!</v>
      </c>
      <c r="BJ540" s="66" t="e">
        <f t="shared" si="508"/>
        <v>#NUM!</v>
      </c>
      <c r="BK540" s="63" t="e">
        <f t="shared" si="461"/>
        <v>#NUM!</v>
      </c>
      <c r="BL540" s="51">
        <f t="shared" si="509"/>
        <v>-76.662909302324664</v>
      </c>
      <c r="BM540" s="63">
        <f t="shared" si="510"/>
        <v>-117.39980202744101</v>
      </c>
    </row>
    <row r="541" spans="14:65" x14ac:dyDescent="0.3">
      <c r="N541" s="11">
        <v>23</v>
      </c>
      <c r="O541" s="52">
        <f t="shared" si="462"/>
        <v>1698243.6524617488</v>
      </c>
      <c r="P541" s="50" t="str">
        <f t="shared" si="463"/>
        <v>21.1560044893378</v>
      </c>
      <c r="Q541" s="18" t="str">
        <f t="shared" si="464"/>
        <v>1+7436.93121208032i</v>
      </c>
      <c r="R541" s="18">
        <f t="shared" si="475"/>
        <v>7436.9312793123518</v>
      </c>
      <c r="S541" s="18">
        <f t="shared" si="476"/>
        <v>1.5706618627309628</v>
      </c>
      <c r="T541" s="18" t="str">
        <f t="shared" si="465"/>
        <v>1+10.6703795651587i</v>
      </c>
      <c r="U541" s="18">
        <f t="shared" si="477"/>
        <v>10.717135814412188</v>
      </c>
      <c r="V541" s="18">
        <f t="shared" si="478"/>
        <v>1.4773518830614003</v>
      </c>
      <c r="W541" s="32" t="str">
        <f t="shared" si="466"/>
        <v>1-4.79220005322808i</v>
      </c>
      <c r="X541" s="18">
        <f t="shared" si="479"/>
        <v>4.8954245321687075</v>
      </c>
      <c r="Y541" s="18">
        <f t="shared" si="480"/>
        <v>-1.3650759745005965</v>
      </c>
      <c r="Z541" s="32" t="str">
        <f t="shared" si="467"/>
        <v>-1.88403150312663+2.61548013892071i</v>
      </c>
      <c r="AA541" s="18">
        <f t="shared" si="481"/>
        <v>3.2234005431938311</v>
      </c>
      <c r="AB541" s="18">
        <f t="shared" si="482"/>
        <v>2.1950423925914251</v>
      </c>
      <c r="AC541" s="68" t="str">
        <f t="shared" si="483"/>
        <v>-0.0403677855758793+0.0226774611368665i</v>
      </c>
      <c r="AD541" s="66">
        <f t="shared" si="484"/>
        <v>-26.688105968020473</v>
      </c>
      <c r="AE541" s="63">
        <f t="shared" si="485"/>
        <v>150.67397497710351</v>
      </c>
      <c r="AF541" s="51" t="e">
        <f t="shared" si="486"/>
        <v>#NUM!</v>
      </c>
      <c r="AG541" s="51" t="str">
        <f t="shared" si="468"/>
        <v>1-4573.01981363945i</v>
      </c>
      <c r="AH541" s="51">
        <f t="shared" si="487"/>
        <v>4573.0199229763903</v>
      </c>
      <c r="AI541" s="51">
        <f t="shared" si="488"/>
        <v>-1.5705776529153133</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-0.000133283554228113</v>
      </c>
      <c r="AT541" s="32" t="str">
        <f t="shared" si="472"/>
        <v>0.651960191431194i</v>
      </c>
      <c r="AU541" s="32">
        <f t="shared" si="496"/>
        <v>0.65196019143119399</v>
      </c>
      <c r="AV541" s="32">
        <f t="shared" si="497"/>
        <v>1.5707963267948966</v>
      </c>
      <c r="AW541" s="32" t="str">
        <f t="shared" si="473"/>
        <v>1+113.990407501254i</v>
      </c>
      <c r="AX541" s="32">
        <f t="shared" si="498"/>
        <v>113.99479375086366</v>
      </c>
      <c r="AY541" s="32">
        <f t="shared" si="499"/>
        <v>1.5620238838335108</v>
      </c>
      <c r="AZ541" s="32" t="str">
        <f t="shared" si="474"/>
        <v>1+1698.73509715283i</v>
      </c>
      <c r="BA541" s="32">
        <f t="shared" si="500"/>
        <v>1698.7353914894557</v>
      </c>
      <c r="BB541" s="32">
        <f t="shared" si="501"/>
        <v>1.570207653560227</v>
      </c>
      <c r="BC541" s="60" t="str">
        <f t="shared" si="502"/>
        <v>-0.0000249312904143176+0.00304636306505237i</v>
      </c>
      <c r="BD541" s="51">
        <f t="shared" si="503"/>
        <v>-50.324075907389542</v>
      </c>
      <c r="BE541" s="63">
        <f t="shared" si="504"/>
        <v>90.468895465847766</v>
      </c>
      <c r="BF541" s="60" t="str">
        <f t="shared" si="505"/>
        <v>-0.0000680773590309355-0.000123540309365775i</v>
      </c>
      <c r="BG541" s="66">
        <f t="shared" si="506"/>
        <v>-77.012181875410022</v>
      </c>
      <c r="BH541" s="63">
        <f t="shared" si="507"/>
        <v>-118.85712955704876</v>
      </c>
      <c r="BI541" s="60" t="e">
        <f t="shared" si="460"/>
        <v>#NUM!</v>
      </c>
      <c r="BJ541" s="66" t="e">
        <f t="shared" si="508"/>
        <v>#NUM!</v>
      </c>
      <c r="BK541" s="63" t="e">
        <f t="shared" si="461"/>
        <v>#NUM!</v>
      </c>
      <c r="BL541" s="51">
        <f t="shared" si="509"/>
        <v>-77.012181875410022</v>
      </c>
      <c r="BM541" s="63">
        <f t="shared" si="510"/>
        <v>-118.85712955704876</v>
      </c>
    </row>
    <row r="542" spans="14:65" x14ac:dyDescent="0.3">
      <c r="N542" s="11">
        <v>24</v>
      </c>
      <c r="O542" s="52">
        <f t="shared" si="462"/>
        <v>1737800.8287493798</v>
      </c>
      <c r="P542" s="50" t="str">
        <f t="shared" si="463"/>
        <v>21.1560044893378</v>
      </c>
      <c r="Q542" s="18" t="str">
        <f t="shared" si="464"/>
        <v>1+7610.15959339576i</v>
      </c>
      <c r="R542" s="18">
        <f t="shared" si="475"/>
        <v>7610.1596590974041</v>
      </c>
      <c r="S542" s="18">
        <f t="shared" si="476"/>
        <v>1.5706649235067038</v>
      </c>
      <c r="T542" s="18" t="str">
        <f t="shared" si="465"/>
        <v>1+10.9189246340026i</v>
      </c>
      <c r="U542" s="18">
        <f t="shared" si="477"/>
        <v>10.964621067917889</v>
      </c>
      <c r="V542" s="18">
        <f t="shared" si="478"/>
        <v>1.4794669938149458</v>
      </c>
      <c r="W542" s="32" t="str">
        <f t="shared" si="466"/>
        <v>1-4.90382473207573i</v>
      </c>
      <c r="X542" s="18">
        <f t="shared" si="479"/>
        <v>5.0047474464669657</v>
      </c>
      <c r="Y542" s="18">
        <f t="shared" si="480"/>
        <v>-1.369632032020323</v>
      </c>
      <c r="Z542" s="32" t="str">
        <f t="shared" si="467"/>
        <v>-2.01995172040202+2.67640249760704i</v>
      </c>
      <c r="AA542" s="18">
        <f t="shared" si="481"/>
        <v>3.3531083015542884</v>
      </c>
      <c r="AB542" s="18">
        <f t="shared" si="482"/>
        <v>2.2173154988925732</v>
      </c>
      <c r="AC542" s="68" t="str">
        <f t="shared" si="483"/>
        <v>-0.0391022549142396+0.023256200744008i</v>
      </c>
      <c r="AD542" s="66">
        <f t="shared" si="484"/>
        <v>-26.840638093866115</v>
      </c>
      <c r="AE542" s="63">
        <f t="shared" si="485"/>
        <v>149.25778867215118</v>
      </c>
      <c r="AF542" s="51" t="e">
        <f t="shared" si="486"/>
        <v>#NUM!</v>
      </c>
      <c r="AG542" s="51" t="str">
        <f t="shared" si="468"/>
        <v>1-4679.53912885826i</v>
      </c>
      <c r="AH542" s="51">
        <f t="shared" si="487"/>
        <v>4679.5392357063874</v>
      </c>
      <c r="AI542" s="51">
        <f t="shared" si="488"/>
        <v>-1.5705826305403636</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-0.000133283554228113</v>
      </c>
      <c r="AT542" s="32" t="str">
        <f t="shared" si="472"/>
        <v>0.66714629513756i</v>
      </c>
      <c r="AU542" s="32">
        <f t="shared" si="496"/>
        <v>0.66714629513755996</v>
      </c>
      <c r="AV542" s="32">
        <f t="shared" si="497"/>
        <v>1.5707963267948966</v>
      </c>
      <c r="AW542" s="32" t="str">
        <f t="shared" si="473"/>
        <v>1+116.64558518326i</v>
      </c>
      <c r="AX542" s="32">
        <f t="shared" si="498"/>
        <v>116.64987159335051</v>
      </c>
      <c r="AY542" s="32">
        <f t="shared" si="499"/>
        <v>1.562223559116974</v>
      </c>
      <c r="AZ542" s="32" t="str">
        <f t="shared" si="474"/>
        <v>1+1738.30372065785i</v>
      </c>
      <c r="BA542" s="32">
        <f t="shared" si="500"/>
        <v>1738.3040082945572</v>
      </c>
      <c r="BB542" s="32">
        <f t="shared" si="501"/>
        <v>1.5702210533960062</v>
      </c>
      <c r="BC542" s="60" t="str">
        <f t="shared" si="502"/>
        <v>-0.0000238092799688406+0.00297702899468472i</v>
      </c>
      <c r="BD542" s="51">
        <f t="shared" si="503"/>
        <v>-50.524060933350114</v>
      </c>
      <c r="BE542" s="63">
        <f t="shared" si="504"/>
        <v>90.458222668868558</v>
      </c>
      <c r="BF542" s="60" t="str">
        <f t="shared" si="505"/>
        <v>-0.0000683033873864541-0.00011696226003177i</v>
      </c>
      <c r="BG542" s="66">
        <f t="shared" si="506"/>
        <v>-77.364699027216218</v>
      </c>
      <c r="BH542" s="63">
        <f t="shared" si="507"/>
        <v>-120.28398865898029</v>
      </c>
      <c r="BI542" s="60" t="e">
        <f t="shared" si="460"/>
        <v>#NUM!</v>
      </c>
      <c r="BJ542" s="66" t="e">
        <f t="shared" si="508"/>
        <v>#NUM!</v>
      </c>
      <c r="BK542" s="63" t="e">
        <f t="shared" si="461"/>
        <v>#NUM!</v>
      </c>
      <c r="BL542" s="51">
        <f t="shared" si="509"/>
        <v>-77.364699027216218</v>
      </c>
      <c r="BM542" s="63">
        <f t="shared" si="510"/>
        <v>-120.28398865898029</v>
      </c>
    </row>
    <row r="543" spans="14:65" x14ac:dyDescent="0.3">
      <c r="N543" s="11">
        <v>25</v>
      </c>
      <c r="O543" s="52">
        <f t="shared" si="462"/>
        <v>1778279.4100389241</v>
      </c>
      <c r="P543" s="50" t="str">
        <f t="shared" si="463"/>
        <v>21.1560044893378</v>
      </c>
      <c r="Q543" s="18" t="str">
        <f t="shared" si="464"/>
        <v>1+7787.42298206i</v>
      </c>
      <c r="R543" s="18">
        <f t="shared" si="475"/>
        <v>7787.4230462660926</v>
      </c>
      <c r="S543" s="18">
        <f t="shared" si="476"/>
        <v>1.5706679146106854</v>
      </c>
      <c r="T543" s="18" t="str">
        <f t="shared" si="465"/>
        <v>1+11.1732590612165i</v>
      </c>
      <c r="U543" s="18">
        <f t="shared" si="477"/>
        <v>11.217919506265705</v>
      </c>
      <c r="V543" s="18">
        <f t="shared" si="478"/>
        <v>1.4815347508825225</v>
      </c>
      <c r="W543" s="32" t="str">
        <f t="shared" si="466"/>
        <v>1-5.01804948370611i</v>
      </c>
      <c r="X543" s="18">
        <f t="shared" si="479"/>
        <v>5.1167197129531301</v>
      </c>
      <c r="Y543" s="18">
        <f t="shared" si="480"/>
        <v>-1.3740925764375465</v>
      </c>
      <c r="Z543" s="32" t="str">
        <f t="shared" si="467"/>
        <v>-2.16227766016836+2.73874392032398i</v>
      </c>
      <c r="AA543" s="18">
        <f t="shared" si="481"/>
        <v>3.4894359058126745</v>
      </c>
      <c r="AB543" s="18">
        <f t="shared" si="482"/>
        <v>2.2391108045912236</v>
      </c>
      <c r="AC543" s="68" t="str">
        <f t="shared" si="483"/>
        <v>-0.0378442660106169+0.0237656808932639i</v>
      </c>
      <c r="AD543" s="66">
        <f t="shared" si="484"/>
        <v>-26.996227923663881</v>
      </c>
      <c r="AE543" s="63">
        <f t="shared" si="485"/>
        <v>147.87174164837961</v>
      </c>
      <c r="AF543" s="51" t="e">
        <f t="shared" si="486"/>
        <v>#NUM!</v>
      </c>
      <c r="AG543" s="51" t="str">
        <f t="shared" si="468"/>
        <v>1-4788.53959766422i</v>
      </c>
      <c r="AH543" s="51">
        <f t="shared" si="487"/>
        <v>4788.5397020801875</v>
      </c>
      <c r="AI543" s="51">
        <f t="shared" si="488"/>
        <v>-1.5705874948608449</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-0.000133283554228113</v>
      </c>
      <c r="AT543" s="32" t="str">
        <f t="shared" si="472"/>
        <v>0.682686128640331i</v>
      </c>
      <c r="AU543" s="32">
        <f t="shared" si="496"/>
        <v>0.68268612864033096</v>
      </c>
      <c r="AV543" s="32">
        <f t="shared" si="497"/>
        <v>1.5707963267948966</v>
      </c>
      <c r="AW543" s="32" t="str">
        <f t="shared" si="473"/>
        <v>1+119.362609898517i</v>
      </c>
      <c r="AX543" s="32">
        <f t="shared" si="498"/>
        <v>119.36679874146557</v>
      </c>
      <c r="AY543" s="32">
        <f t="shared" si="499"/>
        <v>1.562418689896647</v>
      </c>
      <c r="AZ543" s="32" t="str">
        <f t="shared" si="474"/>
        <v>1+1778.79401580473i</v>
      </c>
      <c r="BA543" s="32">
        <f t="shared" si="500"/>
        <v>1778.7942968940276</v>
      </c>
      <c r="BB543" s="32">
        <f t="shared" si="501"/>
        <v>1.5702341482144839</v>
      </c>
      <c r="BC543" s="60" t="str">
        <f t="shared" si="502"/>
        <v>-0.0000227377610566112+0.00290927251847697i</v>
      </c>
      <c r="BD543" s="51">
        <f t="shared" si="503"/>
        <v>-50.724046633204793</v>
      </c>
      <c r="BE543" s="63">
        <f t="shared" si="504"/>
        <v>90.44779277657247</v>
      </c>
      <c r="BF543" s="60" t="str">
        <f t="shared" si="505"/>
        <v>-0.0000682803484277536-0.000110639661460119i</v>
      </c>
      <c r="BG543" s="66">
        <f t="shared" si="506"/>
        <v>-77.720274556868645</v>
      </c>
      <c r="BH543" s="63">
        <f t="shared" si="507"/>
        <v>-121.68046557504779</v>
      </c>
      <c r="BI543" s="60" t="e">
        <f t="shared" si="460"/>
        <v>#NUM!</v>
      </c>
      <c r="BJ543" s="66" t="e">
        <f t="shared" si="508"/>
        <v>#NUM!</v>
      </c>
      <c r="BK543" s="63" t="e">
        <f t="shared" si="461"/>
        <v>#NUM!</v>
      </c>
      <c r="BL543" s="51">
        <f t="shared" si="509"/>
        <v>-77.720274556868645</v>
      </c>
      <c r="BM543" s="63">
        <f t="shared" si="510"/>
        <v>-121.68046557504779</v>
      </c>
    </row>
    <row r="544" spans="14:65" x14ac:dyDescent="0.3">
      <c r="N544" s="11">
        <v>26</v>
      </c>
      <c r="O544" s="52">
        <f t="shared" si="462"/>
        <v>1819700.8586099846</v>
      </c>
      <c r="P544" s="50" t="str">
        <f t="shared" si="463"/>
        <v>21.1560044893378</v>
      </c>
      <c r="Q544" s="18" t="str">
        <f t="shared" si="464"/>
        <v>1+7968.8153654681i</v>
      </c>
      <c r="R544" s="18">
        <f t="shared" si="475"/>
        <v>7968.8154282126825</v>
      </c>
      <c r="S544" s="18">
        <f t="shared" si="476"/>
        <v>1.5706708376288301</v>
      </c>
      <c r="T544" s="18" t="str">
        <f t="shared" si="465"/>
        <v>1+11.4335176982803i</v>
      </c>
      <c r="U544" s="18">
        <f t="shared" si="477"/>
        <v>11.477165458286679</v>
      </c>
      <c r="V544" s="18">
        <f t="shared" si="478"/>
        <v>1.4835561798496422</v>
      </c>
      <c r="W544" s="32" t="str">
        <f t="shared" si="466"/>
        <v>1-5.13493487159453i</v>
      </c>
      <c r="X544" s="18">
        <f t="shared" si="479"/>
        <v>5.2314009725423967</v>
      </c>
      <c r="Y544" s="18">
        <f t="shared" si="480"/>
        <v>-1.378459262462536</v>
      </c>
      <c r="Z544" s="32" t="str">
        <f t="shared" si="467"/>
        <v>-2.31131121482589+2.80253746131906i</v>
      </c>
      <c r="AA544" s="18">
        <f t="shared" si="481"/>
        <v>3.6326816202189551</v>
      </c>
      <c r="AB544" s="18">
        <f t="shared" si="482"/>
        <v>2.2604302790605599</v>
      </c>
      <c r="AC544" s="68" t="str">
        <f t="shared" si="483"/>
        <v>-0.0365974187523351+0.0242088978718797i</v>
      </c>
      <c r="AD544" s="66">
        <f t="shared" si="484"/>
        <v>-27.15469605201789</v>
      </c>
      <c r="AE544" s="63">
        <f t="shared" si="485"/>
        <v>146.51568493195751</v>
      </c>
      <c r="AF544" s="51" t="e">
        <f t="shared" si="486"/>
        <v>#NUM!</v>
      </c>
      <c r="AG544" s="51" t="str">
        <f t="shared" si="468"/>
        <v>1-4900.07901354871i</v>
      </c>
      <c r="AH544" s="51">
        <f t="shared" si="487"/>
        <v>4900.0791155878787</v>
      </c>
      <c r="AI544" s="51">
        <f t="shared" si="488"/>
        <v>-1.5705922484558836</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-0.000133283554228113</v>
      </c>
      <c r="AT544" s="32" t="str">
        <f t="shared" si="472"/>
        <v>0.698587931364928i</v>
      </c>
      <c r="AU544" s="32">
        <f t="shared" si="496"/>
        <v>0.69858793136492803</v>
      </c>
      <c r="AV544" s="32">
        <f t="shared" si="497"/>
        <v>1.5707963267948966</v>
      </c>
      <c r="AW544" s="32" t="str">
        <f t="shared" si="473"/>
        <v>1+122.142922249494i</v>
      </c>
      <c r="AX544" s="32">
        <f t="shared" si="498"/>
        <v>122.14701574596876</v>
      </c>
      <c r="AY544" s="32">
        <f t="shared" si="499"/>
        <v>1.5626093795739791</v>
      </c>
      <c r="AZ544" s="32" t="str">
        <f t="shared" si="474"/>
        <v>1+1820.22745108392i</v>
      </c>
      <c r="BA544" s="32">
        <f t="shared" si="500"/>
        <v>1820.2277257748449</v>
      </c>
      <c r="BB544" s="32">
        <f t="shared" si="501"/>
        <v>1.5702469449586884</v>
      </c>
      <c r="BC544" s="60" t="str">
        <f t="shared" si="502"/>
        <v>-0.0000217144618226172+0.00284305776884354i</v>
      </c>
      <c r="BD544" s="51">
        <f t="shared" si="503"/>
        <v>-50.924032976627728</v>
      </c>
      <c r="BE544" s="63">
        <f t="shared" si="504"/>
        <v>90.437600262299043</v>
      </c>
      <c r="BF544" s="60" t="str">
        <f t="shared" si="505"/>
        <v>-0.0000680326019174835-0.000104574258892053i</v>
      </c>
      <c r="BG544" s="66">
        <f t="shared" si="506"/>
        <v>-78.078729028645625</v>
      </c>
      <c r="BH544" s="63">
        <f t="shared" si="507"/>
        <v>-123.04671480574346</v>
      </c>
      <c r="BI544" s="60" t="e">
        <f t="shared" si="460"/>
        <v>#NUM!</v>
      </c>
      <c r="BJ544" s="66" t="e">
        <f t="shared" si="508"/>
        <v>#NUM!</v>
      </c>
      <c r="BK544" s="63" t="e">
        <f t="shared" si="461"/>
        <v>#NUM!</v>
      </c>
      <c r="BL544" s="51">
        <f t="shared" si="509"/>
        <v>-78.078729028645625</v>
      </c>
      <c r="BM544" s="63">
        <f t="shared" si="510"/>
        <v>-123.04671480574346</v>
      </c>
    </row>
    <row r="545" spans="14:65" x14ac:dyDescent="0.3">
      <c r="N545" s="11">
        <v>27</v>
      </c>
      <c r="O545" s="52">
        <f t="shared" si="462"/>
        <v>1862087.1366628683</v>
      </c>
      <c r="P545" s="50" t="str">
        <f t="shared" si="463"/>
        <v>21.1560044893378</v>
      </c>
      <c r="Q545" s="18" t="str">
        <f t="shared" si="464"/>
        <v>1+8154.4329202627i</v>
      </c>
      <c r="R545" s="18">
        <f t="shared" si="475"/>
        <v>8154.4329815790406</v>
      </c>
      <c r="S545" s="18">
        <f t="shared" si="476"/>
        <v>1.5706736941109607</v>
      </c>
      <c r="T545" s="18" t="str">
        <f t="shared" si="465"/>
        <v>1+11.6998385377682i</v>
      </c>
      <c r="U545" s="18">
        <f t="shared" si="477"/>
        <v>11.742496404506408</v>
      </c>
      <c r="V545" s="18">
        <f t="shared" si="478"/>
        <v>1.4855322863887868</v>
      </c>
      <c r="W545" s="32" t="str">
        <f t="shared" si="466"/>
        <v>1-5.25454286992075i</v>
      </c>
      <c r="X545" s="18">
        <f t="shared" si="479"/>
        <v>5.3488522854753615</v>
      </c>
      <c r="Y545" s="18">
        <f t="shared" si="480"/>
        <v>-1.3827337389410017</v>
      </c>
      <c r="Z545" s="32" t="str">
        <f t="shared" si="467"/>
        <v>-2.46736850452529+2.86781694477208i</v>
      </c>
      <c r="AA545" s="18">
        <f t="shared" si="481"/>
        <v>3.7831575919918055</v>
      </c>
      <c r="AB545" s="18">
        <f t="shared" si="482"/>
        <v>2.2812769502337136</v>
      </c>
      <c r="AC545" s="68" t="str">
        <f t="shared" si="483"/>
        <v>-0.0353649264058904+0.0245889611180058i</v>
      </c>
      <c r="AD545" s="66">
        <f t="shared" si="484"/>
        <v>-27.31587019156127</v>
      </c>
      <c r="AE545" s="63">
        <f t="shared" si="485"/>
        <v>145.18940809518563</v>
      </c>
      <c r="AF545" s="51" t="e">
        <f t="shared" si="486"/>
        <v>#NUM!</v>
      </c>
      <c r="AG545" s="51" t="str">
        <f t="shared" si="468"/>
        <v>1-5014.21651618638i</v>
      </c>
      <c r="AH545" s="51">
        <f t="shared" si="487"/>
        <v>5014.2166159028557</v>
      </c>
      <c r="AI545" s="51">
        <f t="shared" si="488"/>
        <v>-1.5705968938458976</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-0.000133283554228113</v>
      </c>
      <c r="AT545" s="32" t="str">
        <f t="shared" si="472"/>
        <v>0.71486013465764i</v>
      </c>
      <c r="AU545" s="32">
        <f t="shared" si="496"/>
        <v>0.71486013465763998</v>
      </c>
      <c r="AV545" s="32">
        <f t="shared" si="497"/>
        <v>1.5707963267948966</v>
      </c>
      <c r="AW545" s="32" t="str">
        <f t="shared" si="473"/>
        <v>1+124.9879963946i</v>
      </c>
      <c r="AX545" s="32">
        <f t="shared" si="498"/>
        <v>124.99199671473588</v>
      </c>
      <c r="AY545" s="32">
        <f t="shared" si="499"/>
        <v>1.5627957291996581</v>
      </c>
      <c r="AZ545" s="32" t="str">
        <f t="shared" si="474"/>
        <v>1+1862.62599505123i</v>
      </c>
      <c r="BA545" s="32">
        <f t="shared" si="500"/>
        <v>1862.6262634894269</v>
      </c>
      <c r="BB545" s="32">
        <f t="shared" si="501"/>
        <v>1.5702594504136058</v>
      </c>
      <c r="BC545" s="60" t="str">
        <f t="shared" si="502"/>
        <v>-0.0000207372126060084+0.00277834969178605i</v>
      </c>
      <c r="BD545" s="51">
        <f t="shared" si="503"/>
        <v>-51.12401993465739</v>
      </c>
      <c r="BE545" s="63">
        <f t="shared" si="504"/>
        <v>90.427639725021464</v>
      </c>
      <c r="BF545" s="60" t="str">
        <f t="shared" si="505"/>
        <v>-0.0000675833625458758-0.0000987660388943069i</v>
      </c>
      <c r="BG545" s="66">
        <f t="shared" si="506"/>
        <v>-78.439890126218671</v>
      </c>
      <c r="BH545" s="63">
        <f t="shared" si="507"/>
        <v>-124.38295217979291</v>
      </c>
      <c r="BI545" s="60" t="e">
        <f t="shared" si="460"/>
        <v>#NUM!</v>
      </c>
      <c r="BJ545" s="66" t="e">
        <f t="shared" si="508"/>
        <v>#NUM!</v>
      </c>
      <c r="BK545" s="63" t="e">
        <f t="shared" si="461"/>
        <v>#NUM!</v>
      </c>
      <c r="BL545" s="51">
        <f t="shared" si="509"/>
        <v>-78.439890126218671</v>
      </c>
      <c r="BM545" s="63">
        <f t="shared" si="510"/>
        <v>-124.38295217979291</v>
      </c>
    </row>
    <row r="546" spans="14:65" x14ac:dyDescent="0.3">
      <c r="N546" s="11">
        <v>28</v>
      </c>
      <c r="O546" s="52">
        <f t="shared" si="462"/>
        <v>1905460.7179632513</v>
      </c>
      <c r="P546" s="50" t="str">
        <f t="shared" si="463"/>
        <v>21.1560044893378</v>
      </c>
      <c r="Q546" s="18" t="str">
        <f t="shared" si="464"/>
        <v>1+8344.37406332837i</v>
      </c>
      <c r="R546" s="18">
        <f t="shared" si="475"/>
        <v>8344.374123248981</v>
      </c>
      <c r="S546" s="18">
        <f t="shared" si="476"/>
        <v>1.5706764855716218</v>
      </c>
      <c r="T546" s="18" t="str">
        <f t="shared" si="465"/>
        <v>1+11.9723627865146i</v>
      </c>
      <c r="U546" s="18">
        <f t="shared" si="477"/>
        <v>12.014053050154208</v>
      </c>
      <c r="V546" s="18">
        <f t="shared" si="478"/>
        <v>1.4874640564900197</v>
      </c>
      <c r="W546" s="32" t="str">
        <f t="shared" si="466"/>
        <v>1-5.37693689642875i</v>
      </c>
      <c r="X546" s="18">
        <f t="shared" si="479"/>
        <v>5.4691361647134755</v>
      </c>
      <c r="Y546" s="18">
        <f t="shared" si="480"/>
        <v>-1.3869176471583549</v>
      </c>
      <c r="Z546" s="32" t="str">
        <f t="shared" si="467"/>
        <v>-2.63078054770105+2.9346169827293i</v>
      </c>
      <c r="AA546" s="18">
        <f t="shared" si="481"/>
        <v>3.9411905720842091</v>
      </c>
      <c r="AB546" s="18">
        <f t="shared" si="482"/>
        <v>2.3016547898757818</v>
      </c>
      <c r="AC546" s="68" t="str">
        <f t="shared" si="483"/>
        <v>-0.034149629690259+0.0249090528708106i</v>
      </c>
      <c r="AD546" s="66">
        <f t="shared" si="484"/>
        <v>-27.47958541809599</v>
      </c>
      <c r="AE546" s="63">
        <f t="shared" si="485"/>
        <v>143.8926459402519</v>
      </c>
      <c r="AF546" s="51" t="e">
        <f t="shared" si="486"/>
        <v>#NUM!</v>
      </c>
      <c r="AG546" s="51" t="str">
        <f t="shared" si="468"/>
        <v>1-5131.01262279198i</v>
      </c>
      <c r="AH546" s="51">
        <f t="shared" si="487"/>
        <v>5131.0127202386311</v>
      </c>
      <c r="AI546" s="51">
        <f t="shared" si="488"/>
        <v>-1.5706014334939336</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-0.000133283554228113</v>
      </c>
      <c r="AT546" s="32" t="str">
        <f t="shared" si="472"/>
        <v>0.73151136625604i</v>
      </c>
      <c r="AU546" s="32">
        <f t="shared" si="496"/>
        <v>0.73151136625603996</v>
      </c>
      <c r="AV546" s="32">
        <f t="shared" si="497"/>
        <v>1.5707963267948966</v>
      </c>
      <c r="AW546" s="32" t="str">
        <f t="shared" si="473"/>
        <v>1+127.899340829807i</v>
      </c>
      <c r="AX546" s="32">
        <f t="shared" si="498"/>
        <v>127.90325009435506</v>
      </c>
      <c r="AY546" s="32">
        <f t="shared" si="499"/>
        <v>1.5629778375269225</v>
      </c>
      <c r="AZ546" s="32" t="str">
        <f t="shared" si="474"/>
        <v>1+1906.01212797591i</v>
      </c>
      <c r="BA546" s="32">
        <f t="shared" si="500"/>
        <v>1906.0123903037088</v>
      </c>
      <c r="BB546" s="32">
        <f t="shared" si="501"/>
        <v>1.5702716712097784</v>
      </c>
      <c r="BC546" s="60" t="str">
        <f t="shared" si="502"/>
        <v>-0.0000198039413455418+0.00271511402856446i</v>
      </c>
      <c r="BD546" s="51">
        <f t="shared" si="503"/>
        <v>-51.324007479635512</v>
      </c>
      <c r="BE546" s="63">
        <f t="shared" si="504"/>
        <v>90.417905886498019</v>
      </c>
      <c r="BF546" s="60" t="str">
        <f t="shared" si="505"/>
        <v>-0.0000669546216244338-0.0000932134360643301i</v>
      </c>
      <c r="BG546" s="66">
        <f t="shared" si="506"/>
        <v>-78.803592897731519</v>
      </c>
      <c r="BH546" s="63">
        <f t="shared" si="507"/>
        <v>-125.68944817325009</v>
      </c>
      <c r="BI546" s="60" t="e">
        <f t="shared" si="460"/>
        <v>#NUM!</v>
      </c>
      <c r="BJ546" s="66" t="e">
        <f t="shared" si="508"/>
        <v>#NUM!</v>
      </c>
      <c r="BK546" s="63" t="e">
        <f t="shared" si="461"/>
        <v>#NUM!</v>
      </c>
      <c r="BL546" s="51">
        <f t="shared" si="509"/>
        <v>-78.803592897731519</v>
      </c>
      <c r="BM546" s="63">
        <f t="shared" si="510"/>
        <v>-125.68944817325009</v>
      </c>
    </row>
    <row r="547" spans="14:65" x14ac:dyDescent="0.3">
      <c r="N547" s="11">
        <v>29</v>
      </c>
      <c r="O547" s="52">
        <f t="shared" si="462"/>
        <v>1949844.5997580495</v>
      </c>
      <c r="P547" s="50" t="str">
        <f t="shared" si="463"/>
        <v>21.1560044893378</v>
      </c>
      <c r="Q547" s="18" t="str">
        <f t="shared" si="464"/>
        <v>1+8538.73950397315i</v>
      </c>
      <c r="R547" s="18">
        <f t="shared" si="475"/>
        <v>8538.7395625298013</v>
      </c>
      <c r="S547" s="18">
        <f t="shared" si="476"/>
        <v>1.5706792134908822</v>
      </c>
      <c r="T547" s="18" t="str">
        <f t="shared" si="465"/>
        <v>1+12.2512349404832i</v>
      </c>
      <c r="U547" s="18">
        <f t="shared" si="477"/>
        <v>12.291979399873577</v>
      </c>
      <c r="V547" s="18">
        <f t="shared" si="478"/>
        <v>1.4893524567005179</v>
      </c>
      <c r="W547" s="32" t="str">
        <f t="shared" si="466"/>
        <v>1-5.50218184605133i</v>
      </c>
      <c r="X547" s="18">
        <f t="shared" si="479"/>
        <v>5.5923166100478277</v>
      </c>
      <c r="Y547" s="18">
        <f t="shared" si="480"/>
        <v>-1.3910126192753725</v>
      </c>
      <c r="Z547" s="32" t="str">
        <f t="shared" si="467"/>
        <v>-2.80189396320559+3.00297299345496i</v>
      </c>
      <c r="AA547" s="18">
        <f t="shared" si="481"/>
        <v>4.1071226644048231</v>
      </c>
      <c r="AB547" s="18">
        <f t="shared" si="482"/>
        <v>2.3215686040251002</v>
      </c>
      <c r="AC547" s="68" t="str">
        <f t="shared" si="483"/>
        <v>-0.0329540138279285+0.0251723922642473i</v>
      </c>
      <c r="AD547" s="66">
        <f t="shared" si="484"/>
        <v>-27.645684318480015</v>
      </c>
      <c r="AE547" s="63">
        <f t="shared" si="485"/>
        <v>142.62508487979196</v>
      </c>
      <c r="AF547" s="51" t="e">
        <f t="shared" si="486"/>
        <v>#NUM!</v>
      </c>
      <c r="AG547" s="51" t="str">
        <f t="shared" si="468"/>
        <v>1-5250.52926020709i</v>
      </c>
      <c r="AH547" s="51">
        <f t="shared" si="487"/>
        <v>5250.5293554355849</v>
      </c>
      <c r="AI547" s="51">
        <f t="shared" si="488"/>
        <v>-1.570605869806972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-0.000133283554228113</v>
      </c>
      <c r="AT547" s="32" t="str">
        <f t="shared" si="472"/>
        <v>0.748550454863526i</v>
      </c>
      <c r="AU547" s="32">
        <f t="shared" si="496"/>
        <v>0.748550454863526</v>
      </c>
      <c r="AV547" s="32">
        <f t="shared" si="497"/>
        <v>1.5707963267948966</v>
      </c>
      <c r="AW547" s="32" t="str">
        <f t="shared" si="473"/>
        <v>1+130.878499188469i</v>
      </c>
      <c r="AX547" s="32">
        <f t="shared" si="498"/>
        <v>130.88231946991954</v>
      </c>
      <c r="AY547" s="32">
        <f t="shared" si="499"/>
        <v>1.5631558010636755</v>
      </c>
      <c r="AZ547" s="32" t="str">
        <f t="shared" si="474"/>
        <v>1+1950.40885375986i</v>
      </c>
      <c r="BA547" s="32">
        <f t="shared" si="500"/>
        <v>1950.4091101163494</v>
      </c>
      <c r="BB547" s="32">
        <f t="shared" si="501"/>
        <v>1.5702836138268195</v>
      </c>
      <c r="BC547" s="60" t="str">
        <f t="shared" si="502"/>
        <v>-0.0000189126691913798+0.00265331729777279i</v>
      </c>
      <c r="BD547" s="51">
        <f t="shared" si="503"/>
        <v>-51.523995585148413</v>
      </c>
      <c r="BE547" s="63">
        <f t="shared" si="504"/>
        <v>90.408393588487627</v>
      </c>
      <c r="BF547" s="60" t="str">
        <f t="shared" si="505"/>
        <v>-0.0000661670954589936-0.0000879135320483358i</v>
      </c>
      <c r="BG547" s="66">
        <f t="shared" si="506"/>
        <v>-79.169679903628435</v>
      </c>
      <c r="BH547" s="63">
        <f t="shared" si="507"/>
        <v>-126.96652153172042</v>
      </c>
      <c r="BI547" s="60" t="e">
        <f t="shared" si="460"/>
        <v>#NUM!</v>
      </c>
      <c r="BJ547" s="66" t="e">
        <f t="shared" si="508"/>
        <v>#NUM!</v>
      </c>
      <c r="BK547" s="63" t="e">
        <f t="shared" si="461"/>
        <v>#NUM!</v>
      </c>
      <c r="BL547" s="51">
        <f t="shared" si="509"/>
        <v>-79.169679903628435</v>
      </c>
      <c r="BM547" s="63">
        <f t="shared" si="510"/>
        <v>-126.96652153172042</v>
      </c>
    </row>
    <row r="548" spans="14:65" x14ac:dyDescent="0.3">
      <c r="N548" s="11">
        <v>30</v>
      </c>
      <c r="O548" s="52">
        <f t="shared" si="462"/>
        <v>1995262.31496888</v>
      </c>
      <c r="P548" s="50" t="str">
        <f t="shared" si="463"/>
        <v>21.1560044893378</v>
      </c>
      <c r="Q548" s="18" t="str">
        <f t="shared" si="464"/>
        <v>1+8737.63229732658i</v>
      </c>
      <c r="R548" s="18">
        <f t="shared" si="475"/>
        <v>8737.6323545503201</v>
      </c>
      <c r="S548" s="18">
        <f t="shared" si="476"/>
        <v>1.5706818793151212</v>
      </c>
      <c r="T548" s="18" t="str">
        <f t="shared" si="465"/>
        <v>1+12.5366028613816i</v>
      </c>
      <c r="U548" s="18">
        <f t="shared" si="477"/>
        <v>12.576422834176707</v>
      </c>
      <c r="V548" s="18">
        <f t="shared" si="478"/>
        <v>1.491198434371964</v>
      </c>
      <c r="W548" s="32" t="str">
        <f t="shared" si="466"/>
        <v>1-5.63034412531872i</v>
      </c>
      <c r="X548" s="18">
        <f t="shared" si="479"/>
        <v>5.7184591429432308</v>
      </c>
      <c r="Y548" s="18">
        <f t="shared" si="480"/>
        <v>-1.3950202768889406</v>
      </c>
      <c r="Z548" s="32" t="str">
        <f t="shared" si="467"/>
        <v>-2.98107170553496+3.07292122021083i</v>
      </c>
      <c r="AA548" s="18">
        <f t="shared" si="481"/>
        <v>4.281312104853269</v>
      </c>
      <c r="AB548" s="18">
        <f t="shared" si="482"/>
        <v>2.3410239293029251</v>
      </c>
      <c r="AC548" s="68" t="str">
        <f t="shared" si="483"/>
        <v>-0.0317802278051371+0.0253822038078788i</v>
      </c>
      <c r="AD548" s="66">
        <f t="shared" si="484"/>
        <v>-27.814017053055508</v>
      </c>
      <c r="AE548" s="63">
        <f t="shared" si="485"/>
        <v>141.38636897449885</v>
      </c>
      <c r="AF548" s="51" t="e">
        <f t="shared" si="486"/>
        <v>#NUM!</v>
      </c>
      <c r="AG548" s="51" t="str">
        <f t="shared" si="468"/>
        <v>1-5372.82979773498i</v>
      </c>
      <c r="AH548" s="51">
        <f t="shared" si="487"/>
        <v>5372.8298907958097</v>
      </c>
      <c r="AI548" s="51">
        <f t="shared" si="488"/>
        <v>-1.5706102051372044</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-0.000133283554228113</v>
      </c>
      <c r="AT548" s="32" t="str">
        <f t="shared" si="472"/>
        <v>0.765986434830415i</v>
      </c>
      <c r="AU548" s="32">
        <f t="shared" si="496"/>
        <v>0.76598643483041495</v>
      </c>
      <c r="AV548" s="32">
        <f t="shared" si="497"/>
        <v>1.5707963267948966</v>
      </c>
      <c r="AW548" s="32" t="str">
        <f t="shared" si="473"/>
        <v>1+133.927051059783i</v>
      </c>
      <c r="AX548" s="32">
        <f t="shared" si="498"/>
        <v>133.93078438346325</v>
      </c>
      <c r="AY548" s="32">
        <f t="shared" si="499"/>
        <v>1.5633297141234235</v>
      </c>
      <c r="AZ548" s="32" t="str">
        <f t="shared" si="474"/>
        <v>1+1995.83971213481i</v>
      </c>
      <c r="BA548" s="32">
        <f t="shared" si="500"/>
        <v>1995.8399626559144</v>
      </c>
      <c r="BB548" s="32">
        <f t="shared" si="501"/>
        <v>1.570295284596849</v>
      </c>
      <c r="BC548" s="60" t="str">
        <f t="shared" si="502"/>
        <v>-0.0000180615063139974+0.00259292677781112i</v>
      </c>
      <c r="BD548" s="51">
        <f t="shared" si="503"/>
        <v>-51.723984225970582</v>
      </c>
      <c r="BE548" s="63">
        <f t="shared" si="504"/>
        <v>90.399097790028208</v>
      </c>
      <c r="BF548" s="60" t="str">
        <f t="shared" si="505"/>
        <v>-0.0000652401971481456-0.0000828622445152167i</v>
      </c>
      <c r="BG548" s="66">
        <f t="shared" si="506"/>
        <v>-79.538001279026076</v>
      </c>
      <c r="BH548" s="63">
        <f t="shared" si="507"/>
        <v>-128.21453323547294</v>
      </c>
      <c r="BI548" s="60" t="e">
        <f t="shared" si="460"/>
        <v>#NUM!</v>
      </c>
      <c r="BJ548" s="66" t="e">
        <f t="shared" si="508"/>
        <v>#NUM!</v>
      </c>
      <c r="BK548" s="63" t="e">
        <f t="shared" si="461"/>
        <v>#NUM!</v>
      </c>
      <c r="BL548" s="51">
        <f t="shared" si="509"/>
        <v>-79.538001279026076</v>
      </c>
      <c r="BM548" s="63">
        <f t="shared" si="510"/>
        <v>-128.21453323547294</v>
      </c>
    </row>
    <row r="549" spans="14:65" x14ac:dyDescent="0.3">
      <c r="N549" s="11">
        <v>31</v>
      </c>
      <c r="O549" s="52">
        <f t="shared" si="462"/>
        <v>2041737.9446695296</v>
      </c>
      <c r="P549" s="50" t="str">
        <f t="shared" si="463"/>
        <v>21.1560044893378</v>
      </c>
      <c r="Q549" s="18" t="str">
        <f t="shared" si="464"/>
        <v>1+8941.15789898025i</v>
      </c>
      <c r="R549" s="18">
        <f t="shared" si="475"/>
        <v>8941.1579549014168</v>
      </c>
      <c r="S549" s="18">
        <f t="shared" si="476"/>
        <v>1.5706844844577934</v>
      </c>
      <c r="T549" s="18" t="str">
        <f t="shared" si="465"/>
        <v>1+12.8286178550586i</v>
      </c>
      <c r="U549" s="18">
        <f t="shared" si="477"/>
        <v>12.867534187680572</v>
      </c>
      <c r="V549" s="18">
        <f t="shared" si="478"/>
        <v>1.4930029179147768</v>
      </c>
      <c r="W549" s="32" t="str">
        <f t="shared" si="466"/>
        <v>1-5.76149168756774i</v>
      </c>
      <c r="X549" s="18">
        <f t="shared" si="479"/>
        <v>5.8476308421370247</v>
      </c>
      <c r="Y549" s="18">
        <f t="shared" si="480"/>
        <v>-1.3989422297115657</v>
      </c>
      <c r="Z549" s="32" t="str">
        <f t="shared" si="467"/>
        <v>-3.16869383470332+3.14449875047255i</v>
      </c>
      <c r="AA549" s="18">
        <f t="shared" si="481"/>
        <v>4.4641340716661118</v>
      </c>
      <c r="AB549" s="18">
        <f t="shared" si="482"/>
        <v>2.3600269355752492</v>
      </c>
      <c r="AC549" s="68" t="str">
        <f t="shared" si="483"/>
        <v>-0.0306301051586653+0.0255416901069097i</v>
      </c>
      <c r="AD549" s="66">
        <f t="shared" si="484"/>
        <v>-27.984441344030124</v>
      </c>
      <c r="AE549" s="63">
        <f t="shared" si="485"/>
        <v>140.1761056003721</v>
      </c>
      <c r="AF549" s="51" t="e">
        <f t="shared" si="486"/>
        <v>#NUM!</v>
      </c>
      <c r="AG549" s="51" t="str">
        <f t="shared" si="468"/>
        <v>1-5497.97908073941i</v>
      </c>
      <c r="AH549" s="51">
        <f t="shared" si="487"/>
        <v>5497.9791716819163</v>
      </c>
      <c r="AI549" s="51">
        <f t="shared" si="488"/>
        <v>-1.5706144417832792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-0.000133283554228113</v>
      </c>
      <c r="AT549" s="32" t="str">
        <f t="shared" si="472"/>
        <v>0.783828550944083i</v>
      </c>
      <c r="AU549" s="32">
        <f t="shared" si="496"/>
        <v>0.78382855094408299</v>
      </c>
      <c r="AV549" s="32">
        <f t="shared" si="497"/>
        <v>1.5707963267948966</v>
      </c>
      <c r="AW549" s="32" t="str">
        <f t="shared" si="473"/>
        <v>1+137.046612826302i</v>
      </c>
      <c r="AX549" s="32">
        <f t="shared" si="498"/>
        <v>137.05026117144877</v>
      </c>
      <c r="AY549" s="32">
        <f t="shared" si="499"/>
        <v>1.563499668875068</v>
      </c>
      <c r="AZ549" s="32" t="str">
        <f t="shared" si="474"/>
        <v>1+2042.32879114318i</v>
      </c>
      <c r="BA549" s="32">
        <f t="shared" si="500"/>
        <v>2042.3290359617288</v>
      </c>
      <c r="BB549" s="32">
        <f t="shared" si="501"/>
        <v>1.5703066897078508</v>
      </c>
      <c r="BC549" s="60" t="str">
        <f t="shared" si="502"/>
        <v>-0.000017248647901354+0.00253391048974507i</v>
      </c>
      <c r="BD549" s="51">
        <f t="shared" si="503"/>
        <v>-51.9239733780121</v>
      </c>
      <c r="BE549" s="63">
        <f t="shared" si="504"/>
        <v>90.390013564776083</v>
      </c>
      <c r="BF549" s="60" t="str">
        <f t="shared" si="505"/>
        <v>-0.0000641920285886531-0.0000780545043829962i</v>
      </c>
      <c r="BG549" s="66">
        <f t="shared" si="506"/>
        <v>-79.90841472204221</v>
      </c>
      <c r="BH549" s="63">
        <f t="shared" si="507"/>
        <v>-129.43388083485181</v>
      </c>
      <c r="BI549" s="60" t="e">
        <f t="shared" si="460"/>
        <v>#NUM!</v>
      </c>
      <c r="BJ549" s="66" t="e">
        <f t="shared" si="508"/>
        <v>#NUM!</v>
      </c>
      <c r="BK549" s="63" t="e">
        <f t="shared" si="461"/>
        <v>#NUM!</v>
      </c>
      <c r="BL549" s="51">
        <f t="shared" si="509"/>
        <v>-79.90841472204221</v>
      </c>
      <c r="BM549" s="63">
        <f t="shared" si="510"/>
        <v>-129.43388083485181</v>
      </c>
    </row>
    <row r="550" spans="14:65" x14ac:dyDescent="0.3">
      <c r="N550" s="11">
        <v>32</v>
      </c>
      <c r="O550" s="52">
        <f t="shared" si="462"/>
        <v>2089296.1308540432</v>
      </c>
      <c r="P550" s="50" t="str">
        <f t="shared" si="463"/>
        <v>21.1560044893378</v>
      </c>
      <c r="Q550" s="18" t="str">
        <f t="shared" si="464"/>
        <v>1+9149.42422090225i</v>
      </c>
      <c r="R550" s="18">
        <f t="shared" si="475"/>
        <v>9149.4242755504965</v>
      </c>
      <c r="S550" s="18">
        <f t="shared" si="476"/>
        <v>1.5706870303001803</v>
      </c>
      <c r="T550" s="18" t="str">
        <f t="shared" si="465"/>
        <v>1+13.1274347517293i</v>
      </c>
      <c r="U550" s="18">
        <f t="shared" si="477"/>
        <v>13.165467829169994</v>
      </c>
      <c r="V550" s="18">
        <f t="shared" si="478"/>
        <v>1.4947668170582686</v>
      </c>
      <c r="W550" s="32" t="str">
        <f t="shared" si="466"/>
        <v>1-5.89569406897192i</v>
      </c>
      <c r="X550" s="18">
        <f t="shared" si="479"/>
        <v>5.9799003800155974</v>
      </c>
      <c r="Y550" s="18">
        <f t="shared" si="480"/>
        <v>-1.4027800743635863</v>
      </c>
      <c r="Z550" s="32" t="str">
        <f t="shared" si="467"/>
        <v>-3.36515832240168+3.21774353559417i</v>
      </c>
      <c r="AA550" s="18">
        <f t="shared" si="481"/>
        <v>4.6559815287098552</v>
      </c>
      <c r="AB550" s="18">
        <f t="shared" si="482"/>
        <v>2.3785843352635805</v>
      </c>
      <c r="AC550" s="68" t="str">
        <f t="shared" si="483"/>
        <v>-0.0295051856950012+0.0256540086048016i</v>
      </c>
      <c r="AD550" s="66">
        <f t="shared" si="484"/>
        <v>-28.156822400655997</v>
      </c>
      <c r="AE550" s="63">
        <f t="shared" si="485"/>
        <v>138.99387072889041</v>
      </c>
      <c r="AF550" s="51" t="e">
        <f t="shared" si="486"/>
        <v>#NUM!</v>
      </c>
      <c r="AG550" s="51" t="str">
        <f t="shared" si="468"/>
        <v>1-5626.04346502685i</v>
      </c>
      <c r="AH550" s="51">
        <f t="shared" si="487"/>
        <v>5626.0435538992515</v>
      </c>
      <c r="AI550" s="51">
        <f t="shared" si="488"/>
        <v>-1.5706185819915219</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-0.000133283554228113</v>
      </c>
      <c r="AT550" s="32" t="str">
        <f t="shared" si="472"/>
        <v>0.802086263330659i</v>
      </c>
      <c r="AU550" s="32">
        <f t="shared" si="496"/>
        <v>0.80208626333065902</v>
      </c>
      <c r="AV550" s="32">
        <f t="shared" si="497"/>
        <v>1.5707963267948966</v>
      </c>
      <c r="AW550" s="32" t="str">
        <f t="shared" si="473"/>
        <v>1+140.238838520969i</v>
      </c>
      <c r="AX550" s="32">
        <f t="shared" si="498"/>
        <v>140.24240382177717</v>
      </c>
      <c r="AY550" s="32">
        <f t="shared" si="499"/>
        <v>1.5636657553915723</v>
      </c>
      <c r="AZ550" s="32" t="str">
        <f t="shared" si="474"/>
        <v>1+2089.90073991005i</v>
      </c>
      <c r="BA550" s="32">
        <f t="shared" si="500"/>
        <v>2089.9009791558483</v>
      </c>
      <c r="BB550" s="32">
        <f t="shared" si="501"/>
        <v>1.570317835206954</v>
      </c>
      <c r="BC550" s="60" t="str">
        <f t="shared" si="502"/>
        <v>-0.0000164723703358955+0.00247623718054568i</v>
      </c>
      <c r="BD550" s="51">
        <f t="shared" si="503"/>
        <v>-52.123963018266593</v>
      </c>
      <c r="BE550" s="63">
        <f t="shared" si="504"/>
        <v>90.38113609840552</v>
      </c>
      <c r="BF550" s="60" t="str">
        <f t="shared" si="505"/>
        <v>-0.0000630393895916511-0.000073484420167205i</v>
      </c>
      <c r="BG550" s="66">
        <f t="shared" si="506"/>
        <v>-80.280785418922591</v>
      </c>
      <c r="BH550" s="63">
        <f t="shared" si="507"/>
        <v>-130.62499317270405</v>
      </c>
      <c r="BI550" s="60" t="e">
        <f t="shared" si="460"/>
        <v>#NUM!</v>
      </c>
      <c r="BJ550" s="66" t="e">
        <f t="shared" si="508"/>
        <v>#NUM!</v>
      </c>
      <c r="BK550" s="63" t="e">
        <f t="shared" si="461"/>
        <v>#NUM!</v>
      </c>
      <c r="BL550" s="51">
        <f t="shared" si="509"/>
        <v>-80.280785418922591</v>
      </c>
      <c r="BM550" s="63">
        <f t="shared" si="510"/>
        <v>-130.62499317270405</v>
      </c>
    </row>
    <row r="551" spans="14:65" x14ac:dyDescent="0.3">
      <c r="N551" s="11">
        <v>33</v>
      </c>
      <c r="O551" s="52">
        <f t="shared" si="462"/>
        <v>2137962.0895022359</v>
      </c>
      <c r="P551" s="50" t="str">
        <f t="shared" si="463"/>
        <v>21.1560044893378</v>
      </c>
      <c r="Q551" s="18" t="str">
        <f t="shared" si="464"/>
        <v>1+9362.54168865305i</v>
      </c>
      <c r="R551" s="18">
        <f t="shared" si="475"/>
        <v>9362.5417420573503</v>
      </c>
      <c r="S551" s="18">
        <f t="shared" si="476"/>
        <v>1.5706895181921205</v>
      </c>
      <c r="T551" s="18" t="str">
        <f t="shared" si="465"/>
        <v>1+13.4332119880674i</v>
      </c>
      <c r="U551" s="18">
        <f t="shared" si="477"/>
        <v>13.470381743527453</v>
      </c>
      <c r="V551" s="18">
        <f t="shared" si="478"/>
        <v>1.4964910231158497</v>
      </c>
      <c r="W551" s="32" t="str">
        <f t="shared" si="466"/>
        <v>1-6.03302242541015i</v>
      </c>
      <c r="X551" s="18">
        <f t="shared" si="479"/>
        <v>6.1153380597888258</v>
      </c>
      <c r="Y551" s="18">
        <f t="shared" si="480"/>
        <v>-1.406535393272069</v>
      </c>
      <c r="Z551" s="32" t="str">
        <f t="shared" si="467"/>
        <v>-3.57088189614876+3.2926944109302i</v>
      </c>
      <c r="AA551" s="18">
        <f t="shared" si="481"/>
        <v>4.8572661034798106</v>
      </c>
      <c r="AB551" s="18">
        <f t="shared" si="482"/>
        <v>2.3967032994411239</v>
      </c>
      <c r="AC551" s="68" t="str">
        <f t="shared" si="483"/>
        <v>-0.0284067376351919+0.0257222520830009i</v>
      </c>
      <c r="AD551" s="66">
        <f t="shared" si="484"/>
        <v>-28.331032791339403</v>
      </c>
      <c r="AE551" s="63">
        <f t="shared" si="485"/>
        <v>137.83921381258887</v>
      </c>
      <c r="AF551" s="51" t="e">
        <f t="shared" si="486"/>
        <v>#NUM!</v>
      </c>
      <c r="AG551" s="51" t="str">
        <f t="shared" si="468"/>
        <v>1-5757.09085202889i</v>
      </c>
      <c r="AH551" s="51">
        <f t="shared" si="487"/>
        <v>5757.0909388783084</v>
      </c>
      <c r="AI551" s="51">
        <f t="shared" si="488"/>
        <v>-1.5706226279571249</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-0.000133283554228113</v>
      </c>
      <c r="AT551" s="32" t="str">
        <f t="shared" si="472"/>
        <v>0.820769252470919i</v>
      </c>
      <c r="AU551" s="32">
        <f t="shared" si="496"/>
        <v>0.82076925247091903</v>
      </c>
      <c r="AV551" s="32">
        <f t="shared" si="497"/>
        <v>1.5707963267948966</v>
      </c>
      <c r="AW551" s="32" t="str">
        <f t="shared" si="473"/>
        <v>1+143.5054207041i</v>
      </c>
      <c r="AX551" s="32">
        <f t="shared" si="498"/>
        <v>143.50890485074692</v>
      </c>
      <c r="AY551" s="32">
        <f t="shared" si="499"/>
        <v>1.5638280616975335</v>
      </c>
      <c r="AZ551" s="32" t="str">
        <f t="shared" si="474"/>
        <v>1+2138.58078171232i</v>
      </c>
      <c r="BA551" s="32">
        <f t="shared" si="500"/>
        <v>2138.5810155122199</v>
      </c>
      <c r="BB551" s="32">
        <f t="shared" si="501"/>
        <v>1.5703287270036388</v>
      </c>
      <c r="BC551" s="60" t="str">
        <f t="shared" si="502"/>
        <v>-0.0000157310275433182+0.00241987630670062i</v>
      </c>
      <c r="BD551" s="51">
        <f t="shared" si="503"/>
        <v>-52.323953124763236</v>
      </c>
      <c r="BE551" s="63">
        <f t="shared" si="504"/>
        <v>90.372460686066944</v>
      </c>
      <c r="BF551" s="60" t="str">
        <f t="shared" si="505"/>
        <v>-0.0000617978011984795-0.0000691454288100555i</v>
      </c>
      <c r="BG551" s="66">
        <f t="shared" si="506"/>
        <v>-80.654985916102646</v>
      </c>
      <c r="BH551" s="63">
        <f t="shared" si="507"/>
        <v>-131.78832550134419</v>
      </c>
      <c r="BI551" s="60" t="e">
        <f t="shared" si="460"/>
        <v>#NUM!</v>
      </c>
      <c r="BJ551" s="66" t="e">
        <f t="shared" si="508"/>
        <v>#NUM!</v>
      </c>
      <c r="BK551" s="63" t="e">
        <f t="shared" si="461"/>
        <v>#NUM!</v>
      </c>
      <c r="BL551" s="51">
        <f t="shared" si="509"/>
        <v>-80.654985916102646</v>
      </c>
      <c r="BM551" s="63">
        <f t="shared" si="510"/>
        <v>-131.78832550134419</v>
      </c>
    </row>
    <row r="552" spans="14:65" x14ac:dyDescent="0.3">
      <c r="N552" s="11">
        <v>34</v>
      </c>
      <c r="O552" s="52">
        <f t="shared" si="462"/>
        <v>2187761.6239495561</v>
      </c>
      <c r="P552" s="50" t="str">
        <f t="shared" si="463"/>
        <v>21.1560044893378</v>
      </c>
      <c r="Q552" s="18" t="str">
        <f t="shared" si="464"/>
        <v>1+9580.62329993509i</v>
      </c>
      <c r="R552" s="18">
        <f t="shared" si="475"/>
        <v>9580.6233521237609</v>
      </c>
      <c r="S552" s="18">
        <f t="shared" si="476"/>
        <v>1.5706919494527278</v>
      </c>
      <c r="T552" s="18" t="str">
        <f t="shared" si="465"/>
        <v>1+13.7461116912112i</v>
      </c>
      <c r="U552" s="18">
        <f t="shared" si="477"/>
        <v>13.782437615576324</v>
      </c>
      <c r="V552" s="18">
        <f t="shared" si="478"/>
        <v>1.4981764092544951</v>
      </c>
      <c r="W552" s="32" t="str">
        <f t="shared" si="466"/>
        <v>1-6.17354957019485i</v>
      </c>
      <c r="X552" s="18">
        <f t="shared" si="479"/>
        <v>6.2540158534859041</v>
      </c>
      <c r="Y552" s="18">
        <f t="shared" si="480"/>
        <v>-1.4102097536706288</v>
      </c>
      <c r="Z552" s="32" t="str">
        <f t="shared" si="467"/>
        <v>-3.78630092322638+3.36939111642689i</v>
      </c>
      <c r="AA552" s="18">
        <f t="shared" si="481"/>
        <v>5.0684190016889277</v>
      </c>
      <c r="AB552" s="18">
        <f t="shared" si="482"/>
        <v>2.4143913807175741</v>
      </c>
      <c r="AC552" s="68" t="str">
        <f t="shared" si="483"/>
        <v>-0.0273357797623348+0.0257494326207048i</v>
      </c>
      <c r="AD552" s="66">
        <f t="shared" si="484"/>
        <v>-28.506952272013283</v>
      </c>
      <c r="AE552" s="63">
        <f t="shared" si="485"/>
        <v>136.71166227613895</v>
      </c>
      <c r="AF552" s="51" t="e">
        <f t="shared" si="486"/>
        <v>#NUM!</v>
      </c>
      <c r="AG552" s="51" t="str">
        <f t="shared" si="468"/>
        <v>1-5891.19072480481i</v>
      </c>
      <c r="AH552" s="51">
        <f t="shared" si="487"/>
        <v>5891.1908096772959</v>
      </c>
      <c r="AI552" s="51">
        <f t="shared" si="488"/>
        <v>-1.5706265818253127</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-0.000133283554228113</v>
      </c>
      <c r="AT552" s="32" t="str">
        <f t="shared" si="472"/>
        <v>0.839887424333004i</v>
      </c>
      <c r="AU552" s="32">
        <f t="shared" si="496"/>
        <v>0.83988742433300401</v>
      </c>
      <c r="AV552" s="32">
        <f t="shared" si="497"/>
        <v>1.5707963267948966</v>
      </c>
      <c r="AW552" s="32" t="str">
        <f t="shared" si="473"/>
        <v>1+146.848091360807i</v>
      </c>
      <c r="AX552" s="32">
        <f t="shared" si="498"/>
        <v>146.85149620045388</v>
      </c>
      <c r="AY552" s="32">
        <f t="shared" si="499"/>
        <v>1.5639866738156782</v>
      </c>
      <c r="AZ552" s="32" t="str">
        <f t="shared" si="474"/>
        <v>1+2188.39472735251i</v>
      </c>
      <c r="BA552" s="32">
        <f t="shared" si="500"/>
        <v>2188.3949558304753</v>
      </c>
      <c r="BB552" s="32">
        <f t="shared" si="501"/>
        <v>1.5703393708728692</v>
      </c>
      <c r="BC552" s="60" t="str">
        <f t="shared" si="502"/>
        <v>-0.0000150230475053899+0.00236479801818982i</v>
      </c>
      <c r="BD552" s="51">
        <f t="shared" si="503"/>
        <v>-52.5239436765196</v>
      </c>
      <c r="BE552" s="63">
        <f t="shared" si="504"/>
        <v>90.363982729902219</v>
      </c>
      <c r="BF552" s="60" t="str">
        <f t="shared" si="505"/>
        <v>-0.0000604815405129886-0.0000650304327571404i</v>
      </c>
      <c r="BG552" s="66">
        <f t="shared" si="506"/>
        <v>-81.030895948532887</v>
      </c>
      <c r="BH552" s="63">
        <f t="shared" si="507"/>
        <v>-132.92435499395881</v>
      </c>
      <c r="BI552" s="60" t="e">
        <f t="shared" si="460"/>
        <v>#NUM!</v>
      </c>
      <c r="BJ552" s="66" t="e">
        <f t="shared" si="508"/>
        <v>#NUM!</v>
      </c>
      <c r="BK552" s="63" t="e">
        <f t="shared" si="461"/>
        <v>#NUM!</v>
      </c>
      <c r="BL552" s="51">
        <f t="shared" si="509"/>
        <v>-81.030895948532887</v>
      </c>
      <c r="BM552" s="63">
        <f t="shared" si="510"/>
        <v>-132.92435499395881</v>
      </c>
    </row>
    <row r="553" spans="14:65" x14ac:dyDescent="0.3">
      <c r="N553" s="11">
        <v>35</v>
      </c>
      <c r="O553" s="52">
        <f t="shared" si="462"/>
        <v>2238721.1385683389</v>
      </c>
      <c r="P553" s="50" t="str">
        <f t="shared" si="463"/>
        <v>21.1560044893378</v>
      </c>
      <c r="Q553" s="18" t="str">
        <f t="shared" si="464"/>
        <v>1+9803.78468450525i</v>
      </c>
      <c r="R553" s="18">
        <f t="shared" si="475"/>
        <v>9803.7847355059603</v>
      </c>
      <c r="S553" s="18">
        <f t="shared" si="476"/>
        <v>1.5706943253710881</v>
      </c>
      <c r="T553" s="18" t="str">
        <f t="shared" si="465"/>
        <v>1+14.0662997647249i</v>
      </c>
      <c r="U553" s="18">
        <f t="shared" si="477"/>
        <v>14.101800915879496</v>
      </c>
      <c r="V553" s="18">
        <f t="shared" si="478"/>
        <v>1.4998238307677143</v>
      </c>
      <c r="W553" s="32" t="str">
        <f t="shared" si="466"/>
        <v>1-6.31735001267823i</v>
      </c>
      <c r="X553" s="18">
        <f t="shared" si="479"/>
        <v>6.3960074407934862</v>
      </c>
      <c r="Y553" s="18">
        <f t="shared" si="480"/>
        <v>-1.4138047066945065</v>
      </c>
      <c r="Z553" s="32" t="str">
        <f t="shared" si="467"/>
        <v>-4.01187233627269+3.44787431769264i</v>
      </c>
      <c r="AA553" s="18">
        <f t="shared" si="481"/>
        <v>5.2898919604425361</v>
      </c>
      <c r="AB553" s="18">
        <f t="shared" si="482"/>
        <v>2.4316564428065632</v>
      </c>
      <c r="AC553" s="68" t="str">
        <f t="shared" si="483"/>
        <v>-0.0262931032265528+0.0257384687003785i</v>
      </c>
      <c r="AD553" s="66">
        <f t="shared" si="484"/>
        <v>-28.684467579254395</v>
      </c>
      <c r="AE553" s="63">
        <f t="shared" si="485"/>
        <v>135.61072561928455</v>
      </c>
      <c r="AF553" s="51" t="e">
        <f t="shared" si="486"/>
        <v>#NUM!</v>
      </c>
      <c r="AG553" s="51" t="str">
        <f t="shared" si="468"/>
        <v>1-6028.41418488211i</v>
      </c>
      <c r="AH553" s="51">
        <f t="shared" si="487"/>
        <v>6028.4142678226617</v>
      </c>
      <c r="AI553" s="51">
        <f t="shared" si="488"/>
        <v>-1.5706304456924773</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-0.000133283554228113</v>
      </c>
      <c r="AT553" s="32" t="str">
        <f t="shared" si="472"/>
        <v>0.859450915624694i</v>
      </c>
      <c r="AU553" s="32">
        <f t="shared" si="496"/>
        <v>0.859450915624694</v>
      </c>
      <c r="AV553" s="32">
        <f t="shared" si="497"/>
        <v>1.5707963267948966</v>
      </c>
      <c r="AW553" s="32" t="str">
        <f t="shared" si="473"/>
        <v>1+150.268622819317i</v>
      </c>
      <c r="AX553" s="32">
        <f t="shared" si="498"/>
        <v>150.27195015708739</v>
      </c>
      <c r="AY553" s="32">
        <f t="shared" si="499"/>
        <v>1.5641416758123099</v>
      </c>
      <c r="AZ553" s="32" t="str">
        <f t="shared" si="474"/>
        <v>1+2239.36898884397i</v>
      </c>
      <c r="BA553" s="32">
        <f t="shared" si="500"/>
        <v>2239.369212121142</v>
      </c>
      <c r="BB553" s="32">
        <f t="shared" si="501"/>
        <v>1.5703497724581565</v>
      </c>
      <c r="BC553" s="60" t="str">
        <f t="shared" si="502"/>
        <v>-0.000014346928929471+0.0023109731428172i</v>
      </c>
      <c r="BD553" s="51">
        <f t="shared" si="503"/>
        <v>-52.723934653497587</v>
      </c>
      <c r="BE553" s="63">
        <f t="shared" si="504"/>
        <v>90.355697736616321</v>
      </c>
      <c r="BF553" s="60" t="str">
        <f t="shared" si="505"/>
        <v>-0.0000591036846204892-0.0000611319233790815i</v>
      </c>
      <c r="BG553" s="66">
        <f t="shared" si="506"/>
        <v>-81.408402232751982</v>
      </c>
      <c r="BH553" s="63">
        <f t="shared" si="507"/>
        <v>-134.03357664409913</v>
      </c>
      <c r="BI553" s="60" t="e">
        <f t="shared" si="460"/>
        <v>#NUM!</v>
      </c>
      <c r="BJ553" s="66" t="e">
        <f t="shared" si="508"/>
        <v>#NUM!</v>
      </c>
      <c r="BK553" s="63" t="e">
        <f t="shared" si="461"/>
        <v>#NUM!</v>
      </c>
      <c r="BL553" s="51">
        <f t="shared" si="509"/>
        <v>-81.408402232751982</v>
      </c>
      <c r="BM553" s="63">
        <f t="shared" si="510"/>
        <v>-134.03357664409913</v>
      </c>
    </row>
    <row r="554" spans="14:65" x14ac:dyDescent="0.3">
      <c r="N554" s="11">
        <v>36</v>
      </c>
      <c r="O554" s="52">
        <f t="shared" si="462"/>
        <v>2290867.6527677765</v>
      </c>
      <c r="P554" s="50" t="str">
        <f t="shared" si="463"/>
        <v>21.1560044893378</v>
      </c>
      <c r="Q554" s="18" t="str">
        <f t="shared" si="464"/>
        <v>1+10032.1441654837i</v>
      </c>
      <c r="R554" s="18">
        <f t="shared" si="475"/>
        <v>10032.144215323493</v>
      </c>
      <c r="S554" s="18">
        <f t="shared" si="476"/>
        <v>1.5706966472069448</v>
      </c>
      <c r="T554" s="18" t="str">
        <f t="shared" si="465"/>
        <v>1+14.3939459765635i</v>
      </c>
      <c r="U554" s="18">
        <f t="shared" si="477"/>
        <v>14.428640988541803</v>
      </c>
      <c r="V554" s="18">
        <f t="shared" si="478"/>
        <v>1.5014341253513523</v>
      </c>
      <c r="W554" s="32" t="str">
        <f t="shared" si="466"/>
        <v>1-6.4644999977584i</v>
      </c>
      <c r="X554" s="18">
        <f t="shared" si="479"/>
        <v>6.5413882487602244</v>
      </c>
      <c r="Y554" s="18">
        <f t="shared" si="480"/>
        <v>-1.4173217865655008</v>
      </c>
      <c r="Z554" s="32" t="str">
        <f t="shared" si="467"/>
        <v>-4.24807460249776+3.52818562755969i</v>
      </c>
      <c r="AA554" s="18">
        <f t="shared" si="481"/>
        <v>5.5221582421101685</v>
      </c>
      <c r="AB554" s="18">
        <f t="shared" si="482"/>
        <v>2.448506596583492</v>
      </c>
      <c r="AC554" s="68" t="str">
        <f t="shared" si="483"/>
        <v>-0.0252792927331615+0.0256921751392754i</v>
      </c>
      <c r="AD554" s="66">
        <f t="shared" si="484"/>
        <v>-28.863472195759662</v>
      </c>
      <c r="AE554" s="63">
        <f t="shared" si="485"/>
        <v>134.53589914292169</v>
      </c>
      <c r="AF554" s="51" t="e">
        <f t="shared" si="486"/>
        <v>#NUM!</v>
      </c>
      <c r="AG554" s="51" t="str">
        <f t="shared" si="468"/>
        <v>1-6168.8339899558i</v>
      </c>
      <c r="AH554" s="51">
        <f t="shared" si="487"/>
        <v>6168.8340710083939</v>
      </c>
      <c r="AI554" s="51">
        <f t="shared" si="488"/>
        <v>-1.5706342216072924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-0.000133283554228113</v>
      </c>
      <c r="AT554" s="32" t="str">
        <f t="shared" si="472"/>
        <v>0.879470099168029i</v>
      </c>
      <c r="AU554" s="32">
        <f t="shared" si="496"/>
        <v>0.87947009916802898</v>
      </c>
      <c r="AV554" s="32">
        <f t="shared" si="497"/>
        <v>1.5707963267948966</v>
      </c>
      <c r="AW554" s="32" t="str">
        <f t="shared" si="473"/>
        <v>1+153.768828690688i</v>
      </c>
      <c r="AX554" s="32">
        <f t="shared" si="498"/>
        <v>153.7720802906241</v>
      </c>
      <c r="AY554" s="32">
        <f t="shared" si="499"/>
        <v>1.5642931498417296</v>
      </c>
      <c r="AZ554" s="32" t="str">
        <f t="shared" si="474"/>
        <v>1+2291.53059341488i</v>
      </c>
      <c r="BA554" s="32">
        <f t="shared" si="500"/>
        <v>2291.5308116096435</v>
      </c>
      <c r="BB554" s="32">
        <f t="shared" si="501"/>
        <v>1.5703599372745494</v>
      </c>
      <c r="BC554" s="60" t="str">
        <f t="shared" si="502"/>
        <v>-0.0000137012380677036+0.00225837317089132i</v>
      </c>
      <c r="BD554" s="51">
        <f t="shared" si="503"/>
        <v>-52.923926036560843</v>
      </c>
      <c r="BE554" s="63">
        <f t="shared" si="504"/>
        <v>90.34760131510356</v>
      </c>
      <c r="BF554" s="60" t="str">
        <f t="shared" si="505"/>
        <v>-0.0000576761614284603-0.0000574420910957402i</v>
      </c>
      <c r="BG554" s="66">
        <f t="shared" si="506"/>
        <v>-81.787398232320498</v>
      </c>
      <c r="BH554" s="63">
        <f t="shared" si="507"/>
        <v>-135.11649954197469</v>
      </c>
      <c r="BI554" s="60" t="e">
        <f t="shared" si="460"/>
        <v>#NUM!</v>
      </c>
      <c r="BJ554" s="66" t="e">
        <f t="shared" si="508"/>
        <v>#NUM!</v>
      </c>
      <c r="BK554" s="63" t="e">
        <f t="shared" si="461"/>
        <v>#NUM!</v>
      </c>
      <c r="BL554" s="51">
        <f t="shared" si="509"/>
        <v>-81.787398232320498</v>
      </c>
      <c r="BM554" s="63">
        <f t="shared" si="510"/>
        <v>-135.11649954197469</v>
      </c>
    </row>
    <row r="555" spans="14:65" x14ac:dyDescent="0.3">
      <c r="N555" s="11">
        <v>37</v>
      </c>
      <c r="O555" s="52">
        <f t="shared" si="462"/>
        <v>2344228.8153199251</v>
      </c>
      <c r="P555" s="50" t="str">
        <f t="shared" si="463"/>
        <v>21.1560044893378</v>
      </c>
      <c r="Q555" s="18" t="str">
        <f t="shared" si="464"/>
        <v>1+10265.8228220897i</v>
      </c>
      <c r="R555" s="18">
        <f t="shared" si="475"/>
        <v>10265.822870795002</v>
      </c>
      <c r="S555" s="18">
        <f t="shared" si="476"/>
        <v>1.570698916191366</v>
      </c>
      <c r="T555" s="18" t="str">
        <f t="shared" si="465"/>
        <v>1+14.7292240490852i</v>
      </c>
      <c r="U555" s="18">
        <f t="shared" si="477"/>
        <v>14.763131141060484</v>
      </c>
      <c r="V555" s="18">
        <f t="shared" si="478"/>
        <v>1.5030081133815762</v>
      </c>
      <c r="W555" s="32" t="str">
        <f t="shared" si="466"/>
        <v>1-6.61507754630513i</v>
      </c>
      <c r="X555" s="18">
        <f t="shared" si="479"/>
        <v>6.6902354923896592</v>
      </c>
      <c r="Y555" s="18">
        <f t="shared" si="480"/>
        <v>-1.4207625098614771</v>
      </c>
      <c r="Z555" s="32" t="str">
        <f t="shared" si="467"/>
        <v>-4.49540873857628+3.61036762814751i</v>
      </c>
      <c r="AA555" s="18">
        <f t="shared" si="481"/>
        <v>5.765713671111623</v>
      </c>
      <c r="AB555" s="18">
        <f t="shared" si="482"/>
        <v>2.4649501423750215</v>
      </c>
      <c r="AC555" s="68" t="str">
        <f t="shared" si="483"/>
        <v>-0.0242947469029373+0.0256132555310063i</v>
      </c>
      <c r="AD555" s="66">
        <f t="shared" si="484"/>
        <v>-29.043866094934423</v>
      </c>
      <c r="AE555" s="63">
        <f t="shared" si="485"/>
        <v>133.48666731340998</v>
      </c>
      <c r="AF555" s="51" t="e">
        <f t="shared" si="486"/>
        <v>#NUM!</v>
      </c>
      <c r="AG555" s="51" t="str">
        <f t="shared" si="468"/>
        <v>1-6312.5245924651i</v>
      </c>
      <c r="AH555" s="51">
        <f t="shared" si="487"/>
        <v>6312.5246716727115</v>
      </c>
      <c r="AI555" s="51">
        <f t="shared" si="488"/>
        <v>-1.5706379115717974</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-0.000133283554228113</v>
      </c>
      <c r="AT555" s="32" t="str">
        <f t="shared" si="472"/>
        <v>0.899955589399103i</v>
      </c>
      <c r="AU555" s="32">
        <f t="shared" si="496"/>
        <v>0.89995558939910303</v>
      </c>
      <c r="AV555" s="32">
        <f t="shared" si="497"/>
        <v>1.5707963267948966</v>
      </c>
      <c r="AW555" s="32" t="str">
        <f t="shared" si="473"/>
        <v>1+157.350564830401i</v>
      </c>
      <c r="AX555" s="32">
        <f t="shared" si="498"/>
        <v>157.35374241639829</v>
      </c>
      <c r="AY555" s="32">
        <f t="shared" si="499"/>
        <v>1.5644411761896531</v>
      </c>
      <c r="AZ555" s="32" t="str">
        <f t="shared" si="474"/>
        <v>1+2344.90719783841i</v>
      </c>
      <c r="BA555" s="32">
        <f t="shared" si="500"/>
        <v>2344.9074110664546</v>
      </c>
      <c r="BB555" s="32">
        <f t="shared" si="501"/>
        <v>1.5703698707115599</v>
      </c>
      <c r="BC555" s="60" t="str">
        <f t="shared" si="502"/>
        <v>-0.0000130846056791538+0.00220697024024746i</v>
      </c>
      <c r="BD555" s="51">
        <f t="shared" si="503"/>
        <v>-53.123917807433983</v>
      </c>
      <c r="BE555" s="63">
        <f t="shared" si="504"/>
        <v>90.339689174127585</v>
      </c>
      <c r="BF555" s="60" t="str">
        <f t="shared" si="505"/>
        <v>-0.0000562098055294848-0.0000539529227579094i</v>
      </c>
      <c r="BG555" s="66">
        <f t="shared" si="506"/>
        <v>-82.167783902368399</v>
      </c>
      <c r="BH555" s="63">
        <f t="shared" si="507"/>
        <v>-136.17364351246241</v>
      </c>
      <c r="BI555" s="60" t="e">
        <f t="shared" si="460"/>
        <v>#NUM!</v>
      </c>
      <c r="BJ555" s="66" t="e">
        <f t="shared" si="508"/>
        <v>#NUM!</v>
      </c>
      <c r="BK555" s="63" t="e">
        <f t="shared" si="461"/>
        <v>#NUM!</v>
      </c>
      <c r="BL555" s="51">
        <f t="shared" si="509"/>
        <v>-82.167783902368399</v>
      </c>
      <c r="BM555" s="63">
        <f t="shared" si="510"/>
        <v>-136.17364351246241</v>
      </c>
    </row>
    <row r="556" spans="14:65" x14ac:dyDescent="0.3">
      <c r="N556" s="11">
        <v>38</v>
      </c>
      <c r="O556" s="52">
        <f t="shared" si="462"/>
        <v>2398832.9190194933</v>
      </c>
      <c r="P556" s="50" t="str">
        <f t="shared" si="463"/>
        <v>21.1560044893378</v>
      </c>
      <c r="Q556" s="18" t="str">
        <f t="shared" si="464"/>
        <v>1+10504.9445538402i</v>
      </c>
      <c r="R556" s="18">
        <f t="shared" si="475"/>
        <v>10504.944601436833</v>
      </c>
      <c r="S556" s="18">
        <f t="shared" si="476"/>
        <v>1.5707011335273973</v>
      </c>
      <c r="T556" s="18" t="str">
        <f t="shared" si="465"/>
        <v>1+15.072311751162i</v>
      </c>
      <c r="U556" s="18">
        <f t="shared" si="477"/>
        <v>15.105448736274472</v>
      </c>
      <c r="V556" s="18">
        <f t="shared" si="478"/>
        <v>1.5045465981944726</v>
      </c>
      <c r="W556" s="32" t="str">
        <f t="shared" si="466"/>
        <v>1-6.76916249652779i</v>
      </c>
      <c r="X556" s="18">
        <f t="shared" si="479"/>
        <v>6.8426282161460703</v>
      </c>
      <c r="Y556" s="18">
        <f t="shared" si="480"/>
        <v>-1.424128374865429</v>
      </c>
      <c r="Z556" s="32" t="str">
        <f t="shared" si="467"/>
        <v>-4.75439937337157+3.69446389344062i</v>
      </c>
      <c r="AA556" s="18">
        <f t="shared" si="481"/>
        <v>6.0210777159452444</v>
      </c>
      <c r="AB556" s="18">
        <f t="shared" si="482"/>
        <v>2.4809955181727061</v>
      </c>
      <c r="AC556" s="68" t="str">
        <f t="shared" si="483"/>
        <v>-0.0233396976486827+0.0255042968920106i</v>
      </c>
      <c r="AD556" s="66">
        <f t="shared" si="484"/>
        <v>-29.225555470519122</v>
      </c>
      <c r="AE556" s="63">
        <f t="shared" si="485"/>
        <v>132.46250678299174</v>
      </c>
      <c r="AF556" s="51" t="e">
        <f t="shared" si="486"/>
        <v>#NUM!</v>
      </c>
      <c r="AG556" s="51" t="str">
        <f t="shared" si="468"/>
        <v>1-6459.56217906944i</v>
      </c>
      <c r="AH556" s="51">
        <f t="shared" si="487"/>
        <v>6459.562256474067</v>
      </c>
      <c r="AI556" s="51">
        <f t="shared" si="488"/>
        <v>-1.5706415175424597</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-0.000133283554228113</v>
      </c>
      <c r="AT556" s="32" t="str">
        <f t="shared" si="472"/>
        <v>0.920918247995998i</v>
      </c>
      <c r="AU556" s="32">
        <f t="shared" si="496"/>
        <v>0.92091824799599797</v>
      </c>
      <c r="AV556" s="32">
        <f t="shared" si="497"/>
        <v>1.5707963267948966</v>
      </c>
      <c r="AW556" s="32" t="str">
        <f t="shared" si="473"/>
        <v>1+161.015730322367i</v>
      </c>
      <c r="AX556" s="32">
        <f t="shared" si="498"/>
        <v>161.01883557908749</v>
      </c>
      <c r="AY556" s="32">
        <f t="shared" si="499"/>
        <v>1.5645858333156459</v>
      </c>
      <c r="AZ556" s="32" t="str">
        <f t="shared" si="474"/>
        <v>1+2399.52710309674i</v>
      </c>
      <c r="BA556" s="32">
        <f t="shared" si="500"/>
        <v>2399.5273114711226</v>
      </c>
      <c r="BB556" s="32">
        <f t="shared" si="501"/>
        <v>1.5703795780360199</v>
      </c>
      <c r="BC556" s="60" t="str">
        <f t="shared" si="502"/>
        <v>-0.0000124957241284864+0.00215673712160366i</v>
      </c>
      <c r="BD556" s="51">
        <f t="shared" si="503"/>
        <v>-53.323909948664188</v>
      </c>
      <c r="BE556" s="63">
        <f t="shared" si="504"/>
        <v>90.33195712005363</v>
      </c>
      <c r="BF556" s="60" t="str">
        <f t="shared" si="505"/>
        <v>-0.0000547144174443399-0.0000506562869839732i</v>
      </c>
      <c r="BG556" s="66">
        <f t="shared" si="506"/>
        <v>-82.549465419183306</v>
      </c>
      <c r="BH556" s="63">
        <f t="shared" si="507"/>
        <v>-137.20553609695463</v>
      </c>
      <c r="BI556" s="60" t="e">
        <f t="shared" si="460"/>
        <v>#NUM!</v>
      </c>
      <c r="BJ556" s="66" t="e">
        <f t="shared" si="508"/>
        <v>#NUM!</v>
      </c>
      <c r="BK556" s="63" t="e">
        <f t="shared" si="461"/>
        <v>#NUM!</v>
      </c>
      <c r="BL556" s="51">
        <f t="shared" si="509"/>
        <v>-82.549465419183306</v>
      </c>
      <c r="BM556" s="63">
        <f t="shared" si="510"/>
        <v>-137.20553609695463</v>
      </c>
    </row>
    <row r="557" spans="14:65" x14ac:dyDescent="0.3">
      <c r="N557" s="11">
        <v>39</v>
      </c>
      <c r="O557" s="52">
        <f t="shared" si="462"/>
        <v>2454708.915685033</v>
      </c>
      <c r="P557" s="50" t="str">
        <f t="shared" si="463"/>
        <v>21.1560044893378</v>
      </c>
      <c r="Q557" s="18" t="str">
        <f t="shared" si="464"/>
        <v>1+10749.6361462425i</v>
      </c>
      <c r="R557" s="18">
        <f t="shared" si="475"/>
        <v>10749.636192755701</v>
      </c>
      <c r="S557" s="18">
        <f t="shared" si="476"/>
        <v>1.5707033003906992</v>
      </c>
      <c r="T557" s="18" t="str">
        <f t="shared" si="465"/>
        <v>1+15.4233909924349i</v>
      </c>
      <c r="U557" s="18">
        <f t="shared" si="477"/>
        <v>15.455775286459172</v>
      </c>
      <c r="V557" s="18">
        <f t="shared" si="478"/>
        <v>1.5060503663667077</v>
      </c>
      <c r="W557" s="32" t="str">
        <f t="shared" si="466"/>
        <v>1-6.92683654630656i</v>
      </c>
      <c r="X557" s="18">
        <f t="shared" si="479"/>
        <v>6.9986473363963837</v>
      </c>
      <c r="Y557" s="18">
        <f t="shared" si="480"/>
        <v>-1.4274208609892256</v>
      </c>
      <c r="Z557" s="32" t="str">
        <f t="shared" si="467"/>
        <v>-5.02559586074355+3.78051901239205i</v>
      </c>
      <c r="AA557" s="18">
        <f t="shared" si="481"/>
        <v>6.2887946188900514</v>
      </c>
      <c r="AB557" s="18">
        <f t="shared" si="482"/>
        <v>2.4966512534293983</v>
      </c>
      <c r="AC557" s="68" t="str">
        <f t="shared" si="483"/>
        <v>-0.0224142284598472+0.025367766223718i</v>
      </c>
      <c r="AD557" s="66">
        <f t="shared" si="484"/>
        <v>-29.408452456387543</v>
      </c>
      <c r="AE557" s="63">
        <f t="shared" si="485"/>
        <v>131.46288908612328</v>
      </c>
      <c r="AF557" s="51" t="e">
        <f t="shared" si="486"/>
        <v>#NUM!</v>
      </c>
      <c r="AG557" s="51" t="str">
        <f t="shared" si="468"/>
        <v>1-6610.02471104354i</v>
      </c>
      <c r="AH557" s="51">
        <f t="shared" si="487"/>
        <v>6610.0247866862219</v>
      </c>
      <c r="AI557" s="51">
        <f t="shared" si="488"/>
        <v>-1.5706450414312125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-0.000133283554228113</v>
      </c>
      <c r="AT557" s="32" t="str">
        <f t="shared" si="472"/>
        <v>0.942369189637774i</v>
      </c>
      <c r="AU557" s="32">
        <f t="shared" si="496"/>
        <v>0.94236918963777405</v>
      </c>
      <c r="AV557" s="32">
        <f t="shared" si="497"/>
        <v>1.5707963267948966</v>
      </c>
      <c r="AW557" s="32" t="str">
        <f t="shared" si="473"/>
        <v>1+164.766268485846i</v>
      </c>
      <c r="AX557" s="32">
        <f t="shared" si="498"/>
        <v>164.76930305961085</v>
      </c>
      <c r="AY557" s="32">
        <f t="shared" si="499"/>
        <v>1.5647271978946009</v>
      </c>
      <c r="AZ557" s="32" t="str">
        <f t="shared" si="474"/>
        <v>1+2455.41926938663i</v>
      </c>
      <c r="BA557" s="32">
        <f t="shared" si="500"/>
        <v>2455.4194730178328</v>
      </c>
      <c r="BB557" s="32">
        <f t="shared" si="501"/>
        <v>1.5703890643948739</v>
      </c>
      <c r="BC557" s="60" t="str">
        <f t="shared" si="502"/>
        <v>-0.0000119333446150523+0.00210764720424385i</v>
      </c>
      <c r="BD557" s="51">
        <f t="shared" si="503"/>
        <v>-53.52390244358395</v>
      </c>
      <c r="BE557" s="63">
        <f t="shared" si="504"/>
        <v>90.324401054632133</v>
      </c>
      <c r="BF557" s="60" t="str">
        <f t="shared" si="505"/>
        <v>-0.0000531988248468389-0.0000475440082451416i</v>
      </c>
      <c r="BG557" s="66">
        <f t="shared" si="506"/>
        <v>-82.9323548999715</v>
      </c>
      <c r="BH557" s="63">
        <f t="shared" si="507"/>
        <v>-138.21270985924454</v>
      </c>
      <c r="BI557" s="60" t="e">
        <f t="shared" si="460"/>
        <v>#NUM!</v>
      </c>
      <c r="BJ557" s="66" t="e">
        <f t="shared" si="508"/>
        <v>#NUM!</v>
      </c>
      <c r="BK557" s="63" t="e">
        <f t="shared" si="461"/>
        <v>#NUM!</v>
      </c>
      <c r="BL557" s="51">
        <f t="shared" si="509"/>
        <v>-82.9323548999715</v>
      </c>
      <c r="BM557" s="63">
        <f t="shared" si="510"/>
        <v>-138.21270985924454</v>
      </c>
    </row>
    <row r="558" spans="14:65" x14ac:dyDescent="0.3">
      <c r="N558" s="11">
        <v>40</v>
      </c>
      <c r="O558" s="52">
        <f t="shared" si="462"/>
        <v>2511886.431509587</v>
      </c>
      <c r="P558" s="50" t="str">
        <f t="shared" si="463"/>
        <v>21.1560044893378</v>
      </c>
      <c r="Q558" s="18" t="str">
        <f t="shared" si="464"/>
        <v>1+11000.0273380179i</v>
      </c>
      <c r="R558" s="18">
        <f t="shared" si="475"/>
        <v>11000.027383472332</v>
      </c>
      <c r="S558" s="18">
        <f t="shared" si="476"/>
        <v>1.5707054179301714</v>
      </c>
      <c r="T558" s="18" t="str">
        <f t="shared" si="465"/>
        <v>1+15.7826479197648i</v>
      </c>
      <c r="U558" s="18">
        <f t="shared" si="477"/>
        <v>15.814296549617886</v>
      </c>
      <c r="V558" s="18">
        <f t="shared" si="478"/>
        <v>1.5075201879967579</v>
      </c>
      <c r="W558" s="32" t="str">
        <f t="shared" si="466"/>
        <v>1-7.08818329650976i</v>
      </c>
      <c r="X558" s="18">
        <f t="shared" si="479"/>
        <v>7.1583756848128592</v>
      </c>
      <c r="Y558" s="18">
        <f t="shared" si="480"/>
        <v>-1.4306414282673996</v>
      </c>
      <c r="Z558" s="32" t="str">
        <f t="shared" si="467"/>
        <v>-5.30957344480195+3.86857861256496i</v>
      </c>
      <c r="AA558" s="18">
        <f t="shared" si="481"/>
        <v>6.569434575923645</v>
      </c>
      <c r="AB558" s="18">
        <f t="shared" si="482"/>
        <v>2.5119259280762392</v>
      </c>
      <c r="AC558" s="68" t="str">
        <f t="shared" si="483"/>
        <v>-0.0215182915271051+0.0252060087205575i</v>
      </c>
      <c r="AD558" s="66">
        <f t="shared" si="484"/>
        <v>-29.592474840921327</v>
      </c>
      <c r="AE558" s="63">
        <f t="shared" si="485"/>
        <v>130.48728303271062</v>
      </c>
      <c r="AF558" s="51" t="e">
        <f t="shared" si="486"/>
        <v>#NUM!</v>
      </c>
      <c r="AG558" s="51" t="str">
        <f t="shared" si="468"/>
        <v>1-6763.9919656135i</v>
      </c>
      <c r="AH558" s="51">
        <f t="shared" si="487"/>
        <v>6763.9920395343443</v>
      </c>
      <c r="AI558" s="51">
        <f t="shared" si="488"/>
        <v>-1.5706484851064679</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-0.000133283554228113</v>
      </c>
      <c r="AT558" s="32" t="str">
        <f t="shared" si="472"/>
        <v>0.964319787897629i</v>
      </c>
      <c r="AU558" s="32">
        <f t="shared" si="496"/>
        <v>0.96431978789762895</v>
      </c>
      <c r="AV558" s="32">
        <f t="shared" si="497"/>
        <v>1.5707963267948966</v>
      </c>
      <c r="AW558" s="32" t="str">
        <f t="shared" si="473"/>
        <v>1+168.604167905816i</v>
      </c>
      <c r="AX558" s="32">
        <f t="shared" si="498"/>
        <v>168.60713340547781</v>
      </c>
      <c r="AY558" s="32">
        <f t="shared" si="499"/>
        <v>1.5648653448572762</v>
      </c>
      <c r="AZ558" s="32" t="str">
        <f t="shared" si="474"/>
        <v>1+2512.61333147447i</v>
      </c>
      <c r="BA558" s="32">
        <f t="shared" si="500"/>
        <v>2512.6135304704617</v>
      </c>
      <c r="BB558" s="32">
        <f t="shared" si="501"/>
        <v>1.5703983348179082</v>
      </c>
      <c r="BC558" s="60" t="str">
        <f t="shared" si="502"/>
        <v>-0.0000113962745265279+0.00205967448202089i</v>
      </c>
      <c r="BD558" s="51">
        <f t="shared" si="503"/>
        <v>-53.723895276275698</v>
      </c>
      <c r="BE558" s="63">
        <f t="shared" si="504"/>
        <v>90.317016972832462</v>
      </c>
      <c r="BF558" s="60" t="str">
        <f t="shared" si="505"/>
        <v>-0.0000516709445977436-0.0000446079305501622i</v>
      </c>
      <c r="BG558" s="66">
        <f t="shared" si="506"/>
        <v>-83.316370117197039</v>
      </c>
      <c r="BH558" s="63">
        <f t="shared" si="507"/>
        <v>-139.19569999445693</v>
      </c>
      <c r="BI558" s="60" t="e">
        <f t="shared" si="460"/>
        <v>#NUM!</v>
      </c>
      <c r="BJ558" s="66" t="e">
        <f t="shared" si="508"/>
        <v>#NUM!</v>
      </c>
      <c r="BK558" s="63" t="e">
        <f t="shared" si="461"/>
        <v>#NUM!</v>
      </c>
      <c r="BL558" s="51">
        <f t="shared" si="509"/>
        <v>-83.316370117197039</v>
      </c>
      <c r="BM558" s="63">
        <f t="shared" si="510"/>
        <v>-139.19569999445693</v>
      </c>
    </row>
    <row r="559" spans="14:65" x14ac:dyDescent="0.3">
      <c r="N559" s="11">
        <v>41</v>
      </c>
      <c r="O559" s="52">
        <f t="shared" si="462"/>
        <v>2570395.782768866</v>
      </c>
      <c r="P559" s="50" t="str">
        <f t="shared" si="463"/>
        <v>21.1560044893378</v>
      </c>
      <c r="Q559" s="18" t="str">
        <f t="shared" si="464"/>
        <v>1+11256.2508898904i</v>
      </c>
      <c r="R559" s="18">
        <f t="shared" si="475"/>
        <v>11256.250934310163</v>
      </c>
      <c r="S559" s="18">
        <f t="shared" si="476"/>
        <v>1.5707074872685614</v>
      </c>
      <c r="T559" s="18" t="str">
        <f t="shared" si="465"/>
        <v>1+16.1502730159297i</v>
      </c>
      <c r="U559" s="18">
        <f t="shared" si="477"/>
        <v>16.181202628020792</v>
      </c>
      <c r="V559" s="18">
        <f t="shared" si="478"/>
        <v>1.5089568169862517</v>
      </c>
      <c r="W559" s="32" t="str">
        <f t="shared" si="466"/>
        <v>1-7.25328829531991i</v>
      </c>
      <c r="X559" s="18">
        <f t="shared" si="479"/>
        <v>7.3218980527609645</v>
      </c>
      <c r="Y559" s="18">
        <f t="shared" si="480"/>
        <v>-1.4337915169165236</v>
      </c>
      <c r="Z559" s="32" t="str">
        <f t="shared" si="467"/>
        <v>-5.60693448007595+3.95868938432492i</v>
      </c>
      <c r="AA559" s="18">
        <f t="shared" si="481"/>
        <v>6.8635949695062424</v>
      </c>
      <c r="AB559" s="18">
        <f t="shared" si="482"/>
        <v>2.5268281363875129</v>
      </c>
      <c r="AC559" s="68" t="str">
        <f t="shared" si="483"/>
        <v>-0.0206517236721331+0.0250212473754849i</v>
      </c>
      <c r="AD559" s="66">
        <f t="shared" si="484"/>
        <v>-29.777545779684871</v>
      </c>
      <c r="AE559" s="63">
        <f t="shared" si="485"/>
        <v>129.53515681983097</v>
      </c>
      <c r="AF559" s="51" t="e">
        <f t="shared" si="486"/>
        <v>#NUM!</v>
      </c>
      <c r="AG559" s="51" t="str">
        <f t="shared" si="468"/>
        <v>1-6921.5455782556i</v>
      </c>
      <c r="AH559" s="51">
        <f t="shared" si="487"/>
        <v>6921.5456504938002</v>
      </c>
      <c r="AI559" s="51">
        <f t="shared" si="488"/>
        <v>-1.5706518503941078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-0.000133283554228113</v>
      </c>
      <c r="AT559" s="32" t="str">
        <f t="shared" si="472"/>
        <v>0.986781681273305i</v>
      </c>
      <c r="AU559" s="32">
        <f t="shared" si="496"/>
        <v>0.98678168127330501</v>
      </c>
      <c r="AV559" s="32">
        <f t="shared" si="497"/>
        <v>1.5707963267948966</v>
      </c>
      <c r="AW559" s="32" t="str">
        <f t="shared" si="473"/>
        <v>1+172.531463487349i</v>
      </c>
      <c r="AX559" s="32">
        <f t="shared" si="498"/>
        <v>172.53436148514427</v>
      </c>
      <c r="AY559" s="32">
        <f t="shared" si="499"/>
        <v>1.5650003474299157</v>
      </c>
      <c r="AZ559" s="32" t="str">
        <f t="shared" si="474"/>
        <v>1+2571.13961440902i</v>
      </c>
      <c r="BA559" s="32">
        <f t="shared" si="500"/>
        <v>2571.1398088753099</v>
      </c>
      <c r="BB559" s="32">
        <f t="shared" si="501"/>
        <v>1.5704073942204175</v>
      </c>
      <c r="BC559" s="60" t="str">
        <f t="shared" si="502"/>
        <v>-0.000010883374911515+0.00201279353967256i</v>
      </c>
      <c r="BD559" s="51">
        <f t="shared" si="503"/>
        <v>-53.923888431538359</v>
      </c>
      <c r="BE559" s="63">
        <f t="shared" si="504"/>
        <v>90.309800960725511</v>
      </c>
      <c r="BF559" s="60" t="str">
        <f t="shared" si="505"/>
        <v>-0.0000501378446206322-0.0000418399716063135i</v>
      </c>
      <c r="BG559" s="66">
        <f t="shared" si="506"/>
        <v>-83.70143421122323</v>
      </c>
      <c r="BH559" s="63">
        <f t="shared" si="507"/>
        <v>-140.15504221944354</v>
      </c>
      <c r="BI559" s="60" t="e">
        <f t="shared" si="460"/>
        <v>#NUM!</v>
      </c>
      <c r="BJ559" s="66" t="e">
        <f t="shared" si="508"/>
        <v>#NUM!</v>
      </c>
      <c r="BK559" s="63" t="e">
        <f t="shared" si="461"/>
        <v>#NUM!</v>
      </c>
      <c r="BL559" s="51">
        <f t="shared" si="509"/>
        <v>-83.70143421122323</v>
      </c>
      <c r="BM559" s="63">
        <f t="shared" si="510"/>
        <v>-140.15504221944354</v>
      </c>
    </row>
    <row r="560" spans="14:65" ht="15" thickBot="1" x14ac:dyDescent="0.35">
      <c r="N560" s="11">
        <v>42</v>
      </c>
      <c r="O560" s="52">
        <f t="shared" si="462"/>
        <v>2630267.9918953842</v>
      </c>
      <c r="P560" s="50" t="str">
        <f t="shared" si="463"/>
        <v>21.1560044893378</v>
      </c>
      <c r="Q560" s="18" t="str">
        <f t="shared" si="464"/>
        <v>1+11518.4426549788i</v>
      </c>
      <c r="R560" s="18">
        <f t="shared" si="475"/>
        <v>11518.442698387445</v>
      </c>
      <c r="S560" s="18">
        <f t="shared" si="476"/>
        <v>1.5707095095030594</v>
      </c>
      <c r="T560" s="18" t="str">
        <f t="shared" si="465"/>
        <v>1+16.5264612006218i</v>
      </c>
      <c r="U560" s="18">
        <f t="shared" si="477"/>
        <v>16.556688069045023</v>
      </c>
      <c r="V560" s="18">
        <f t="shared" si="478"/>
        <v>1.5103609913210123</v>
      </c>
      <c r="W560" s="32" t="str">
        <f t="shared" si="466"/>
        <v>1-7.42223908359287i</v>
      </c>
      <c r="X560" s="18">
        <f t="shared" si="479"/>
        <v>7.4893012366984895</v>
      </c>
      <c r="Y560" s="18">
        <f t="shared" si="480"/>
        <v>-1.4368725469559389</v>
      </c>
      <c r="Z560" s="32" t="str">
        <f t="shared" si="467"/>
        <v>-5.91830970918934+4.05089910559589i</v>
      </c>
      <c r="AA560" s="18">
        <f t="shared" si="481"/>
        <v>7.1719016569946348</v>
      </c>
      <c r="AB560" s="18">
        <f t="shared" si="482"/>
        <v>2.5413664553189648</v>
      </c>
      <c r="AC560" s="61" t="str">
        <f t="shared" si="483"/>
        <v>-0.0198142610749454+0.0248155837572172i</v>
      </c>
      <c r="AD560" s="67">
        <f t="shared" si="484"/>
        <v>-29.963593509515789</v>
      </c>
      <c r="AE560" s="65">
        <f t="shared" si="485"/>
        <v>128.60597988361269</v>
      </c>
      <c r="AF560" s="51" t="e">
        <f t="shared" si="486"/>
        <v>#NUM!</v>
      </c>
      <c r="AG560" s="51" t="str">
        <f t="shared" si="468"/>
        <v>1-7082.76908598078i</v>
      </c>
      <c r="AH560" s="51">
        <f t="shared" si="487"/>
        <v>7082.7691565746381</v>
      </c>
      <c r="AI560" s="51">
        <f t="shared" si="488"/>
        <v>-1.5706551390784518</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-0.000133283554228113</v>
      </c>
      <c r="AT560" s="32" t="str">
        <f t="shared" si="472"/>
        <v>1.00976677935799i</v>
      </c>
      <c r="AU560" s="32">
        <f t="shared" si="496"/>
        <v>1.0097667793579901</v>
      </c>
      <c r="AV560" s="32">
        <f t="shared" si="497"/>
        <v>1.5707963267948966</v>
      </c>
      <c r="AW560" s="32" t="str">
        <f t="shared" si="473"/>
        <v>1+176.550237534546i</v>
      </c>
      <c r="AX560" s="32">
        <f t="shared" si="498"/>
        <v>176.55306956692829</v>
      </c>
      <c r="AY560" s="32">
        <f t="shared" si="499"/>
        <v>1.5651322771729748</v>
      </c>
      <c r="AZ560" s="32" t="str">
        <f t="shared" si="474"/>
        <v>1+2631.02914960019i</v>
      </c>
      <c r="BA560" s="32">
        <f t="shared" si="500"/>
        <v>2631.029339639887</v>
      </c>
      <c r="BB560" s="32">
        <f t="shared" si="501"/>
        <v>1.570416247405811</v>
      </c>
      <c r="BC560" s="64" t="str">
        <f t="shared" si="502"/>
        <v>-0.0000103935580657634+0.00196697953944403i</v>
      </c>
      <c r="BD560" s="57">
        <f t="shared" si="503"/>
        <v>-54.123881894854662</v>
      </c>
      <c r="BE560" s="65">
        <f t="shared" si="504"/>
        <v>90.302749193414272</v>
      </c>
      <c r="BF560" s="64" t="str">
        <f t="shared" si="505"/>
        <v>-0.0000486058048367932-0.0000392321683343363i</v>
      </c>
      <c r="BG560" s="67">
        <f t="shared" si="506"/>
        <v>-84.087475404370466</v>
      </c>
      <c r="BH560" s="65">
        <f t="shared" si="507"/>
        <v>-141.09127092297305</v>
      </c>
      <c r="BI560" s="64" t="e">
        <f t="shared" si="460"/>
        <v>#NUM!</v>
      </c>
      <c r="BJ560" s="67" t="e">
        <f t="shared" si="508"/>
        <v>#NUM!</v>
      </c>
      <c r="BK560" s="65" t="e">
        <f t="shared" si="461"/>
        <v>#NUM!</v>
      </c>
      <c r="BL560" s="57">
        <f t="shared" si="509"/>
        <v>-84.087475404370466</v>
      </c>
      <c r="BM560" s="65">
        <f t="shared" si="510"/>
        <v>-141.09127092297305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77734375" customWidth="1"/>
    <col min="2" max="2" width="25.5546875" customWidth="1"/>
    <col min="3" max="3" width="10.218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2</v>
      </c>
      <c r="D19" s="4" t="s">
        <v>453</v>
      </c>
    </row>
    <row r="20" spans="1:4" x14ac:dyDescent="0.3">
      <c r="A20" t="s">
        <v>75</v>
      </c>
      <c r="B20" s="1">
        <f>CHOOSE(B19,D_limit_min,(1-Constants!B10*Fsw))</f>
        <v>0.81818181818181823</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77734375" customWidth="1"/>
  </cols>
  <sheetData>
    <row r="2" spans="2:2" x14ac:dyDescent="0.3">
      <c r="B2" t="str">
        <f>"Eff_vs_IOUT"</f>
        <v>Eff_vs_IOUT</v>
      </c>
    </row>
    <row r="3" spans="2:2" ht="379.8"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21875" customWidth="1"/>
  </cols>
  <sheetData>
    <row r="2" ht="294.45"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12</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William Kelso</cp:lastModifiedBy>
  <cp:lastPrinted>2018-08-09T07:13:51Z</cp:lastPrinted>
  <dcterms:created xsi:type="dcterms:W3CDTF">2018-06-26T09:13:29Z</dcterms:created>
  <dcterms:modified xsi:type="dcterms:W3CDTF">2022-06-22T01:00:55Z</dcterms:modified>
</cp:coreProperties>
</file>